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iterateCount="1"/>
</workbook>
</file>

<file path=xl/calcChain.xml><?xml version="1.0" encoding="utf-8"?>
<calcChain xmlns="http://schemas.openxmlformats.org/spreadsheetml/2006/main">
  <c r="C103" i="2" l="1"/>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B33" i="2"/>
  <c r="C30" i="2"/>
  <c r="C29" i="2"/>
  <c r="C28" i="2"/>
  <c r="B32" i="2"/>
  <c r="B31" i="2"/>
  <c r="B30" i="2"/>
  <c r="B29" i="2"/>
  <c r="B28" i="2"/>
  <c r="B27" i="2"/>
  <c r="C20"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C263" i="1" l="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B14" i="2" s="1"/>
  <c r="P576" i="1"/>
  <c r="D576" i="1" s="1"/>
  <c r="C15" i="2" s="1"/>
  <c r="K571" i="1"/>
  <c r="D1486" i="1"/>
  <c r="D1487" i="1"/>
  <c r="D1493" i="1"/>
  <c r="I197" i="1" a="1"/>
  <c r="AD534" i="1"/>
  <c r="AC534" i="1" s="1"/>
  <c r="B1187" i="1"/>
  <c r="I1253" i="1" a="1"/>
  <c r="C857" i="1"/>
  <c r="P575" i="1"/>
  <c r="D575" i="1" s="1"/>
  <c r="C14" i="2"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B15" i="2"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U554" i="1" l="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T1176" i="1" l="1"/>
  <c r="V560" i="1"/>
  <c r="J560" i="1" s="1"/>
  <c r="J1286" i="1"/>
  <c r="W560" i="1"/>
  <c r="K560" i="1" s="1"/>
  <c r="J86"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K86" i="1" l="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H1401" i="1" s="1"/>
  <c r="AD206" i="1"/>
  <c r="AC206" i="1" s="1"/>
  <c r="E1401" i="1"/>
  <c r="Y1404" i="1"/>
  <c r="V1467" i="1"/>
  <c r="K408" i="1" s="1"/>
  <c r="Z1467" i="1"/>
  <c r="J408" i="1"/>
  <c r="AD493" i="1"/>
  <c r="AC493" i="1" s="1"/>
  <c r="G1401" i="1" l="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<sst xmlns="http://schemas.openxmlformats.org/spreadsheetml/2006/main" count="7232" uniqueCount="1308">
  <si>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</si>
  <si>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</si>
  <si>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</si>
  <si>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</si>
  <si>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</si>
  <si>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</si>
  <si>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</si>
  <si>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</si>
  <si>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</si>
  <si>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</si>
  <si>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</si>
  <si>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</si>
  <si>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</si>
  <si>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</si>
  <si>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</si>
  <si>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</si>
  <si>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</si>
  <si>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</si>
  <si>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</si>
  <si>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</si>
  <si>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</si>
  <si>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</si>
  <si>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</si>
  <si>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</si>
  <si>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</si>
  <si>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</si>
  <si>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</si>
  <si>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</si>
  <si>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</si>
  <si>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</si>
  <si>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</si>
  <si>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</si>
  <si>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</si>
  <si>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</si>
  <si>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</si>
  <si>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</si>
  <si>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</si>
  <si>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</si>
  <si>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</si>
  <si>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</si>
  <si>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</si>
  <si>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</si>
  <si>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</si>
  <si>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</si>
  <si>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</si>
  <si>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</si>
  <si>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</si>
  <si>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</si>
  <si>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</si>
  <si>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</si>
  <si>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</si>
  <si>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</si>
  <si>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</si>
  <si>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</si>
  <si>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</si>
  <si>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</si>
  <si>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</si>
  <si>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</si>
  <si>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</si>
  <si>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</si>
  <si>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</si>
  <si>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</si>
  <si>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</si>
  <si>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</si>
  <si>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</si>
  <si>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</si>
  <si>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</si>
  <si>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</si>
  <si>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</si>
  <si>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</si>
  <si>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</si>
  <si>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</si>
  <si>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</si>
  <si>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</si>
  <si>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</si>
  <si>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</si>
  <si>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</si>
  <si>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</si>
  <si>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</si>
  <si>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</si>
  <si>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</si>
  <si>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</si>
  <si>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</si>
  <si>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</si>
  <si>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</si>
  <si>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</si>
  <si>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</si>
  <si>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</si>
  <si>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</si>
  <si>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</si>
  <si>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</si>
  <si>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</si>
  <si>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</si>
  <si>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</si>
  <si>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</si>
  <si>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</si>
  <si>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</si>
  <si>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</si>
  <si>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</si>
  <si>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</si>
  <si>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</si>
  <si>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</si>
  <si>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</si>
  <si>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</si>
  <si>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</si>
  <si>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</si>
  <si>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</si>
  <si>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</si>
  <si>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</si>
  <si>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</si>
  <si>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</si>
  <si>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</si>
  <si>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</si>
  <si>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</si>
  <si>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</si>
  <si>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</si>
  <si>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</si>
  <si>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</si>
  <si>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</si>
  <si>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</si>
  <si>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</si>
  <si>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</si>
  <si>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</si>
  <si>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</si>
  <si>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</si>
  <si>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</si>
  <si>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</si>
  <si>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</si>
  <si>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</si>
  <si>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</si>
  <si>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</si>
  <si>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</si>
  <si>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</si>
  <si>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</si>
  <si>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</si>
  <si>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</si>
  <si>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</si>
  <si>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</si>
  <si>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</si>
  <si>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</si>
  <si>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</si>
  <si>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</si>
  <si>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</si>
  <si>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</si>
  <si>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</si>
  <si>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</si>
  <si>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</si>
  <si>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</si>
  <si>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</si>
  <si>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</si>
  <si>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</si>
  <si>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</si>
  <si>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</si>
  <si>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</si>
  <si>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</si>
  <si>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</si>
  <si>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</si>
  <si>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</si>
  <si>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</si>
  <si>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</si>
  <si>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</si>
  <si>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</si>
  <si>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</si>
  <si>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</si>
  <si>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</si>
  <si>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</si>
  <si>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</si>
  <si>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</si>
  <si>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</si>
  <si>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</si>
  <si>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</si>
  <si>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</si>
  <si>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</si>
  <si>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</si>
  <si>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</si>
  <si>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</si>
  <si>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</si>
  <si>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</si>
  <si>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</si>
  <si>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</si>
  <si>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</si>
  <si>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</si>
  <si>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</si>
  <si>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</si>
  <si>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</si>
  <si>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</si>
  <si>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</si>
  <si>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</si>
  <si>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</si>
  <si>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</si>
  <si>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</si>
  <si>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</si>
  <si>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</si>
  <si>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</si>
  <si>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</si>
  <si>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</si>
  <si>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</si>
  <si>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</si>
  <si>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</si>
  <si>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</si>
  <si>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</si>
  <si>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</si>
  <si>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</si>
  <si>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</si>
  <si>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</si>
  <si>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</si>
  <si>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</si>
  <si>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</si>
  <si>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</si>
  <si>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</si>
  <si>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</si>
  <si>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</si>
  <si>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</si>
  <si>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</si>
  <si>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</si>
  <si>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</si>
  <si>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</si>
  <si>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</si>
  <si>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</si>
  <si>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</si>
  <si>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</si>
  <si>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</si>
  <si>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</si>
  <si>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</si>
  <si>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</si>
  <si>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</si>
  <si>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</si>
  <si>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</si>
  <si>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</si>
  <si>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</si>
  <si>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</si>
  <si>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</si>
  <si>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</si>
  <si>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</si>
  <si>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</si>
  <si>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</si>
  <si>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</si>
  <si>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</si>
  <si>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</si>
  <si>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</si>
  <si>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</si>
  <si>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</si>
  <si>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</si>
  <si>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</si>
  <si>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</si>
  <si>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</si>
  <si>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</si>
  <si>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</si>
  <si>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</si>
  <si>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</si>
  <si>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</si>
  <si>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</si>
  <si>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</si>
  <si>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</si>
  <si>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</si>
  <si>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</si>
  <si>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</si>
  <si>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</si>
  <si>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</si>
  <si>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</si>
  <si>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</si>
  <si>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</si>
  <si>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</si>
  <si>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</si>
  <si>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</si>
  <si>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</si>
  <si>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</si>
  <si>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</si>
  <si>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</si>
  <si>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</si>
  <si>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</si>
  <si>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</si>
  <si>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</si>
  <si>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</si>
  <si>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</si>
  <si>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</si>
  <si>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</si>
  <si>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</si>
  <si>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</si>
  <si>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</si>
  <si>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</si>
  <si>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</si>
  <si>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</si>
  <si>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</si>
  <si>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</si>
  <si>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</si>
  <si>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</si>
  <si>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</si>
  <si>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</si>
  <si>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</si>
  <si>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</si>
  <si>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</si>
  <si>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</si>
  <si>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</si>
  <si>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</si>
  <si>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</si>
  <si>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</si>
  <si>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</si>
  <si>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</si>
  <si>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</si>
  <si>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</si>
  <si>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</si>
  <si>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</si>
  <si>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</si>
  <si>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</si>
  <si>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</si>
  <si>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</si>
  <si>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</si>
  <si>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</si>
  <si>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</si>
  <si>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</si>
  <si>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</si>
  <si>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</si>
  <si>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</si>
  <si>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</si>
  <si>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</si>
  <si>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</si>
  <si>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</si>
  <si>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</si>
  <si>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</si>
  <si>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</si>
  <si>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</si>
  <si>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</si>
  <si>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</si>
  <si>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</si>
  <si>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</si>
  <si>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</si>
  <si>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</si>
  <si>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</si>
  <si>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</si>
  <si>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</si>
  <si>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</si>
  <si>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</si>
  <si>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</si>
  <si>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</si>
  <si>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</si>
  <si>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</si>
  <si>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</si>
  <si>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</si>
  <si>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</si>
  <si>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</si>
  <si>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</si>
  <si>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</si>
  <si>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</si>
  <si>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</si>
  <si>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</si>
  <si>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</si>
  <si>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</si>
  <si>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</si>
  <si>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</si>
  <si>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</si>
  <si>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</si>
  <si>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</si>
  <si>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</si>
  <si>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</si>
  <si>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</si>
  <si>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</si>
  <si>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</si>
  <si>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</si>
  <si>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</si>
  <si>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</si>
  <si>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</si>
  <si>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</si>
  <si>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</si>
  <si>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</si>
  <si>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</si>
  <si>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</si>
  <si>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</si>
  <si>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</si>
  <si>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</si>
  <si>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</si>
  <si>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</si>
  <si>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</si>
  <si>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</si>
  <si>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</si>
  <si>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</si>
  <si>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</si>
  <si>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</si>
  <si>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</si>
  <si>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</si>
  <si>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</si>
  <si>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</si>
  <si>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</si>
  <si>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</si>
  <si>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</si>
  <si>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</si>
  <si>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</si>
  <si>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</si>
  <si>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</si>
  <si>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</si>
  <si>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</si>
  <si>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</si>
  <si>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</si>
  <si>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</si>
  <si>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</si>
  <si>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</si>
  <si>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</si>
  <si>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</si>
  <si>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</si>
  <si>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</si>
  <si>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</si>
  <si>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</si>
  <si>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</si>
  <si>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</si>
  <si>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</si>
  <si>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</si>
  <si>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</si>
  <si>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</si>
  <si>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</si>
  <si>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</si>
  <si>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</si>
  <si>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</si>
  <si>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</si>
  <si>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</si>
  <si>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</si>
  <si>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</si>
  <si>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</si>
  <si>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</si>
  <si>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</si>
  <si>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</si>
  <si>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</si>
  <si>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</si>
  <si>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</si>
  <si>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</si>
  <si>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</si>
  <si>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</si>
  <si>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</si>
  <si>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</si>
  <si>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</si>
  <si>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</si>
  <si>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</si>
  <si>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</si>
  <si>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</si>
  <si>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</si>
  <si>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</si>
  <si>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</si>
  <si>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</si>
  <si>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</si>
  <si>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</si>
  <si>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</si>
  <si>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</si>
  <si>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</si>
  <si>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</si>
  <si>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</si>
  <si>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</si>
  <si>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</si>
  <si>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</si>
  <si>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</si>
  <si>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</si>
  <si>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</si>
  <si>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</si>
  <si>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</si>
  <si>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</si>
  <si>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</si>
  <si>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</si>
  <si>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</si>
  <si>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</si>
  <si>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</si>
  <si>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</si>
  <si>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</si>
  <si>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</si>
  <si>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</si>
  <si>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</si>
  <si>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</si>
  <si>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</si>
  <si>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</si>
  <si>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</si>
  <si>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</si>
  <si>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</si>
  <si>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</si>
  <si>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</si>
  <si>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</si>
  <si>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</si>
  <si>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</si>
  <si>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</si>
  <si>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</si>
  <si>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</si>
  <si>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</si>
  <si>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</si>
  <si>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</si>
  <si>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</si>
  <si>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</si>
  <si>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</si>
  <si>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</si>
  <si>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</si>
  <si>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</si>
  <si>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</si>
  <si>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</si>
  <si>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</si>
  <si>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</si>
  <si>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</si>
  <si>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</si>
  <si>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</si>
  <si>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</si>
  <si>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</si>
  <si>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</si>
  <si>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</si>
  <si>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</si>
  <si>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</si>
  <si>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</si>
  <si>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</si>
  <si>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</si>
  <si>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</si>
  <si>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</si>
  <si>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</si>
  <si>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</si>
  <si>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</si>
  <si>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</si>
  <si>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</si>
  <si>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</si>
  <si>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</si>
  <si>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</si>
  <si>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</si>
  <si>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</si>
  <si>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</si>
  <si>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</si>
  <si>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</si>
  <si>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</si>
  <si>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</si>
  <si>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</si>
  <si>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</si>
  <si>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</si>
  <si>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</si>
  <si>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</si>
  <si>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</si>
  <si>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</si>
  <si>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</si>
  <si>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</si>
  <si>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</si>
  <si>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</si>
  <si>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</si>
  <si>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</si>
  <si>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</si>
  <si>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</si>
  <si>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</si>
  <si>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</si>
  <si>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</si>
  <si>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</si>
  <si>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</si>
  <si>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</si>
  <si>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</si>
  <si>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</si>
  <si>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</si>
  <si>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</si>
  <si>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</si>
  <si>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</si>
  <si>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</si>
  <si>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</si>
  <si>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</si>
  <si>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</si>
  <si>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</si>
  <si>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</si>
  <si>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</si>
  <si>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</si>
  <si>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</si>
  <si>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</si>
  <si>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</si>
  <si>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</si>
  <si>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</si>
  <si>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</si>
  <si>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</si>
  <si>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</si>
  <si>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</si>
  <si>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</si>
  <si>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</si>
  <si>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</si>
  <si>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</si>
  <si>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</si>
  <si>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</si>
  <si>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</si>
  <si>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</si>
  <si>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</si>
  <si>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</si>
  <si>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</si>
  <si>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</si>
  <si>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</si>
  <si>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</si>
  <si>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</si>
  <si>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</si>
  <si>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</si>
  <si>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</si>
  <si>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</si>
  <si>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</si>
  <si>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</si>
  <si>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</si>
  <si>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</si>
  <si>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</si>
  <si>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</si>
  <si>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</si>
  <si>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</si>
  <si>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</si>
  <si>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</si>
  <si>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</si>
  <si>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</si>
  <si>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</si>
  <si>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</si>
  <si>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</si>
  <si>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</si>
  <si>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</si>
  <si>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</si>
  <si>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</si>
  <si>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</si>
  <si>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</si>
  <si>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</si>
  <si>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</si>
  <si>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</si>
  <si>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</si>
  <si>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</si>
  <si>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</si>
  <si>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</si>
  <si>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</si>
  <si>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</si>
  <si>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</si>
  <si>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</si>
  <si>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</si>
  <si>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</si>
  <si>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</si>
  <si>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</si>
  <si>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</si>
  <si>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</si>
  <si>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</si>
  <si>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</si>
  <si>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</si>
  <si>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</si>
  <si>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</si>
  <si>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</si>
  <si>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</si>
  <si>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</si>
  <si>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</si>
  <si>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</si>
  <si>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</si>
  <si>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</si>
  <si>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</si>
  <si>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</si>
  <si>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</si>
  <si>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</si>
  <si>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</si>
  <si>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</si>
  <si>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</si>
  <si>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</si>
  <si>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</si>
  <si>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</si>
  <si>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</si>
  <si>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</si>
  <si>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</si>
  <si>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</si>
  <si>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</si>
  <si>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</si>
  <si>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</si>
  <si>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</si>
  <si>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</si>
  <si>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</si>
  <si>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</si>
  <si>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</si>
  <si>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</si>
  <si>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</si>
  <si>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</si>
  <si>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</si>
  <si>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</si>
  <si>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</si>
  <si>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</si>
  <si>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</si>
  <si>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</si>
  <si>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</si>
  <si>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</si>
  <si>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</si>
  <si>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</si>
  <si>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</si>
  <si>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</si>
  <si>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</si>
  <si>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</si>
  <si>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</si>
  <si>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</si>
  <si>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</si>
  <si>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</si>
  <si>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</si>
  <si>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</si>
  <si>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</si>
  <si>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</si>
  <si>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</si>
  <si>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</si>
  <si>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</si>
  <si>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</si>
  <si>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</si>
  <si>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</si>
  <si>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</si>
  <si>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</si>
  <si>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</si>
  <si>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</si>
  <si>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</si>
  <si>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</si>
  <si>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</si>
  <si>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</si>
  <si>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</si>
  <si>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</si>
  <si>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</si>
  <si>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</si>
  <si>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</si>
  <si>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</si>
  <si>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</si>
  <si>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</si>
  <si>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</si>
  <si>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</si>
  <si>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</si>
  <si>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</si>
  <si>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</si>
  <si>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</si>
  <si>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</si>
  <si>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</si>
  <si>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</si>
  <si>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</si>
  <si>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</si>
  <si>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</si>
  <si>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</si>
  <si>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</si>
  <si>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</si>
  <si>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</si>
  <si>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</si>
  <si>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</si>
  <si>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</si>
  <si>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</si>
  <si>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</si>
  <si>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</si>
  <si>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</si>
  <si>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</si>
  <si>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</si>
  <si>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</si>
  <si>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</si>
  <si>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</si>
  <si>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</si>
  <si>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</si>
  <si>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</si>
  <si>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</si>
  <si>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</si>
  <si>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</si>
  <si>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</si>
  <si>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</si>
  <si>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</si>
  <si>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</si>
  <si>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</si>
  <si>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</si>
  <si>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</si>
  <si>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</si>
  <si>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</si>
  <si>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</si>
  <si>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</si>
  <si>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</si>
  <si>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</si>
  <si>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</si>
  <si>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</si>
  <si>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</si>
  <si>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</si>
  <si>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</si>
  <si>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</si>
  <si>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</si>
  <si>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</si>
  <si>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</si>
  <si>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</si>
  <si>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</si>
  <si>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</si>
  <si>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</si>
  <si>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</si>
  <si>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</si>
  <si>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</si>
  <si>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</si>
  <si>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</si>
  <si>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</si>
  <si>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</si>
  <si>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</si>
  <si>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</si>
  <si>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</si>
  <si>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</si>
  <si>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</si>
  <si>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</si>
  <si>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</si>
  <si>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</si>
  <si>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</si>
  <si>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</si>
  <si>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</si>
  <si>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</si>
  <si>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</si>
  <si>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</si>
  <si>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</si>
  <si>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</si>
  <si>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</si>
  <si>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</si>
  <si>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</si>
  <si>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</si>
  <si>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</si>
  <si>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</si>
  <si>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</si>
  <si>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</si>
  <si>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</si>
  <si>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</si>
  <si>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</si>
  <si>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</si>
  <si>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</si>
  <si>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</si>
  <si>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</si>
  <si>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</si>
  <si>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</si>
  <si>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</si>
  <si>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</si>
  <si>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</si>
  <si>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</si>
  <si>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</si>
  <si>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</si>
  <si>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</si>
  <si>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</si>
  <si>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</si>
  <si>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</si>
  <si>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</si>
  <si>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</si>
  <si>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</si>
  <si>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</si>
  <si>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</si>
  <si>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</si>
  <si>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</si>
  <si>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</si>
  <si>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</si>
  <si>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</si>
  <si>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</si>
  <si>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</si>
  <si>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</si>
  <si>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</si>
  <si>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</si>
  <si>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</si>
  <si>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</si>
  <si>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</si>
  <si>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</si>
  <si>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</si>
  <si>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</si>
  <si>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</si>
  <si>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</si>
  <si>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</si>
  <si>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</si>
  <si>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</si>
  <si>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</si>
  <si>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</si>
  <si>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</si>
  <si>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</si>
  <si>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</si>
  <si>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</si>
  <si>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</si>
  <si>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</si>
  <si>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</si>
  <si>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</si>
  <si>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</si>
  <si>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</si>
  <si>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</si>
  <si>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</si>
  <si>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</si>
  <si>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</si>
  <si>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</si>
  <si>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</si>
  <si>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</si>
  <si>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</si>
  <si>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</si>
  <si>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</si>
  <si>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</si>
  <si>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</si>
  <si>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</si>
  <si>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</si>
  <si>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</si>
  <si>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</si>
  <si>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</si>
  <si>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</si>
  <si>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</si>
  <si>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</si>
  <si>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</si>
  <si>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</si>
  <si>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</si>
  <si>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</si>
  <si>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</si>
  <si>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</si>
  <si>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</si>
  <si>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</si>
  <si>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</si>
  <si>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</si>
  <si>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</si>
  <si>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</si>
  <si>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</si>
  <si>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</si>
  <si>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</si>
  <si>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</si>
  <si>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</si>
  <si>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</si>
  <si>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</si>
  <si>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</si>
  <si>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</si>
  <si>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</si>
  <si>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</si>
  <si>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</si>
  <si>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</si>
  <si>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</si>
  <si>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</si>
  <si>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</si>
  <si>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</si>
  <si>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</si>
  <si>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</si>
  <si>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</si>
  <si>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</si>
  <si>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</si>
  <si>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</si>
  <si>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</si>
  <si>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</si>
  <si>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</si>
  <si>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</si>
  <si>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</si>
  <si>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</si>
  <si>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</si>
  <si>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</si>
  <si>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</si>
  <si>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</si>
  <si>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</si>
  <si>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</si>
  <si>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</si>
  <si>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</si>
  <si>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</si>
  <si>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</si>
  <si>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</si>
  <si>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</si>
  <si>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</si>
  <si>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</si>
  <si>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</si>
  <si>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</si>
  <si>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</si>
  <si>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</si>
  <si>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</si>
  <si>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</si>
  <si>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</si>
  <si>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</si>
  <si>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</si>
  <si>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</si>
  <si>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</si>
  <si>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</si>
  <si>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</si>
  <si>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</si>
  <si>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</si>
  <si>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</si>
  <si>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</si>
  <si>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</si>
  <si>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</si>
  <si>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</si>
  <si>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</si>
  <si>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</si>
  <si>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</si>
  <si>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</si>
  <si>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</si>
  <si>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</si>
  <si>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</si>
  <si>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</si>
  <si>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</si>
  <si>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</si>
  <si>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</si>
  <si>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</si>
  <si>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</si>
  <si>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</si>
  <si>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</si>
  <si>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</si>
  <si>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</si>
  <si>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</si>
  <si>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</si>
  <si>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</si>
  <si>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</si>
  <si>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</si>
  <si>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</si>
  <si>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</si>
  <si>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</si>
  <si>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</si>
  <si>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</si>
  <si>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</si>
  <si>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</si>
  <si>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</si>
  <si>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</si>
  <si>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</si>
  <si>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</si>
  <si>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</si>
  <si>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</si>
  <si>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</si>
  <si>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</si>
  <si>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</si>
  <si>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</si>
  <si>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</si>
  <si>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</si>
  <si>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</si>
  <si>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</si>
  <si>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</si>
  <si>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</si>
  <si>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</si>
  <si>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</si>
  <si>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</si>
  <si>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</si>
  <si>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</si>
  <si>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</si>
  <si>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</si>
  <si>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</si>
  <si>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</si>
  <si>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</si>
  <si>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</si>
  <si>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</si>
  <si>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</si>
  <si>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</si>
  <si>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</si>
  <si>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</si>
  <si>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</si>
  <si>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</si>
  <si>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</si>
  <si>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</si>
  <si>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</si>
  <si>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</si>
  <si>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</si>
  <si>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</si>
  <si>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</si>
  <si>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</si>
  <si>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</si>
  <si>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</si>
  <si>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</si>
  <si>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</si>
  <si>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</si>
  <si>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</si>
  <si>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</si>
  <si>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</si>
  <si>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</si>
  <si>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</si>
  <si>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</si>
  <si>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</si>
  <si>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</si>
  <si>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</si>
  <si>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</si>
  <si>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</si>
  <si>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</si>
  <si>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</si>
  <si>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</si>
  <si>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</si>
  <si>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</si>
  <si>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</si>
  <si>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</si>
  <si>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</si>
  <si>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</si>
  <si>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</si>
  <si>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</si>
  <si>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</si>
  <si>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</si>
  <si>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</si>
  <si>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</si>
  <si>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</si>
  <si>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</si>
  <si>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</si>
  <si>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</si>
  <si>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</si>
  <si>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</si>
  <si>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</si>
  <si>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</si>
  <si>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</si>
  <si>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</si>
  <si>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</si>
  <si>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</si>
  <si>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</si>
  <si>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</si>
  <si>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</si>
  <si>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</si>
  <si>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</si>
  <si>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</si>
  <si>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</si>
  <si>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</si>
  <si>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</si>
  <si>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</si>
  <si>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</si>
  <si>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</si>
  <si>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</si>
  <si>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</si>
  <si>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</si>
  <si>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</si>
  <si>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</si>
  <si>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</si>
  <si>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</si>
  <si>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</si>
  <si>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</si>
  <si>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</si>
  <si>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</si>
  <si>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</si>
  <si>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</si>
  <si>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</si>
  <si>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</si>
  <si>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</si>
  <si>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</si>
  <si>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</si>
  <si>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</si>
  <si>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</si>
  <si>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</si>
  <si>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</si>
  <si>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</si>
  <si>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</si>
  <si>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</si>
  <si>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</si>
  <si>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</si>
  <si>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</si>
  <si>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</si>
  <si>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</si>
  <si>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</si>
  <si>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</si>
  <si>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</si>
  <si>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</si>
  <si>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</si>
  <si>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</si>
  <si>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</si>
  <si>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</si>
  <si>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</si>
  <si>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</si>
  <si>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</si>
  <si>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</si>
  <si>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</si>
  <si>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</si>
  <si>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</si>
  <si>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</si>
  <si>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</si>
  <si>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</si>
  <si>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</si>
  <si>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</si>
  <si>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</si>
  <si>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</si>
  <si>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</si>
  <si>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</si>
  <si>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</si>
  <si>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</si>
  <si>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</si>
  <si>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</si>
  <si>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</si>
  <si>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</si>
  <si>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</si>
  <si>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</si>
  <si>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</si>
  <si>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</si>
  <si>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</si>
  <si>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</si>
  <si>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</si>
  <si>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</si>
  <si>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</si>
  <si>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</si>
  <si>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</si>
  <si>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</si>
  <si>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</si>
  <si>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</si>
  <si>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</si>
  <si>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</si>
  <si>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</si>
  <si>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</si>
  <si>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</si>
  <si>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</si>
  <si>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</si>
  <si>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</si>
  <si>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</si>
  <si>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</si>
  <si>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</si>
  <si>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</si>
  <si>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</si>
  <si>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</si>
  <si>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</si>
  <si>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</si>
  <si>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</si>
  <si>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</si>
  <si>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</si>
  <si>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</si>
  <si>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</si>
  <si>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</si>
  <si>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</si>
  <si>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</si>
  <si>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</si>
  <si>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</si>
  <si>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</si>
  <si>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</si>
  <si>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</si>
  <si>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</si>
  <si>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</si>
  <si>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</si>
  <si>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</si>
  <si>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</si>
  <si>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</si>
  <si>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</si>
  <si>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</si>
  <si>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</si>
  <si>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</si>
  <si>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</si>
  <si>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</si>
  <si>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</si>
  <si>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</si>
  <si>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</si>
  <si>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</si>
  <si>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</si>
  <si>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</si>
  <si>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</si>
  <si>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</si>
  <si>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</si>
  <si>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</si>
  <si>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</si>
  <si>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</si>
  <si>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</si>
  <si>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</si>
  <si>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</si>
  <si>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</si>
  <si>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</si>
  <si>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</si>
  <si>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</si>
  <si>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</si>
  <si>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</si>
  <si>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</si>
  <si>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</si>
  <si>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</si>
  <si>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</si>
  <si>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</si>
  <si>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</si>
  <si>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</si>
  <si>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</si>
  <si>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</si>
  <si>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</si>
  <si>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</si>
  <si>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</si>
  <si>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</si>
  <si>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</si>
  <si>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</si>
  <si>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</si>
  <si>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</si>
  <si>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</si>
  <si>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</si>
  <si>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</si>
  <si>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</si>
  <si>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</si>
  <si>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</si>
  <si>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</si>
  <si>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</si>
  <si>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</si>
  <si>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</si>
  <si>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</si>
  <si>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</si>
  <si>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</si>
  <si>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</si>
  <si>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</si>
  <si>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</si>
  <si>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</si>
  <si>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</si>
  <si>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</si>
  <si>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</si>
  <si>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</si>
  <si>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</si>
  <si>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</si>
  <si>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</si>
  <si>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</si>
  <si>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</si>
  <si>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</si>
  <si>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</si>
  <si>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</si>
  <si>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</si>
  <si>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</si>
  <si>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</si>
  <si>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</si>
  <si>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</si>
  <si>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</si>
  <si>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</si>
  <si>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</si>
  <si>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</si>
  <si>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</si>
  <si>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</si>
  <si>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</si>
  <si>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</si>
  <si>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</si>
  <si>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</si>
  <si>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</si>
  <si>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</si>
  <si>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</si>
  <si>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</si>
  <si>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</si>
  <si>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</si>
  <si>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</si>
  <si>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</si>
  <si>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FIRST,EXP,BLD,TB,WB,FS_KV,REPRO,LIN,HALFVAL,PT_DEN,PT_TB,PT_WB,LAST</t>
  </si>
  <si>
    <t>MUH</t>
  </si>
  <si>
    <t>Radiology</t>
  </si>
  <si>
    <t>Rutledge Tower</t>
  </si>
  <si>
    <t>Room 04 RT 127M</t>
  </si>
  <si>
    <t>Siemens</t>
  </si>
  <si>
    <t>Ysio</t>
  </si>
  <si>
    <t>Radiography</t>
  </si>
  <si>
    <t>Optitop 150/40/80HC</t>
  </si>
  <si>
    <t>Optitop 150/40/80HC-100</t>
  </si>
  <si>
    <t>DR</t>
  </si>
  <si>
    <t>`</t>
  </si>
  <si>
    <t>Radcal 9010 SN 90-2123/Radcal 4082 SN 42-0094</t>
  </si>
  <si>
    <t>OPERATIONAL NOTES</t>
  </si>
  <si>
    <t>To make table top exposures, select a Cassette APR</t>
  </si>
  <si>
    <t>Clinical EXI is the exposure index</t>
  </si>
  <si>
    <t>Criteria: lgM - Max difference 0.1 lgM for individual kV or thickness; 0.1 lgM overall</t>
  </si>
  <si>
    <t>AP</t>
  </si>
  <si>
    <t>Front</t>
  </si>
  <si>
    <t>Frontal</t>
  </si>
  <si>
    <t>Ceph</t>
  </si>
  <si>
    <t>Mobile</t>
  </si>
  <si>
    <t>Lat</t>
  </si>
  <si>
    <t>Lateral</t>
  </si>
  <si>
    <t>Pan</t>
  </si>
  <si>
    <t>BCM</t>
  </si>
  <si>
    <t>HVL @80.61 kVp (Max kV)</t>
  </si>
  <si>
    <t>NA</t>
  </si>
  <si>
    <t>Variation in kV and thickness tracking for the table bucky was high due to minimum exposure time limits. No action on this item is required.</t>
  </si>
  <si>
    <t>101.6 cm</t>
  </si>
  <si>
    <t>182.88 cm</t>
  </si>
  <si>
    <t>LR</t>
  </si>
  <si>
    <t xml:space="preserve">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</si>
</sst>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Cache>
                <c:formatCode>0.0000</c:formatCode>
                <c:ptCount val="8"/>
                <c:pt idx="0">
                  <c:v>4.0984768663625282</c:v>
                </c:pt>
                <c:pt idx="1">
                  <c:v>4.3901485270775682</c:v>
                </c:pt>
                <c:pt idx="2">
                  <c:v>4.6014564810874994</c:v>
                </c:pt>
                <c:pt idx="3">
                  <c:v>4.7953360835263794</c:v>
                </c:pt>
                <c:pt idx="4">
                  <c:v>4.9490214199576315</c:v>
                </c:pt>
                <c:pt idx="5">
                  <c:v>4.9490214199576315</c:v>
                </c:pt>
                <c:pt idx="6">
                  <c:v>4.9490214199576315</c:v>
                </c:pt>
                <c:pt idx="7">
                  <c:v>4.9490214199576315</c:v>
                </c:pt>
              </c:numCache>
            </c:numRef>
          </c:xVal>
          <c:yVal>
            <c:numRef>
              <c:f>Gen_form!$U$1397:$U$1404</c:f>
              <c:numCache>
                <c:formatCode>0.0000</c:formatCode>
                <c:ptCount val="8"/>
                <c:pt idx="0">
                  <c:v>-4.5998657221115238</c:v>
                </c:pt>
                <c:pt idx="1">
                  <c:v>-4.0301272963749151</c:v>
                </c:pt>
                <c:pt idx="2">
                  <c:v>-3.6232198621797198</c:v>
                </c:pt>
                <c:pt idx="3">
                  <c:v>-3.2753317551246197</c:v>
                </c:pt>
                <c:pt idx="4">
                  <c:v>-3.0116501520303043</c:v>
                </c:pt>
                <c:pt idx="5">
                  <c:v>-3.0116501520303043</c:v>
                </c:pt>
                <c:pt idx="6">
                  <c:v>-3.0116501520303043</c:v>
                </c:pt>
                <c:pt idx="7">
                  <c:v>-3.0116501520303043</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Cache>
                <c:formatCode>0.0000</c:formatCode>
                <c:ptCount val="6"/>
                <c:pt idx="0">
                  <c:v>3.8959618670341154</c:v>
                </c:pt>
                <c:pt idx="1">
                  <c:v>4.2538126096491444</c:v>
                </c:pt>
                <c:pt idx="2">
                  <c:v>4.4934089361627967</c:v>
                </c:pt>
                <c:pt idx="3">
                  <c:v>4.6863830508579305</c:v>
                </c:pt>
                <c:pt idx="4">
                  <c:v>4.8562333213043356</c:v>
                </c:pt>
                <c:pt idx="5">
                  <c:v>4.8562333213043356</c:v>
                </c:pt>
              </c:numCache>
            </c:numRef>
          </c:xVal>
          <c:yVal>
            <c:numRef>
              <c:f>Gen_form!$U$1414:$U$1419</c:f>
              <c:numCache>
                <c:formatCode>0.0000</c:formatCode>
                <c:ptCount val="6"/>
                <c:pt idx="0">
                  <c:v>-5.1827299115210508</c:v>
                </c:pt>
                <c:pt idx="1">
                  <c:v>-4.3710667022614098</c:v>
                </c:pt>
                <c:pt idx="2">
                  <c:v>-3.8603995524013075</c:v>
                </c:pt>
                <c:pt idx="3">
                  <c:v>-3.4963137768252506</c:v>
                </c:pt>
                <c:pt idx="4">
                  <c:v>-3.1879541930014406</c:v>
                </c:pt>
                <c:pt idx="5">
                  <c:v>-3.1879541930014406</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Cache>
                <c:formatCode>0.0000</c:formatCode>
                <c:ptCount val="8"/>
                <c:pt idx="0">
                  <c:v>4.0984768663625282</c:v>
                </c:pt>
                <c:pt idx="1">
                  <c:v>4.3901485270775682</c:v>
                </c:pt>
                <c:pt idx="2">
                  <c:v>4.6014564810874994</c:v>
                </c:pt>
                <c:pt idx="3">
                  <c:v>4.7953360835263794</c:v>
                </c:pt>
                <c:pt idx="4">
                  <c:v>4.9490214199576315</c:v>
                </c:pt>
                <c:pt idx="5">
                  <c:v>4.9490214199576315</c:v>
                </c:pt>
                <c:pt idx="6">
                  <c:v>4.9490214199576315</c:v>
                </c:pt>
                <c:pt idx="7">
                  <c:v>4.9490214199576315</c:v>
                </c:pt>
              </c:numCache>
            </c:numRef>
          </c:xVal>
          <c:yVal>
            <c:numRef>
              <c:f>Gen_form!$U$1397:$U$1404</c:f>
              <c:numCache>
                <c:formatCode>0.0000</c:formatCode>
                <c:ptCount val="8"/>
                <c:pt idx="0">
                  <c:v>-4.5998657221115238</c:v>
                </c:pt>
                <c:pt idx="1">
                  <c:v>-4.0301272963749151</c:v>
                </c:pt>
                <c:pt idx="2">
                  <c:v>-3.6232198621797198</c:v>
                </c:pt>
                <c:pt idx="3">
                  <c:v>-3.2753317551246197</c:v>
                </c:pt>
                <c:pt idx="4">
                  <c:v>-3.0116501520303043</c:v>
                </c:pt>
                <c:pt idx="5">
                  <c:v>-3.0116501520303043</c:v>
                </c:pt>
                <c:pt idx="6">
                  <c:v>-3.0116501520303043</c:v>
                </c:pt>
                <c:pt idx="7">
                  <c:v>-3.0116501520303043</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Cache>
                <c:formatCode>0.0000</c:formatCode>
                <c:ptCount val="6"/>
                <c:pt idx="0">
                  <c:v>3.8959618670341154</c:v>
                </c:pt>
                <c:pt idx="1">
                  <c:v>4.2538126096491444</c:v>
                </c:pt>
                <c:pt idx="2">
                  <c:v>4.4934089361627967</c:v>
                </c:pt>
                <c:pt idx="3">
                  <c:v>4.6863830508579305</c:v>
                </c:pt>
                <c:pt idx="4">
                  <c:v>4.8562333213043356</c:v>
                </c:pt>
                <c:pt idx="5">
                  <c:v>4.8562333213043356</c:v>
                </c:pt>
              </c:numCache>
            </c:numRef>
          </c:xVal>
          <c:yVal>
            <c:numRef>
              <c:f>Gen_form!$U$1414:$U$1419</c:f>
              <c:numCache>
                <c:formatCode>0.0000</c:formatCode>
                <c:ptCount val="6"/>
                <c:pt idx="0">
                  <c:v>-5.1827299115210508</c:v>
                </c:pt>
                <c:pt idx="1">
                  <c:v>-4.3710667022614098</c:v>
                </c:pt>
                <c:pt idx="2">
                  <c:v>-3.8603995524013075</c:v>
                </c:pt>
                <c:pt idx="3">
                  <c:v>-3.4963137768252506</c:v>
                </c:pt>
                <c:pt idx="4">
                  <c:v>-3.1879541930014406</c:v>
                </c:pt>
                <c:pt idx="5">
                  <c:v>-3.1879541930014406</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A4" zoomScale="75" zoomScaleNormal="75" workbookViewId="0">
      <selection activeCell="P8" sqref="P8"/>
    </sheetView>
  </sheetViews>
  <sheetFormatPr defaultColWidth="8.125" defaultRowHeight="11.25" customHeight="1"/>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8">
        <v>1</v>
      </c>
      <c r="B1" s="875"/>
      <c r="C1" s="99"/>
      <c r="D1" s="99"/>
      <c r="E1" s="99"/>
      <c r="F1" s="99"/>
      <c r="G1" s="99"/>
      <c r="H1" s="99"/>
      <c r="I1" s="99"/>
      <c r="J1" s="99"/>
      <c r="K1" s="105"/>
      <c r="L1" s="981" t="s">
        <v>533</v>
      </c>
      <c r="M1" s="1571" t="s">
        <v>1245</v>
      </c>
      <c r="N1" s="99"/>
      <c r="O1" s="99"/>
      <c r="P1" s="99"/>
      <c r="Q1" s="99"/>
      <c r="R1" s="99"/>
      <c r="S1" s="99"/>
      <c r="T1" s="1370" t="str">
        <f t="shared" ref="T1:T6" si="0">IF(OR(AB561="",AB561=0),"",AB561)</f>
        <v/>
      </c>
      <c r="U1" s="1382"/>
      <c r="V1" s="1382"/>
      <c r="W1" s="1383"/>
      <c r="X1" s="962" t="s">
        <v>533</v>
      </c>
      <c r="Y1" s="618" t="s">
        <v>480</v>
      </c>
      <c r="AA1" s="1669" t="s">
        <v>1192</v>
      </c>
      <c r="AB1" s="1670"/>
      <c r="AC1" s="1670"/>
      <c r="AD1" s="1670"/>
      <c r="AE1" s="1671"/>
    </row>
    <row r="2" spans="1:58" ht="11.25" customHeight="1" thickBot="1">
      <c r="A2" s="878">
        <v>2</v>
      </c>
      <c r="B2" s="108"/>
      <c r="C2" s="3"/>
      <c r="D2" s="3"/>
      <c r="E2" s="3"/>
      <c r="F2" s="95" t="s">
        <v>1195</v>
      </c>
      <c r="G2" s="3"/>
      <c r="H2" s="3"/>
      <c r="I2" s="3"/>
      <c r="J2" s="3"/>
      <c r="K2" s="107"/>
      <c r="L2" s="981" t="s">
        <v>533</v>
      </c>
      <c r="M2" s="106"/>
      <c r="N2" s="3"/>
      <c r="O2" s="3"/>
      <c r="P2" s="3"/>
      <c r="Q2" s="157" t="str">
        <f>$F$2</f>
        <v>Medical University of South Carolina</v>
      </c>
      <c r="S2" s="3"/>
      <c r="T2" s="1371" t="str">
        <f t="shared" si="0"/>
        <v/>
      </c>
      <c r="U2" s="1384"/>
      <c r="V2" s="1385"/>
      <c r="W2" s="1386"/>
      <c r="X2" s="962" t="s">
        <v>533</v>
      </c>
      <c r="Y2" s="934" t="s">
        <v>1220</v>
      </c>
      <c r="AA2" s="1672"/>
      <c r="AB2" s="1673"/>
      <c r="AC2" s="1673"/>
      <c r="AD2" s="1673"/>
      <c r="AE2" s="1674"/>
    </row>
    <row r="3" spans="1:58" ht="11.25" customHeight="1">
      <c r="A3" s="878">
        <v>3</v>
      </c>
      <c r="B3" s="108"/>
      <c r="C3" s="3"/>
      <c r="D3" s="3"/>
      <c r="E3" s="3"/>
      <c r="F3" s="95" t="s">
        <v>1196</v>
      </c>
      <c r="G3" s="3"/>
      <c r="H3" s="3"/>
      <c r="I3" s="3"/>
      <c r="J3" s="3"/>
      <c r="K3" s="107"/>
      <c r="L3" s="981" t="s">
        <v>533</v>
      </c>
      <c r="M3" s="106"/>
      <c r="N3" s="3"/>
      <c r="O3" s="3"/>
      <c r="P3" s="3"/>
      <c r="Q3" s="95" t="str">
        <f>$F$3</f>
        <v>Charleston, South Carolina</v>
      </c>
      <c r="S3" s="96"/>
      <c r="T3" s="1371" t="str">
        <f t="shared" si="0"/>
        <v/>
      </c>
      <c r="U3" s="1384"/>
      <c r="V3" s="1385"/>
      <c r="W3" s="1386"/>
      <c r="X3" s="962" t="s">
        <v>533</v>
      </c>
      <c r="Y3" s="965" t="s">
        <v>481</v>
      </c>
      <c r="Z3" s="966" t="s">
        <v>372</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8">
        <v>4</v>
      </c>
      <c r="B4" s="108"/>
      <c r="C4" s="67"/>
      <c r="D4" s="67"/>
      <c r="E4" s="67"/>
      <c r="F4" s="67"/>
      <c r="G4" s="67"/>
      <c r="H4" s="67"/>
      <c r="I4" s="67"/>
      <c r="J4" s="67"/>
      <c r="K4" s="107"/>
      <c r="L4" s="981" t="s">
        <v>533</v>
      </c>
      <c r="M4" s="106"/>
      <c r="N4" s="67"/>
      <c r="O4" s="67"/>
      <c r="P4" s="67"/>
      <c r="Q4" s="67"/>
      <c r="R4" s="67"/>
      <c r="S4" s="67"/>
      <c r="T4" s="1371" t="str">
        <f t="shared" si="0"/>
        <v/>
      </c>
      <c r="U4" s="1384"/>
      <c r="V4" s="1385"/>
      <c r="W4" s="1386"/>
      <c r="X4" s="962" t="s">
        <v>533</v>
      </c>
      <c r="Y4" s="785"/>
      <c r="AA4" s="801" t="s">
        <v>482</v>
      </c>
      <c r="AB4" s="967" t="s">
        <v>1142</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8">
        <v>5</v>
      </c>
      <c r="B5" s="108"/>
      <c r="C5" s="67"/>
      <c r="D5" s="67"/>
      <c r="E5" s="3"/>
      <c r="F5" s="97" t="s">
        <v>483</v>
      </c>
      <c r="G5" s="67"/>
      <c r="H5" s="67"/>
      <c r="I5" s="3"/>
      <c r="J5" s="3"/>
      <c r="K5" s="109"/>
      <c r="L5" s="981" t="s">
        <v>533</v>
      </c>
      <c r="M5" s="106"/>
      <c r="N5" s="67"/>
      <c r="O5" s="67"/>
      <c r="P5" s="97" t="str">
        <f>$F$5</f>
        <v>Radiographic System Compliance Inspection</v>
      </c>
      <c r="S5" s="67"/>
      <c r="T5" s="1371" t="str">
        <f t="shared" si="0"/>
        <v/>
      </c>
      <c r="U5" s="1384"/>
      <c r="V5" s="1385"/>
      <c r="W5" s="1386"/>
      <c r="X5" s="962" t="s">
        <v>533</v>
      </c>
      <c r="Y5" s="785"/>
      <c r="AA5" s="441"/>
      <c r="AB5" s="967" t="s">
        <v>484</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8">
        <v>6</v>
      </c>
      <c r="B6" s="110"/>
      <c r="C6" s="111"/>
      <c r="D6" s="111"/>
      <c r="E6" s="111"/>
      <c r="F6" s="112"/>
      <c r="G6" s="111"/>
      <c r="H6" s="111"/>
      <c r="I6" s="111"/>
      <c r="J6" s="111"/>
      <c r="K6" s="113"/>
      <c r="L6" s="981" t="s">
        <v>533</v>
      </c>
      <c r="M6" s="114"/>
      <c r="N6" s="112"/>
      <c r="O6" s="112"/>
      <c r="P6" s="112"/>
      <c r="Q6" s="112"/>
      <c r="R6" s="112"/>
      <c r="S6" s="112"/>
      <c r="T6" s="1372" t="str">
        <f t="shared" si="0"/>
        <v/>
      </c>
      <c r="U6" s="1387"/>
      <c r="V6" s="1387"/>
      <c r="W6" s="1388"/>
      <c r="X6" s="962" t="s">
        <v>533</v>
      </c>
      <c r="Y6" s="785"/>
      <c r="Z6" s="785"/>
      <c r="AA6" s="441"/>
      <c r="AB6" s="793" t="s">
        <v>485</v>
      </c>
      <c r="AC6" s="844" t="s">
        <v>1143</v>
      </c>
      <c r="AD6" s="789" t="s">
        <v>486</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8">
        <v>7</v>
      </c>
      <c r="B7" s="115"/>
      <c r="C7" s="67"/>
      <c r="D7" s="67"/>
      <c r="E7" s="67"/>
      <c r="F7" s="67"/>
      <c r="G7" s="60"/>
      <c r="H7" s="60"/>
      <c r="I7" s="60"/>
      <c r="J7" s="60"/>
      <c r="K7" s="60"/>
      <c r="L7" s="981" t="s">
        <v>533</v>
      </c>
      <c r="M7" s="3"/>
      <c r="N7" s="67"/>
      <c r="O7" s="67"/>
      <c r="P7" s="67"/>
      <c r="Q7" s="67"/>
      <c r="R7" s="67"/>
      <c r="S7" s="67"/>
      <c r="T7" s="43"/>
      <c r="U7" s="3"/>
      <c r="V7" s="3"/>
      <c r="W7" s="3"/>
      <c r="X7" s="962" t="s">
        <v>533</v>
      </c>
      <c r="Y7" s="784"/>
      <c r="Z7" s="784"/>
      <c r="AA7" s="791" t="s">
        <v>487</v>
      </c>
      <c r="AB7" s="794" t="s">
        <v>488</v>
      </c>
      <c r="AD7" s="790" t="s">
        <v>488</v>
      </c>
      <c r="AE7" s="803" t="s">
        <v>489</v>
      </c>
      <c r="AF7" s="845" t="s">
        <v>490</v>
      </c>
      <c r="AG7" s="846" t="s">
        <v>1144</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8">
        <v>8</v>
      </c>
      <c r="B8" s="115"/>
      <c r="C8" s="67"/>
      <c r="D8" s="67"/>
      <c r="E8" s="67"/>
      <c r="F8" s="97" t="s">
        <v>491</v>
      </c>
      <c r="G8" s="65"/>
      <c r="H8" s="60"/>
      <c r="I8" s="66"/>
      <c r="J8" s="60"/>
      <c r="K8" s="60"/>
      <c r="L8" s="981" t="s">
        <v>533</v>
      </c>
      <c r="M8" s="3"/>
      <c r="N8" s="43" t="s">
        <v>492</v>
      </c>
      <c r="O8" s="1658">
        <v>43039</v>
      </c>
      <c r="P8" s="67"/>
      <c r="Q8" s="67"/>
      <c r="R8" s="97" t="str">
        <f>$F$8</f>
        <v>System Information</v>
      </c>
      <c r="S8" s="67"/>
      <c r="T8" s="67"/>
      <c r="U8" s="43" t="s">
        <v>493</v>
      </c>
      <c r="V8" s="1088" t="s">
        <v>20</v>
      </c>
      <c r="W8" s="3"/>
      <c r="X8" s="962" t="s">
        <v>533</v>
      </c>
      <c r="Y8" s="784"/>
      <c r="Z8" s="784"/>
      <c r="AA8" s="784" t="s">
        <v>494</v>
      </c>
      <c r="AB8" s="1481" t="s">
        <v>1275</v>
      </c>
      <c r="AC8" s="797" t="str">
        <f>IF(AND(OR(AB8="",AB8=0),OR(AD8="",AD8=0)),"",IF(AB8&lt;&gt;AD8,"Change",""))</f>
        <v>Change</v>
      </c>
      <c r="AD8" s="1499" t="str">
        <f>IF(Y2="","",Y2)</f>
        <v>FIRST,EXP,BLD,TB,WB,FS_KV,REPRO,TIM,LIN,HALFVAL,PT_DEN,PT_TB,PT_WB,LAST</v>
      </c>
      <c r="AE8" s="802" t="s">
        <v>814</v>
      </c>
      <c r="AG8" s="846" t="s">
        <v>1145</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8">
        <v>9</v>
      </c>
      <c r="B9" s="115"/>
      <c r="C9" s="67"/>
      <c r="D9" s="67"/>
      <c r="E9" s="67"/>
      <c r="F9" s="67"/>
      <c r="G9" s="67"/>
      <c r="H9" s="60"/>
      <c r="I9" s="60"/>
      <c r="J9" s="60"/>
      <c r="K9" s="60"/>
      <c r="L9" s="981" t="s">
        <v>533</v>
      </c>
      <c r="M9" s="3"/>
      <c r="N9" s="1186" t="s">
        <v>495</v>
      </c>
      <c r="O9" s="1559">
        <f>IF(OR(AB9=0,AB9=""),"",AB9)</f>
        <v>42677</v>
      </c>
      <c r="P9" s="3"/>
      <c r="Q9" s="3"/>
      <c r="R9" s="3"/>
      <c r="S9" s="3"/>
      <c r="T9" s="3"/>
      <c r="U9" s="1187" t="s">
        <v>495</v>
      </c>
      <c r="V9" s="1085" t="str">
        <f>IF(OR(AB10=0,AB10=""),"",AB10)</f>
        <v>Eugene Mah</v>
      </c>
      <c r="W9" s="3"/>
      <c r="X9" s="962"/>
      <c r="Y9" s="784"/>
      <c r="Z9" s="441"/>
      <c r="AA9" s="784" t="s">
        <v>492</v>
      </c>
      <c r="AB9" s="1558">
        <v>42677</v>
      </c>
      <c r="AC9" s="797" t="str">
        <f t="shared" ref="AC9:AC72" si="1">IF(AND(OR(AB9="",AB9=0),OR(AD9="",AD9=0)),"",IF(AB9&lt;&gt;AD9,"Change",""))</f>
        <v>Change</v>
      </c>
      <c r="AD9" s="1500">
        <f>IF(O8="","",O8)</f>
        <v>43039</v>
      </c>
      <c r="AE9" s="802" t="s">
        <v>815</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8">
        <v>10</v>
      </c>
      <c r="B10" s="78"/>
      <c r="C10" s="136" t="s">
        <v>496</v>
      </c>
      <c r="D10" s="76"/>
      <c r="E10" s="76"/>
      <c r="F10" s="76"/>
      <c r="G10" s="76"/>
      <c r="H10" s="137"/>
      <c r="I10" s="137"/>
      <c r="J10" s="137"/>
      <c r="K10" s="79"/>
      <c r="L10" s="981" t="s">
        <v>533</v>
      </c>
      <c r="M10" s="162"/>
      <c r="N10" s="136" t="s">
        <v>496</v>
      </c>
      <c r="O10" s="137"/>
      <c r="P10" s="137"/>
      <c r="Q10" s="1086" t="s">
        <v>374</v>
      </c>
      <c r="R10" s="1087"/>
      <c r="S10" s="137"/>
      <c r="T10" s="137"/>
      <c r="U10" s="1086" t="s">
        <v>374</v>
      </c>
      <c r="V10" s="1087"/>
      <c r="W10" s="79"/>
      <c r="X10" s="962" t="s">
        <v>533</v>
      </c>
      <c r="Y10" s="784"/>
      <c r="Z10" s="784"/>
      <c r="AA10" s="784" t="s">
        <v>493</v>
      </c>
      <c r="AB10" s="1481" t="s">
        <v>20</v>
      </c>
      <c r="AC10" s="797" t="str">
        <f t="shared" si="1"/>
        <v/>
      </c>
      <c r="AD10" s="1499" t="str">
        <f>IF(V8="","",V8)</f>
        <v>Eugene Mah</v>
      </c>
      <c r="AE10" s="802" t="s">
        <v>816</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8">
        <v>11</v>
      </c>
      <c r="B11" s="80"/>
      <c r="C11" s="67"/>
      <c r="D11" s="66" t="s">
        <v>497</v>
      </c>
      <c r="E11" s="70" t="str">
        <f>IF(P11="","",P11)</f>
        <v>MUH</v>
      </c>
      <c r="F11" s="59"/>
      <c r="G11" s="60"/>
      <c r="H11" s="66" t="s">
        <v>1198</v>
      </c>
      <c r="I11" s="1463" t="str">
        <f>IF(T11="","",T11)</f>
        <v/>
      </c>
      <c r="J11" s="67"/>
      <c r="K11" s="83"/>
      <c r="L11" s="981" t="s">
        <v>533</v>
      </c>
      <c r="M11" s="150"/>
      <c r="N11" s="60"/>
      <c r="O11" s="66" t="s">
        <v>497</v>
      </c>
      <c r="P11" s="996" t="str">
        <f>IF(Q11&lt;&gt;"",Q11,IF(OR(AB11=0,AB11=""),"",AB11))</f>
        <v>MUH</v>
      </c>
      <c r="Q11" s="1089"/>
      <c r="R11" s="324"/>
      <c r="S11" s="326" t="s">
        <v>30</v>
      </c>
      <c r="T11" s="996" t="str">
        <f>IF(U11&lt;&gt;"",U11,IF(OR(AB48=0,AB48=""),"",AB48))</f>
        <v/>
      </c>
      <c r="U11" s="1091"/>
      <c r="V11" s="62"/>
      <c r="W11" s="83"/>
      <c r="X11" s="962" t="s">
        <v>533</v>
      </c>
      <c r="Y11" s="784"/>
      <c r="Z11" s="784"/>
      <c r="AA11" s="784" t="str">
        <f>IF(O11="","",O11)</f>
        <v>Facility:</v>
      </c>
      <c r="AB11" s="1481" t="s">
        <v>1276</v>
      </c>
      <c r="AC11" s="797" t="str">
        <f t="shared" si="1"/>
        <v/>
      </c>
      <c r="AD11" s="1460" t="str">
        <f t="shared" ref="AD11:AD25" si="2">IF(P11="","",P11)</f>
        <v>MUH</v>
      </c>
      <c r="AE11" s="802" t="s">
        <v>817</v>
      </c>
      <c r="AF11" s="852" t="s">
        <v>504</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8">
        <v>12</v>
      </c>
      <c r="B12" s="80"/>
      <c r="C12" s="67"/>
      <c r="D12" s="66" t="s">
        <v>498</v>
      </c>
      <c r="E12" s="70" t="str">
        <f>IF(P12="","",P12)</f>
        <v>Radiology</v>
      </c>
      <c r="F12" s="71"/>
      <c r="G12" s="67"/>
      <c r="H12" s="66" t="s">
        <v>499</v>
      </c>
      <c r="I12" s="70" t="str">
        <f>IF(T12="","",T12)</f>
        <v>Radiography</v>
      </c>
      <c r="J12" s="59"/>
      <c r="K12" s="84"/>
      <c r="L12" s="981" t="s">
        <v>533</v>
      </c>
      <c r="M12" s="150"/>
      <c r="N12" s="60"/>
      <c r="O12" s="66" t="s">
        <v>498</v>
      </c>
      <c r="P12" s="996" t="str">
        <f>IF(Q12&lt;&gt;"",Q12,IF(OR(AB12=0,AB12=""),"",AB12))</f>
        <v>Radiology</v>
      </c>
      <c r="Q12" s="1090"/>
      <c r="R12" s="323"/>
      <c r="S12" s="326" t="s">
        <v>499</v>
      </c>
      <c r="T12" s="996" t="str">
        <f>IF(U12&lt;&gt;"",U12,IF(OR(AB49=0,AB49=""),"",AB49))</f>
        <v>Radiography</v>
      </c>
      <c r="U12" s="1549"/>
      <c r="V12" s="60"/>
      <c r="W12" s="83"/>
      <c r="X12" s="962" t="s">
        <v>533</v>
      </c>
      <c r="Y12" s="784"/>
      <c r="Z12" s="784"/>
      <c r="AA12" s="784" t="str">
        <f t="shared" ref="AA12:AA27" si="3">IF(O12="","",O12)</f>
        <v>Department:</v>
      </c>
      <c r="AB12" s="1481" t="s">
        <v>1277</v>
      </c>
      <c r="AC12" s="797" t="str">
        <f t="shared" si="1"/>
        <v/>
      </c>
      <c r="AD12" s="1460" t="str">
        <f t="shared" si="2"/>
        <v>Radiology</v>
      </c>
      <c r="AE12" s="802" t="s">
        <v>818</v>
      </c>
      <c r="AF12" s="852" t="s">
        <v>505</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8">
        <v>13</v>
      </c>
      <c r="B13" s="80"/>
      <c r="C13" s="67"/>
      <c r="D13" s="66" t="s">
        <v>500</v>
      </c>
      <c r="E13" s="70" t="str">
        <f>IF(P13="","",P13)</f>
        <v>Rutledge Tower</v>
      </c>
      <c r="F13" s="59"/>
      <c r="G13" s="60"/>
      <c r="H13" s="66" t="s">
        <v>501</v>
      </c>
      <c r="I13" s="1560">
        <f>IF(T13="","",T13)</f>
        <v>40513</v>
      </c>
      <c r="J13" s="60"/>
      <c r="K13" s="83"/>
      <c r="L13" s="981" t="s">
        <v>533</v>
      </c>
      <c r="M13" s="150"/>
      <c r="N13" s="60"/>
      <c r="O13" s="66" t="s">
        <v>500</v>
      </c>
      <c r="P13" s="996" t="str">
        <f>IF(Q13&lt;&gt;"",Q13,IF(OR(AB13=0,AB13=""),"",AB13))</f>
        <v>Rutledge Tower</v>
      </c>
      <c r="Q13" s="1549"/>
      <c r="R13" s="323"/>
      <c r="S13" s="326" t="s">
        <v>501</v>
      </c>
      <c r="T13" s="1553">
        <f>IF(U13&lt;&gt;"",U13,IF(OR(AB50=0,AB50=""),"",AB50))</f>
        <v>40513</v>
      </c>
      <c r="U13" s="1552"/>
      <c r="V13" s="60"/>
      <c r="W13" s="83"/>
      <c r="X13" s="962" t="s">
        <v>533</v>
      </c>
      <c r="Y13" s="784"/>
      <c r="Z13" s="784"/>
      <c r="AA13" s="784" t="str">
        <f t="shared" si="3"/>
        <v>Area/Division:</v>
      </c>
      <c r="AB13" s="1481" t="s">
        <v>1278</v>
      </c>
      <c r="AC13" s="797" t="str">
        <f t="shared" si="1"/>
        <v/>
      </c>
      <c r="AD13" s="1460" t="str">
        <f t="shared" si="2"/>
        <v>Rutledge Tower</v>
      </c>
      <c r="AE13" s="802" t="s">
        <v>819</v>
      </c>
      <c r="AF13" s="852" t="s">
        <v>507</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c r="A14" s="878">
        <v>14</v>
      </c>
      <c r="B14" s="80"/>
      <c r="C14" s="60"/>
      <c r="D14" s="66" t="s">
        <v>1197</v>
      </c>
      <c r="E14" s="1463">
        <f>IF(P14="","",P14)</f>
        <v>1976</v>
      </c>
      <c r="F14" s="67"/>
      <c r="G14" s="67"/>
      <c r="H14" s="66" t="s">
        <v>502</v>
      </c>
      <c r="I14" s="75">
        <f>IF(T14="","",T14)</f>
        <v>1</v>
      </c>
      <c r="J14" s="60"/>
      <c r="K14" s="83"/>
      <c r="L14" s="981" t="s">
        <v>533</v>
      </c>
      <c r="M14" s="150"/>
      <c r="N14" s="60"/>
      <c r="O14" s="66" t="s">
        <v>1197</v>
      </c>
      <c r="P14" s="996">
        <f>IF(Q14&lt;&gt;"",Q14,IF(OR(AB14=0,AB14=""),"",AB14))</f>
        <v>1976</v>
      </c>
      <c r="Q14" s="1090"/>
      <c r="R14" s="323"/>
      <c r="S14" s="326" t="s">
        <v>502</v>
      </c>
      <c r="T14" s="997">
        <f>IF(U14&lt;&gt;"",U14,IF(OR(AB51=0,AB51=""),"",AB51))</f>
        <v>1</v>
      </c>
      <c r="U14" s="1092"/>
      <c r="V14" s="60"/>
      <c r="W14" s="83"/>
      <c r="X14" s="962" t="s">
        <v>533</v>
      </c>
      <c r="Y14" s="784"/>
      <c r="Z14" s="784"/>
      <c r="AA14" s="784" t="str">
        <f t="shared" si="3"/>
        <v>Survey ID:</v>
      </c>
      <c r="AB14" s="1481">
        <v>1976</v>
      </c>
      <c r="AC14" s="797" t="str">
        <f t="shared" si="1"/>
        <v/>
      </c>
      <c r="AD14" s="1460">
        <f t="shared" si="2"/>
        <v>1976</v>
      </c>
      <c r="AE14" s="802" t="s">
        <v>820</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c r="A15" s="878">
        <v>15</v>
      </c>
      <c r="B15" s="80"/>
      <c r="C15" s="60"/>
      <c r="D15" s="66"/>
      <c r="E15" s="72"/>
      <c r="F15" s="60"/>
      <c r="G15" s="67"/>
      <c r="H15" s="67"/>
      <c r="I15" s="67"/>
      <c r="J15" s="60"/>
      <c r="K15" s="83"/>
      <c r="L15" s="981" t="s">
        <v>533</v>
      </c>
      <c r="M15" s="150"/>
      <c r="N15" s="60"/>
      <c r="O15" s="66" t="s">
        <v>503</v>
      </c>
      <c r="P15" s="996" t="str">
        <f>IF(Q15&lt;&gt;"",Q15,IF(OR(AB15=0,AB15=""),"",AB15))</f>
        <v>Room 04 RT 127M</v>
      </c>
      <c r="Q15" s="1549"/>
      <c r="R15" s="323"/>
      <c r="S15" s="326" t="s">
        <v>29</v>
      </c>
      <c r="T15" s="997">
        <f>IF(U15&lt;&gt;"",U15,IF(OR(AB52=0,AB52=""),"",AB52))</f>
        <v>7238588</v>
      </c>
      <c r="U15" s="1092"/>
      <c r="V15" s="62"/>
      <c r="W15" s="83"/>
      <c r="X15" s="962" t="s">
        <v>533</v>
      </c>
      <c r="Y15" s="784"/>
      <c r="Z15" s="784"/>
      <c r="AA15" s="784" t="str">
        <f t="shared" si="3"/>
        <v>Room Number:</v>
      </c>
      <c r="AB15" s="1481" t="s">
        <v>1279</v>
      </c>
      <c r="AC15" s="797" t="str">
        <f t="shared" si="1"/>
        <v/>
      </c>
      <c r="AD15" s="1460" t="str">
        <f t="shared" si="2"/>
        <v>Room 04 RT 127M</v>
      </c>
      <c r="AE15" s="802" t="s">
        <v>821</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8">
        <v>16</v>
      </c>
      <c r="B16" s="81"/>
      <c r="C16" s="89"/>
      <c r="D16" s="77"/>
      <c r="E16" s="77"/>
      <c r="F16" s="77"/>
      <c r="G16" s="77"/>
      <c r="H16" s="89"/>
      <c r="I16" s="90"/>
      <c r="J16" s="90"/>
      <c r="K16" s="91"/>
      <c r="L16" s="981" t="s">
        <v>533</v>
      </c>
      <c r="M16" s="150"/>
      <c r="N16" s="60"/>
      <c r="O16" s="60"/>
      <c r="P16" s="323"/>
      <c r="Q16" s="323"/>
      <c r="R16" s="323"/>
      <c r="S16" s="323"/>
      <c r="T16" s="60"/>
      <c r="U16" s="60"/>
      <c r="V16" s="60"/>
      <c r="W16" s="83"/>
      <c r="X16" s="962" t="s">
        <v>533</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8">
        <v>17</v>
      </c>
      <c r="B17" s="80"/>
      <c r="C17" s="119" t="s">
        <v>506</v>
      </c>
      <c r="D17" s="117"/>
      <c r="E17" s="67"/>
      <c r="F17" s="67"/>
      <c r="G17" s="67"/>
      <c r="H17" s="60"/>
      <c r="I17" s="66"/>
      <c r="J17" s="62"/>
      <c r="K17" s="84"/>
      <c r="L17" s="981" t="s">
        <v>533</v>
      </c>
      <c r="M17" s="150"/>
      <c r="N17" s="119" t="s">
        <v>506</v>
      </c>
      <c r="O17" s="118"/>
      <c r="P17" s="323"/>
      <c r="Q17" s="323"/>
      <c r="R17" s="323"/>
      <c r="S17" s="323"/>
      <c r="T17" s="60"/>
      <c r="U17" s="60"/>
      <c r="V17" s="60"/>
      <c r="W17" s="83"/>
      <c r="X17" s="962" t="s">
        <v>533</v>
      </c>
      <c r="Y17" s="784"/>
      <c r="Z17" s="784"/>
      <c r="AA17" s="791" t="s">
        <v>506</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8">
        <v>18</v>
      </c>
      <c r="B18" s="80"/>
      <c r="C18" s="60"/>
      <c r="D18" s="66" t="s">
        <v>508</v>
      </c>
      <c r="E18" s="70" t="str">
        <f>IF(P18="","",P18)</f>
        <v>Siemens</v>
      </c>
      <c r="F18" s="60"/>
      <c r="G18" s="67"/>
      <c r="H18" s="66" t="s">
        <v>509</v>
      </c>
      <c r="I18" s="1560">
        <f>IF(T18="","",T18)</f>
        <v>40391</v>
      </c>
      <c r="J18" s="62"/>
      <c r="K18" s="83"/>
      <c r="L18" s="981" t="s">
        <v>533</v>
      </c>
      <c r="M18" s="150"/>
      <c r="N18" s="60"/>
      <c r="O18" s="66" t="s">
        <v>508</v>
      </c>
      <c r="P18" s="996" t="str">
        <f>IF(Q18&lt;&gt;"",Q18,IF(OR(AB18=0,AB18=""),"",AB18))</f>
        <v>Siemens</v>
      </c>
      <c r="Q18" s="1462"/>
      <c r="R18" s="323"/>
      <c r="S18" s="326" t="s">
        <v>509</v>
      </c>
      <c r="T18" s="1553">
        <f>IF(U18&lt;&gt;"",U18,IF(OR(AB55=0,AB55=""),"",AB55))</f>
        <v>40391</v>
      </c>
      <c r="U18" s="1554"/>
      <c r="V18" s="60"/>
      <c r="W18" s="83"/>
      <c r="X18" s="962" t="s">
        <v>533</v>
      </c>
      <c r="Y18" s="784"/>
      <c r="Z18" s="784"/>
      <c r="AA18" s="784" t="str">
        <f t="shared" si="3"/>
        <v>Manufacturer:</v>
      </c>
      <c r="AB18" s="1481" t="s">
        <v>1280</v>
      </c>
      <c r="AC18" s="797" t="str">
        <f t="shared" si="1"/>
        <v/>
      </c>
      <c r="AD18" s="1460" t="str">
        <f t="shared" si="2"/>
        <v>Siemens</v>
      </c>
      <c r="AE18" s="802" t="s">
        <v>822</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8">
        <v>19</v>
      </c>
      <c r="B19" s="80"/>
      <c r="C19" s="60"/>
      <c r="D19" s="66" t="s">
        <v>510</v>
      </c>
      <c r="E19" s="70" t="str">
        <f>IF(P19="","",P19)</f>
        <v>Ysio</v>
      </c>
      <c r="F19" s="60"/>
      <c r="G19" s="67"/>
      <c r="H19" s="66" t="s">
        <v>511</v>
      </c>
      <c r="I19" s="1463">
        <f>IF(T19="","",T19)</f>
        <v>1410</v>
      </c>
      <c r="J19" s="69"/>
      <c r="K19" s="83"/>
      <c r="L19" s="981" t="s">
        <v>533</v>
      </c>
      <c r="M19" s="150"/>
      <c r="N19" s="60"/>
      <c r="O19" s="66" t="s">
        <v>510</v>
      </c>
      <c r="P19" s="996" t="str">
        <f>IF(Q19&lt;&gt;"",Q19,IF(OR(AB19=0,AB19=""),"",AB19))</f>
        <v>Ysio</v>
      </c>
      <c r="Q19" s="1549"/>
      <c r="R19" s="323"/>
      <c r="S19" s="326" t="s">
        <v>511</v>
      </c>
      <c r="T19" s="1379">
        <f>IF(U19&lt;&gt;"",U19,IF(OR(AB56=0,AB56=""),"",AB56))</f>
        <v>1410</v>
      </c>
      <c r="U19" s="1550"/>
      <c r="V19" s="60"/>
      <c r="W19" s="83"/>
      <c r="X19" s="962" t="s">
        <v>533</v>
      </c>
      <c r="Y19" s="784"/>
      <c r="Z19" s="784"/>
      <c r="AA19" s="784" t="str">
        <f t="shared" si="3"/>
        <v>Model:</v>
      </c>
      <c r="AB19" s="1481" t="s">
        <v>1281</v>
      </c>
      <c r="AC19" s="797" t="str">
        <f t="shared" si="1"/>
        <v/>
      </c>
      <c r="AD19" s="1460" t="str">
        <f t="shared" si="2"/>
        <v>Ysio</v>
      </c>
      <c r="AE19" s="802" t="s">
        <v>823</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8">
        <v>20</v>
      </c>
      <c r="B20" s="80"/>
      <c r="C20" s="60"/>
      <c r="D20" s="66" t="s">
        <v>512</v>
      </c>
      <c r="E20" s="75">
        <f>IF(P20="","",P20)</f>
        <v>125</v>
      </c>
      <c r="F20" s="123"/>
      <c r="G20" s="60"/>
      <c r="H20" s="66" t="s">
        <v>513</v>
      </c>
      <c r="I20" s="75" t="str">
        <f>IF(T20="","",T20)</f>
        <v/>
      </c>
      <c r="J20" s="60"/>
      <c r="K20" s="83"/>
      <c r="L20" s="981" t="s">
        <v>533</v>
      </c>
      <c r="M20" s="150"/>
      <c r="N20" s="60"/>
      <c r="O20" s="66" t="s">
        <v>512</v>
      </c>
      <c r="P20" s="997">
        <f>IF(Q20&lt;&gt;"",Q20,IF(OR(AB20=0,AB20=""),"",AB20))</f>
        <v>125</v>
      </c>
      <c r="Q20" s="1092"/>
      <c r="R20" s="323"/>
      <c r="S20" s="326" t="s">
        <v>513</v>
      </c>
      <c r="T20" s="997" t="str">
        <f>IF(U20&lt;&gt;"",U20,IF(OR(AB57=0,AB57=""),"",AB57))</f>
        <v/>
      </c>
      <c r="U20" s="1092"/>
      <c r="V20" s="67"/>
      <c r="W20" s="83"/>
      <c r="X20" s="962" t="s">
        <v>533</v>
      </c>
      <c r="Y20" s="784"/>
      <c r="Z20" s="784"/>
      <c r="AA20" s="784" t="str">
        <f t="shared" si="3"/>
        <v>Max. kVp:</v>
      </c>
      <c r="AB20" s="1481">
        <v>125</v>
      </c>
      <c r="AC20" s="797" t="str">
        <f t="shared" si="1"/>
        <v/>
      </c>
      <c r="AD20" s="1501">
        <f t="shared" si="2"/>
        <v>125</v>
      </c>
      <c r="AE20" s="802" t="s">
        <v>824</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8">
        <v>21</v>
      </c>
      <c r="B21" s="80"/>
      <c r="C21" s="60"/>
      <c r="D21" s="66" t="s">
        <v>1255</v>
      </c>
      <c r="E21" s="75" t="str">
        <f>IF(P21="","",P21)</f>
        <v/>
      </c>
      <c r="F21" s="60"/>
      <c r="G21" s="60"/>
      <c r="H21" s="60"/>
      <c r="I21" s="60"/>
      <c r="J21" s="62"/>
      <c r="K21" s="83"/>
      <c r="L21" s="981" t="s">
        <v>533</v>
      </c>
      <c r="M21" s="150"/>
      <c r="N21" s="60"/>
      <c r="O21" s="66" t="s">
        <v>1255</v>
      </c>
      <c r="P21" s="997" t="str">
        <f>IF(Q21&lt;&gt;"",Q21,IF(OR(AB21=0,AB21=""),"",AB21))</f>
        <v/>
      </c>
      <c r="Q21" s="1092"/>
      <c r="R21" s="323"/>
      <c r="S21" s="323"/>
      <c r="T21" s="326"/>
      <c r="U21" s="167"/>
      <c r="V21" s="60"/>
      <c r="W21" s="83"/>
      <c r="X21" s="962" t="s">
        <v>533</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8">
        <v>22</v>
      </c>
      <c r="B22" s="81"/>
      <c r="C22" s="77"/>
      <c r="D22" s="92"/>
      <c r="E22" s="89"/>
      <c r="F22" s="89"/>
      <c r="G22" s="89"/>
      <c r="H22" s="89"/>
      <c r="I22" s="90"/>
      <c r="J22" s="89"/>
      <c r="K22" s="82"/>
      <c r="L22" s="981" t="s">
        <v>533</v>
      </c>
      <c r="M22" s="150"/>
      <c r="N22" s="60"/>
      <c r="O22" s="66"/>
      <c r="P22" s="323"/>
      <c r="Q22" s="323"/>
      <c r="R22" s="323"/>
      <c r="S22" s="323"/>
      <c r="T22" s="324"/>
      <c r="U22" s="62"/>
      <c r="V22" s="60"/>
      <c r="W22" s="83"/>
      <c r="X22" s="962" t="s">
        <v>533</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8">
        <v>23</v>
      </c>
      <c r="B23" s="80"/>
      <c r="C23" s="119" t="str">
        <f>IF(N23="","",N23)</f>
        <v>X-Ray Tube 1</v>
      </c>
      <c r="D23" s="118"/>
      <c r="E23" s="60"/>
      <c r="F23" s="60"/>
      <c r="G23" s="67"/>
      <c r="H23" s="62"/>
      <c r="I23" s="118" t="s">
        <v>514</v>
      </c>
      <c r="J23" s="62"/>
      <c r="K23" s="83"/>
      <c r="L23" s="981" t="s">
        <v>533</v>
      </c>
      <c r="M23" s="150"/>
      <c r="N23" s="119" t="s">
        <v>515</v>
      </c>
      <c r="O23" s="60"/>
      <c r="P23" s="323"/>
      <c r="Q23" s="323"/>
      <c r="R23" s="323"/>
      <c r="S23" s="323"/>
      <c r="T23" s="795" t="s">
        <v>516</v>
      </c>
      <c r="U23" s="62"/>
      <c r="V23" s="60"/>
      <c r="W23" s="83"/>
      <c r="X23" s="962" t="s">
        <v>533</v>
      </c>
      <c r="Y23" s="784"/>
      <c r="Z23" s="784"/>
      <c r="AA23" s="791" t="s">
        <v>515</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8">
        <v>24</v>
      </c>
      <c r="B24" s="80"/>
      <c r="C24" s="60"/>
      <c r="D24" s="66" t="s">
        <v>517</v>
      </c>
      <c r="E24" s="70" t="str">
        <f>IF(P24="","",P24)</f>
        <v>Radiography</v>
      </c>
      <c r="F24" s="60"/>
      <c r="G24" s="67"/>
      <c r="H24" s="66" t="str">
        <f t="shared" ref="H24:I26" si="5">IF(S24="","",S24)</f>
        <v>Large:</v>
      </c>
      <c r="I24" s="483">
        <f t="shared" si="5"/>
        <v>1</v>
      </c>
      <c r="J24" s="62"/>
      <c r="K24" s="83"/>
      <c r="L24" s="981" t="s">
        <v>533</v>
      </c>
      <c r="M24" s="150"/>
      <c r="N24" s="60"/>
      <c r="O24" s="66" t="s">
        <v>517</v>
      </c>
      <c r="P24" s="996" t="str">
        <f>IF(Q24&lt;&gt;"",Q24,IF(OR(AB24=0,AB24=""),"",AB24))</f>
        <v>Radiography</v>
      </c>
      <c r="Q24" s="1462"/>
      <c r="R24" s="323"/>
      <c r="S24" s="326" t="s">
        <v>518</v>
      </c>
      <c r="T24" s="991">
        <f>IF(U24&lt;&gt;"",U24,IF(OR(AB61=0,AB61=""),"",AB61))</f>
        <v>1</v>
      </c>
      <c r="U24" s="1093"/>
      <c r="V24" s="60"/>
      <c r="W24" s="83"/>
      <c r="X24" s="962" t="s">
        <v>533</v>
      </c>
      <c r="Y24" s="784"/>
      <c r="Z24" s="784"/>
      <c r="AA24" s="784" t="str">
        <f t="shared" si="3"/>
        <v>Tube Designation/Use:</v>
      </c>
      <c r="AB24" s="1481" t="s">
        <v>1282</v>
      </c>
      <c r="AC24" s="797" t="str">
        <f t="shared" si="1"/>
        <v/>
      </c>
      <c r="AD24" s="1460" t="str">
        <f t="shared" si="2"/>
        <v>Radiography</v>
      </c>
      <c r="AE24" s="802" t="s">
        <v>825</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8">
        <v>25</v>
      </c>
      <c r="B25" s="80"/>
      <c r="C25" s="60"/>
      <c r="D25" s="66" t="s">
        <v>509</v>
      </c>
      <c r="E25" s="1560">
        <f>IF(P25="","",P25)</f>
        <v>40391</v>
      </c>
      <c r="F25" s="60"/>
      <c r="G25" s="67"/>
      <c r="H25" s="66" t="str">
        <f t="shared" si="5"/>
        <v>Small:</v>
      </c>
      <c r="I25" s="483">
        <f t="shared" si="5"/>
        <v>0.6</v>
      </c>
      <c r="J25" s="62"/>
      <c r="K25" s="83"/>
      <c r="L25" s="981" t="s">
        <v>533</v>
      </c>
      <c r="M25" s="150"/>
      <c r="N25" s="60"/>
      <c r="O25" s="66" t="s">
        <v>509</v>
      </c>
      <c r="P25" s="1553">
        <f>IF(Q25&lt;&gt;"",Q25,IF(OR(AB25=0,AB25=""),"",AB25))</f>
        <v>40391</v>
      </c>
      <c r="Q25" s="1552"/>
      <c r="R25" s="323"/>
      <c r="S25" s="326" t="s">
        <v>519</v>
      </c>
      <c r="T25" s="991">
        <f>IF(U25&lt;&gt;"",U25,IF(OR(AB62=0,AB62=""),"",AB62))</f>
        <v>0.6</v>
      </c>
      <c r="U25" s="1094"/>
      <c r="V25" s="60"/>
      <c r="W25" s="83"/>
      <c r="X25" s="962" t="s">
        <v>533</v>
      </c>
      <c r="Y25" s="784"/>
      <c r="Z25" s="784"/>
      <c r="AA25" s="784" t="str">
        <f t="shared" si="3"/>
        <v>Date of Manufacture:</v>
      </c>
      <c r="AB25" s="1380">
        <v>40391</v>
      </c>
      <c r="AC25" s="797" t="str">
        <f t="shared" si="1"/>
        <v/>
      </c>
      <c r="AD25" s="1551">
        <f t="shared" si="2"/>
        <v>40391</v>
      </c>
      <c r="AE25" s="802" t="s">
        <v>826</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8">
        <v>26</v>
      </c>
      <c r="B26" s="80"/>
      <c r="C26" s="60"/>
      <c r="D26" s="66"/>
      <c r="E26" s="67"/>
      <c r="F26" s="67"/>
      <c r="G26" s="67"/>
      <c r="H26" s="66" t="str">
        <f>IF(T26="","",S26)</f>
        <v/>
      </c>
      <c r="I26" s="483" t="str">
        <f t="shared" si="5"/>
        <v/>
      </c>
      <c r="J26" s="62"/>
      <c r="K26" s="83"/>
      <c r="L26" s="981" t="s">
        <v>533</v>
      </c>
      <c r="M26" s="150"/>
      <c r="N26" s="60"/>
      <c r="O26" s="66"/>
      <c r="P26" s="323"/>
      <c r="Q26" s="323"/>
      <c r="R26" s="323"/>
      <c r="S26" s="326" t="s">
        <v>520</v>
      </c>
      <c r="T26" s="991" t="str">
        <f>IF(U26&lt;&gt;"",U26,IF(OR(AB63=0,AB63=""),"",AB63))</f>
        <v/>
      </c>
      <c r="U26" s="1094"/>
      <c r="V26" s="60"/>
      <c r="W26" s="83"/>
      <c r="X26" s="962" t="s">
        <v>533</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8">
        <v>27</v>
      </c>
      <c r="B27" s="80"/>
      <c r="C27" s="60"/>
      <c r="D27" s="66" t="s">
        <v>521</v>
      </c>
      <c r="E27" s="70" t="str">
        <f>IF(P27="","",P27)</f>
        <v>Siemens</v>
      </c>
      <c r="F27" s="60"/>
      <c r="G27" s="67"/>
      <c r="H27" s="67"/>
      <c r="I27" s="118" t="s">
        <v>522</v>
      </c>
      <c r="J27" s="67"/>
      <c r="K27" s="83"/>
      <c r="L27" s="981" t="s">
        <v>533</v>
      </c>
      <c r="M27" s="150"/>
      <c r="N27" s="60"/>
      <c r="O27" s="66" t="s">
        <v>521</v>
      </c>
      <c r="P27" s="996" t="str">
        <f>IF(Q27&lt;&gt;"",Q27,IF(OR(AB27=0,AB27=""),"",AB27))</f>
        <v>Siemens</v>
      </c>
      <c r="Q27" s="1462"/>
      <c r="R27" s="323"/>
      <c r="S27" s="323"/>
      <c r="T27" s="795" t="s">
        <v>522</v>
      </c>
      <c r="U27" s="62"/>
      <c r="V27" s="60"/>
      <c r="W27" s="83"/>
      <c r="X27" s="962" t="s">
        <v>533</v>
      </c>
      <c r="Y27" s="784"/>
      <c r="Z27" s="784"/>
      <c r="AA27" s="784" t="str">
        <f t="shared" si="3"/>
        <v>Insert Manufacturer:</v>
      </c>
      <c r="AB27" s="1481" t="s">
        <v>1280</v>
      </c>
      <c r="AC27" s="797" t="str">
        <f t="shared" si="1"/>
        <v/>
      </c>
      <c r="AD27" s="1460" t="str">
        <f t="shared" ref="AD27:AD42" si="6">IF(P27="","",P27)</f>
        <v>Siemens</v>
      </c>
      <c r="AE27" s="802" t="s">
        <v>827</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8">
        <v>28</v>
      </c>
      <c r="B28" s="80"/>
      <c r="C28" s="66"/>
      <c r="D28" s="66" t="s">
        <v>523</v>
      </c>
      <c r="E28" s="74" t="str">
        <f>IF(P28="","",P28)</f>
        <v>Optitop 150/40/80HC</v>
      </c>
      <c r="F28" s="60"/>
      <c r="G28" s="60"/>
      <c r="H28" s="66" t="s">
        <v>524</v>
      </c>
      <c r="I28" s="1523" t="str">
        <f>IF(T28="","",T28)</f>
        <v/>
      </c>
      <c r="J28" s="67"/>
      <c r="K28" s="83"/>
      <c r="L28" s="981" t="s">
        <v>533</v>
      </c>
      <c r="M28" s="150"/>
      <c r="N28" s="66"/>
      <c r="O28" s="66" t="s">
        <v>523</v>
      </c>
      <c r="P28" s="996" t="str">
        <f>IF(Q28&lt;&gt;"",Q28,IF(OR(AB28=0,AB28=""),"",AB28))</f>
        <v>Optitop 150/40/80HC</v>
      </c>
      <c r="Q28" s="1090"/>
      <c r="R28" s="323"/>
      <c r="S28" s="326" t="s">
        <v>524</v>
      </c>
      <c r="T28" s="998" t="str">
        <f>IF(U28&lt;&gt;"",U28,IF(OR(AB65=0,AB65=""),"",AB65))</f>
        <v/>
      </c>
      <c r="U28" s="1462"/>
      <c r="V28" s="62"/>
      <c r="W28" s="83"/>
      <c r="X28" s="962" t="s">
        <v>533</v>
      </c>
      <c r="Y28" s="784"/>
      <c r="Z28" s="784"/>
      <c r="AA28" s="784" t="str">
        <f t="shared" ref="AA28:AA43" si="7">IF(O28="","",O28)</f>
        <v>Insert Model:</v>
      </c>
      <c r="AB28" s="1481" t="s">
        <v>1283</v>
      </c>
      <c r="AC28" s="797" t="str">
        <f t="shared" si="1"/>
        <v/>
      </c>
      <c r="AD28" s="1501" t="str">
        <f t="shared" si="6"/>
        <v>Optitop 150/40/80HC</v>
      </c>
      <c r="AE28" s="802" t="s">
        <v>828</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8">
        <v>29</v>
      </c>
      <c r="B29" s="80"/>
      <c r="C29" s="60"/>
      <c r="D29" s="66" t="s">
        <v>525</v>
      </c>
      <c r="E29" s="74">
        <f>IF(P29="","",P29)</f>
        <v>500311042</v>
      </c>
      <c r="F29" s="60"/>
      <c r="G29" s="60"/>
      <c r="H29" s="66" t="s">
        <v>526</v>
      </c>
      <c r="I29" s="1523" t="str">
        <f>IF(T29="","",T29)</f>
        <v/>
      </c>
      <c r="J29" s="62"/>
      <c r="K29" s="84"/>
      <c r="L29" s="981" t="s">
        <v>533</v>
      </c>
      <c r="M29" s="150"/>
      <c r="N29" s="60"/>
      <c r="O29" s="66" t="s">
        <v>525</v>
      </c>
      <c r="P29" s="996">
        <f>IF(Q29&lt;&gt;"",Q29,IF(OR(AB29=0,AB29=""),"",AB29))</f>
        <v>500311042</v>
      </c>
      <c r="Q29" s="1549"/>
      <c r="R29" s="323"/>
      <c r="S29" s="326" t="s">
        <v>526</v>
      </c>
      <c r="T29" s="998" t="str">
        <f>IF(U29&lt;&gt;"",U29,IF(OR(AB66=0,AB66=""),"",AB66))</f>
        <v/>
      </c>
      <c r="U29" s="1090"/>
      <c r="V29" s="62"/>
      <c r="W29" s="83"/>
      <c r="X29" s="962" t="s">
        <v>533</v>
      </c>
      <c r="Y29" s="784"/>
      <c r="Z29" s="784"/>
      <c r="AA29" s="784" t="str">
        <f t="shared" si="7"/>
        <v>Insert Serial Number:</v>
      </c>
      <c r="AB29" s="1481">
        <v>500311042</v>
      </c>
      <c r="AC29" s="797" t="str">
        <f t="shared" si="1"/>
        <v/>
      </c>
      <c r="AD29" s="1501">
        <f t="shared" si="6"/>
        <v>500311042</v>
      </c>
      <c r="AE29" s="802" t="s">
        <v>829</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8">
        <v>30</v>
      </c>
      <c r="B30" s="80"/>
      <c r="C30" s="67"/>
      <c r="D30" s="60"/>
      <c r="E30" s="60"/>
      <c r="F30" s="60"/>
      <c r="G30" s="68"/>
      <c r="H30" s="60"/>
      <c r="I30" s="62"/>
      <c r="J30" s="62"/>
      <c r="K30" s="84"/>
      <c r="L30" s="981" t="s">
        <v>533</v>
      </c>
      <c r="M30" s="150"/>
      <c r="N30" s="60"/>
      <c r="O30" s="60"/>
      <c r="P30" s="323"/>
      <c r="Q30" s="323"/>
      <c r="R30" s="323"/>
      <c r="S30" s="326"/>
      <c r="T30" s="323"/>
      <c r="U30" s="60"/>
      <c r="V30" s="60"/>
      <c r="W30" s="83"/>
      <c r="X30" s="962" t="s">
        <v>533</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8">
        <v>31</v>
      </c>
      <c r="B31" s="80"/>
      <c r="C31" s="66"/>
      <c r="D31" s="66" t="s">
        <v>527</v>
      </c>
      <c r="E31" s="70" t="str">
        <f>IF(P31="","",P31)</f>
        <v>Siemens</v>
      </c>
      <c r="F31" s="60"/>
      <c r="G31" s="67"/>
      <c r="H31" s="67"/>
      <c r="I31" s="120" t="s">
        <v>528</v>
      </c>
      <c r="J31" s="65"/>
      <c r="K31" s="83"/>
      <c r="L31" s="981" t="s">
        <v>533</v>
      </c>
      <c r="M31" s="150"/>
      <c r="N31" s="66"/>
      <c r="O31" s="66" t="s">
        <v>527</v>
      </c>
      <c r="P31" s="996" t="str">
        <f>IF(Q31&lt;&gt;"",Q31,IF(OR(AB31=0,AB31=""),"",AB31))</f>
        <v>Siemens</v>
      </c>
      <c r="Q31" s="1462"/>
      <c r="R31" s="796"/>
      <c r="S31" s="323"/>
      <c r="T31" s="795" t="s">
        <v>528</v>
      </c>
      <c r="U31" s="160"/>
      <c r="V31" s="62"/>
      <c r="W31" s="83"/>
      <c r="X31" s="962" t="s">
        <v>533</v>
      </c>
      <c r="Y31" s="784"/>
      <c r="Z31" s="784"/>
      <c r="AA31" s="784" t="str">
        <f t="shared" si="7"/>
        <v>Housing Manufacturer:</v>
      </c>
      <c r="AB31" s="1481" t="s">
        <v>1280</v>
      </c>
      <c r="AC31" s="797" t="str">
        <f t="shared" si="1"/>
        <v/>
      </c>
      <c r="AD31" s="1460" t="str">
        <f t="shared" si="6"/>
        <v>Siemens</v>
      </c>
      <c r="AE31" s="802" t="s">
        <v>830</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8">
        <v>32</v>
      </c>
      <c r="B32" s="80"/>
      <c r="C32" s="60"/>
      <c r="D32" s="66" t="s">
        <v>529</v>
      </c>
      <c r="E32" s="74" t="str">
        <f>IF(P32="","",P32)</f>
        <v>Optitop 150/40/80HC-100</v>
      </c>
      <c r="F32" s="60"/>
      <c r="G32" s="67"/>
      <c r="H32" s="66" t="s">
        <v>530</v>
      </c>
      <c r="I32" s="70" t="str">
        <f>IF(T32="","",T32)</f>
        <v>DR</v>
      </c>
      <c r="J32" s="59"/>
      <c r="K32" s="84"/>
      <c r="L32" s="981" t="s">
        <v>533</v>
      </c>
      <c r="M32" s="150"/>
      <c r="N32" s="60"/>
      <c r="O32" s="66" t="s">
        <v>529</v>
      </c>
      <c r="P32" s="996" t="str">
        <f>IF(Q32&lt;&gt;"",Q32,IF(OR(AB32=0,AB32=""),"",AB32))</f>
        <v>Optitop 150/40/80HC-100</v>
      </c>
      <c r="Q32" s="1090"/>
      <c r="R32" s="323"/>
      <c r="S32" s="326" t="s">
        <v>530</v>
      </c>
      <c r="T32" s="998" t="str">
        <f>IF(U32&lt;&gt;"",U32,IF(OR(AB69=0,AB69=""),"",AB69))</f>
        <v>DR</v>
      </c>
      <c r="U32" s="1462"/>
      <c r="V32" s="67"/>
      <c r="W32" s="83"/>
      <c r="X32" s="962" t="s">
        <v>533</v>
      </c>
      <c r="Y32" s="784"/>
      <c r="Z32" s="784"/>
      <c r="AA32" s="784" t="str">
        <f t="shared" si="7"/>
        <v>Housing Model:</v>
      </c>
      <c r="AB32" s="1481" t="s">
        <v>1284</v>
      </c>
      <c r="AC32" s="797" t="str">
        <f t="shared" si="1"/>
        <v/>
      </c>
      <c r="AD32" s="1460" t="str">
        <f t="shared" si="6"/>
        <v>Optitop 150/40/80HC-100</v>
      </c>
      <c r="AE32" s="802" t="s">
        <v>831</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8">
        <v>33</v>
      </c>
      <c r="B33" s="80"/>
      <c r="C33" s="60"/>
      <c r="D33" s="66" t="s">
        <v>531</v>
      </c>
      <c r="E33" s="74">
        <f>IF(P33="","",P33)</f>
        <v>407321044</v>
      </c>
      <c r="F33" s="60"/>
      <c r="G33" s="67"/>
      <c r="H33" s="66" t="s">
        <v>532</v>
      </c>
      <c r="I33" s="70" t="str">
        <f>IF(T33="","",T33)</f>
        <v/>
      </c>
      <c r="J33" s="59"/>
      <c r="K33" s="83"/>
      <c r="L33" s="981" t="s">
        <v>533</v>
      </c>
      <c r="M33" s="150"/>
      <c r="N33" s="60"/>
      <c r="O33" s="66" t="s">
        <v>531</v>
      </c>
      <c r="P33" s="996">
        <f>IF(Q33&lt;&gt;"",Q33,IF(OR(AB33=0,AB33=""),"",AB33))</f>
        <v>407321044</v>
      </c>
      <c r="Q33" s="1549"/>
      <c r="R33" s="323"/>
      <c r="S33" s="326" t="s">
        <v>532</v>
      </c>
      <c r="T33" s="998" t="str">
        <f>IF(U33&lt;&gt;"",U33,IF(OR(AB70=0,AB70=""),"",AB70))</f>
        <v/>
      </c>
      <c r="U33" s="1090"/>
      <c r="V33" s="67"/>
      <c r="W33" s="83"/>
      <c r="X33" s="962" t="s">
        <v>533</v>
      </c>
      <c r="Y33" s="784"/>
      <c r="Z33" s="784"/>
      <c r="AA33" s="784" t="str">
        <f t="shared" si="7"/>
        <v>Housing Serial Number:</v>
      </c>
      <c r="AB33" s="1481">
        <v>407321044</v>
      </c>
      <c r="AC33" s="797" t="str">
        <f t="shared" si="1"/>
        <v/>
      </c>
      <c r="AD33" s="1460">
        <f t="shared" si="6"/>
        <v>407321044</v>
      </c>
      <c r="AE33" s="802" t="s">
        <v>832</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8">
        <v>34</v>
      </c>
      <c r="B34" s="80"/>
      <c r="C34" s="60"/>
      <c r="D34" s="66"/>
      <c r="E34" s="66"/>
      <c r="F34" s="60"/>
      <c r="G34" s="60"/>
      <c r="H34" s="66"/>
      <c r="I34" s="60"/>
      <c r="J34" s="67"/>
      <c r="K34" s="83"/>
      <c r="L34" s="981" t="s">
        <v>533</v>
      </c>
      <c r="M34" s="150"/>
      <c r="N34" s="60"/>
      <c r="O34" s="66"/>
      <c r="P34" s="323"/>
      <c r="Q34" s="323"/>
      <c r="R34" s="323"/>
      <c r="S34" s="323"/>
      <c r="T34" s="323" t="s">
        <v>533</v>
      </c>
      <c r="U34" s="60"/>
      <c r="V34" s="60"/>
      <c r="W34" s="83"/>
      <c r="X34" s="962" t="s">
        <v>533</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8">
        <v>35</v>
      </c>
      <c r="B35" s="81"/>
      <c r="C35" s="77"/>
      <c r="D35" s="92"/>
      <c r="E35" s="77"/>
      <c r="F35" s="77"/>
      <c r="G35" s="77"/>
      <c r="H35" s="89"/>
      <c r="I35" s="77"/>
      <c r="J35" s="77"/>
      <c r="K35" s="82"/>
      <c r="L35" s="981" t="s">
        <v>533</v>
      </c>
      <c r="M35" s="150"/>
      <c r="N35" s="60"/>
      <c r="O35" s="66"/>
      <c r="P35" s="323"/>
      <c r="Q35" s="323"/>
      <c r="R35" s="323"/>
      <c r="S35" s="326"/>
      <c r="T35" s="323" t="s">
        <v>533</v>
      </c>
      <c r="U35" s="60"/>
      <c r="V35" s="60"/>
      <c r="W35" s="83"/>
      <c r="X35" s="962" t="s">
        <v>533</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8">
        <v>36</v>
      </c>
      <c r="B36" s="80"/>
      <c r="C36" s="119" t="str">
        <f>IF(N36="","",N36)</f>
        <v>X-Ray Tube 2</v>
      </c>
      <c r="D36" s="187"/>
      <c r="E36" s="204"/>
      <c r="F36" s="204"/>
      <c r="G36" s="204"/>
      <c r="H36" s="122"/>
      <c r="I36" s="121" t="s">
        <v>514</v>
      </c>
      <c r="J36" s="123"/>
      <c r="K36" s="83"/>
      <c r="L36" s="981" t="s">
        <v>533</v>
      </c>
      <c r="M36" s="150"/>
      <c r="N36" s="119" t="s">
        <v>534</v>
      </c>
      <c r="O36" s="66"/>
      <c r="P36" s="323"/>
      <c r="Q36" s="323"/>
      <c r="R36" s="323"/>
      <c r="S36" s="324"/>
      <c r="T36" s="795" t="s">
        <v>516</v>
      </c>
      <c r="U36" s="60"/>
      <c r="V36" s="62"/>
      <c r="W36" s="83"/>
      <c r="X36" s="962" t="s">
        <v>533</v>
      </c>
      <c r="Y36" s="784"/>
      <c r="Z36" s="784"/>
      <c r="AA36" s="791" t="s">
        <v>534</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8">
        <v>37</v>
      </c>
      <c r="B37" s="80"/>
      <c r="C37" s="187"/>
      <c r="D37" s="187" t="s">
        <v>517</v>
      </c>
      <c r="E37" s="74" t="str">
        <f>IF(P37="","",P37)</f>
        <v/>
      </c>
      <c r="F37" s="123"/>
      <c r="G37" s="204"/>
      <c r="H37" s="66" t="str">
        <f t="shared" ref="H37:I39" si="8">IF(S37="","",S37)</f>
        <v>Large:</v>
      </c>
      <c r="I37" s="483" t="str">
        <f t="shared" si="8"/>
        <v/>
      </c>
      <c r="J37" s="62"/>
      <c r="K37" s="85"/>
      <c r="L37" s="981" t="s">
        <v>533</v>
      </c>
      <c r="M37" s="150"/>
      <c r="N37" s="66"/>
      <c r="O37" s="66" t="s">
        <v>517</v>
      </c>
      <c r="P37" s="996" t="str">
        <f>IF(Q37&lt;&gt;"",Q37,IF(OR(AB37=0,AB37=""),"",AB37))</f>
        <v/>
      </c>
      <c r="Q37" s="1091"/>
      <c r="R37" s="323"/>
      <c r="S37" s="326" t="s">
        <v>518</v>
      </c>
      <c r="T37" s="991" t="str">
        <f>IF(U37&lt;&gt;"",U37,IF(OR(AB74=0,AB74=""),"",AB74))</f>
        <v/>
      </c>
      <c r="U37" s="1093"/>
      <c r="V37" s="62"/>
      <c r="W37" s="83"/>
      <c r="X37" s="962" t="s">
        <v>533</v>
      </c>
      <c r="Y37" s="784"/>
      <c r="Z37" s="784"/>
      <c r="AA37" s="784" t="str">
        <f t="shared" si="7"/>
        <v>Tube Designation/Use:</v>
      </c>
      <c r="AB37" s="1481" t="s">
        <v>533</v>
      </c>
      <c r="AC37" s="797" t="str">
        <f t="shared" si="1"/>
        <v/>
      </c>
      <c r="AD37" s="1460" t="str">
        <f t="shared" si="6"/>
        <v/>
      </c>
      <c r="AE37" s="802" t="s">
        <v>833</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8">
        <v>38</v>
      </c>
      <c r="B38" s="80"/>
      <c r="C38" s="187"/>
      <c r="D38" s="187" t="s">
        <v>509</v>
      </c>
      <c r="E38" s="1560" t="str">
        <f>IF(P38="","",P38)</f>
        <v/>
      </c>
      <c r="F38" s="123"/>
      <c r="G38" s="204"/>
      <c r="H38" s="66" t="str">
        <f t="shared" si="8"/>
        <v>Small:</v>
      </c>
      <c r="I38" s="483" t="str">
        <f t="shared" si="8"/>
        <v/>
      </c>
      <c r="J38" s="62"/>
      <c r="K38" s="85"/>
      <c r="L38" s="981" t="s">
        <v>533</v>
      </c>
      <c r="M38" s="150"/>
      <c r="N38" s="66"/>
      <c r="O38" s="66" t="s">
        <v>509</v>
      </c>
      <c r="P38" s="1553" t="str">
        <f>IF(Q38&lt;&gt;"",Q38,IF(OR(AB38=0,AB38=""),"",AB38))</f>
        <v/>
      </c>
      <c r="Q38" s="1552"/>
      <c r="R38" s="323"/>
      <c r="S38" s="326" t="s">
        <v>519</v>
      </c>
      <c r="T38" s="991" t="str">
        <f>IF(U38&lt;&gt;"",U38,IF(OR(AB75=0,AB75=""),"",AB75))</f>
        <v/>
      </c>
      <c r="U38" s="1094"/>
      <c r="V38" s="62"/>
      <c r="W38" s="83"/>
      <c r="X38" s="962" t="s">
        <v>533</v>
      </c>
      <c r="Y38" s="784"/>
      <c r="Z38" s="784"/>
      <c r="AA38" s="784" t="str">
        <f t="shared" si="7"/>
        <v>Date of Manufacture:</v>
      </c>
      <c r="AB38" s="1380" t="s">
        <v>533</v>
      </c>
      <c r="AC38" s="797" t="str">
        <f t="shared" si="1"/>
        <v/>
      </c>
      <c r="AD38" s="1551" t="str">
        <f t="shared" si="6"/>
        <v/>
      </c>
      <c r="AE38" s="802" t="s">
        <v>834</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8">
        <v>39</v>
      </c>
      <c r="B39" s="80"/>
      <c r="C39" s="187"/>
      <c r="D39" s="187"/>
      <c r="E39" s="204"/>
      <c r="F39" s="204"/>
      <c r="G39" s="204"/>
      <c r="H39" s="66" t="str">
        <f>IF(T39="","",S39)</f>
        <v/>
      </c>
      <c r="I39" s="483" t="str">
        <f t="shared" si="8"/>
        <v/>
      </c>
      <c r="J39" s="62" t="str">
        <f>IF(T39="","",U39)</f>
        <v/>
      </c>
      <c r="K39" s="85"/>
      <c r="L39" s="981" t="s">
        <v>533</v>
      </c>
      <c r="M39" s="150"/>
      <c r="N39" s="66"/>
      <c r="O39" s="66"/>
      <c r="P39" s="323"/>
      <c r="Q39" s="323"/>
      <c r="R39" s="323"/>
      <c r="S39" s="326" t="s">
        <v>520</v>
      </c>
      <c r="T39" s="991" t="str">
        <f>IF(U39&lt;&gt;"",U39,IF(OR(AB76=0,AB76=""),"",AB76))</f>
        <v/>
      </c>
      <c r="U39" s="1094"/>
      <c r="V39" s="60"/>
      <c r="W39" s="83"/>
      <c r="X39" s="962" t="s">
        <v>533</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8">
        <v>40</v>
      </c>
      <c r="B40" s="80"/>
      <c r="C40" s="187"/>
      <c r="D40" s="187" t="s">
        <v>521</v>
      </c>
      <c r="E40" s="70" t="str">
        <f>IF(P40="","",P40)</f>
        <v/>
      </c>
      <c r="F40" s="123"/>
      <c r="G40" s="204"/>
      <c r="H40" s="204"/>
      <c r="I40" s="121" t="s">
        <v>522</v>
      </c>
      <c r="J40" s="123"/>
      <c r="K40" s="83"/>
      <c r="L40" s="981" t="s">
        <v>533</v>
      </c>
      <c r="M40" s="150"/>
      <c r="N40" s="66"/>
      <c r="O40" s="66" t="s">
        <v>521</v>
      </c>
      <c r="P40" s="996" t="str">
        <f>IF(Q40&lt;&gt;"",Q40,IF(OR(AB40=0,AB40=""),"",AB40))</f>
        <v/>
      </c>
      <c r="Q40" s="1091"/>
      <c r="R40" s="323"/>
      <c r="S40" s="323"/>
      <c r="T40" s="795" t="s">
        <v>522</v>
      </c>
      <c r="U40" s="60"/>
      <c r="V40" s="60"/>
      <c r="W40" s="83"/>
      <c r="X40" s="962" t="s">
        <v>533</v>
      </c>
      <c r="Y40" s="784"/>
      <c r="Z40" s="784"/>
      <c r="AA40" s="784" t="str">
        <f t="shared" si="7"/>
        <v>Insert Manufacturer:</v>
      </c>
      <c r="AB40" s="1481" t="s">
        <v>533</v>
      </c>
      <c r="AC40" s="797" t="str">
        <f t="shared" si="1"/>
        <v/>
      </c>
      <c r="AD40" s="1460" t="str">
        <f t="shared" si="6"/>
        <v/>
      </c>
      <c r="AE40" s="802" t="s">
        <v>835</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8">
        <v>41</v>
      </c>
      <c r="B41" s="80"/>
      <c r="C41" s="187"/>
      <c r="D41" s="187" t="s">
        <v>523</v>
      </c>
      <c r="E41" s="74" t="str">
        <f>IF(P41="","",P41)</f>
        <v/>
      </c>
      <c r="F41" s="123"/>
      <c r="G41" s="204"/>
      <c r="H41" s="187" t="s">
        <v>524</v>
      </c>
      <c r="I41" s="483" t="str">
        <f>IF(T41="","",T41)</f>
        <v/>
      </c>
      <c r="J41" s="123"/>
      <c r="K41" s="83"/>
      <c r="L41" s="981" t="s">
        <v>533</v>
      </c>
      <c r="M41" s="150"/>
      <c r="N41" s="66"/>
      <c r="O41" s="66" t="s">
        <v>523</v>
      </c>
      <c r="P41" s="996" t="str">
        <f>IF(Q41&lt;&gt;"",Q41,IF(OR(AB41=0,AB41=""),"",AB41))</f>
        <v/>
      </c>
      <c r="Q41" s="1090"/>
      <c r="R41" s="323"/>
      <c r="S41" s="326" t="s">
        <v>524</v>
      </c>
      <c r="T41" s="991" t="str">
        <f>IF(U41&lt;&gt;"",U41,IF(OR(AB78=0,AB78=""),"",AB78))</f>
        <v/>
      </c>
      <c r="U41" s="1091"/>
      <c r="V41" s="62"/>
      <c r="W41" s="83"/>
      <c r="X41" s="962" t="s">
        <v>533</v>
      </c>
      <c r="Y41" s="784"/>
      <c r="Z41" s="784"/>
      <c r="AA41" s="784" t="str">
        <f t="shared" si="7"/>
        <v>Insert Model:</v>
      </c>
      <c r="AB41" s="1481" t="s">
        <v>533</v>
      </c>
      <c r="AC41" s="797" t="str">
        <f t="shared" si="1"/>
        <v/>
      </c>
      <c r="AD41" s="1460" t="str">
        <f t="shared" si="6"/>
        <v/>
      </c>
      <c r="AE41" s="802" t="s">
        <v>836</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8">
        <v>42</v>
      </c>
      <c r="B42" s="80"/>
      <c r="C42" s="187"/>
      <c r="D42" s="187" t="s">
        <v>525</v>
      </c>
      <c r="E42" s="74" t="str">
        <f>IF(P42="","",P42)</f>
        <v/>
      </c>
      <c r="F42" s="123"/>
      <c r="G42" s="123"/>
      <c r="H42" s="187" t="s">
        <v>526</v>
      </c>
      <c r="I42" s="483" t="str">
        <f>IF(T42="","",T42)</f>
        <v/>
      </c>
      <c r="J42" s="204"/>
      <c r="K42" s="84"/>
      <c r="L42" s="981" t="s">
        <v>533</v>
      </c>
      <c r="M42" s="150"/>
      <c r="N42" s="66"/>
      <c r="O42" s="66" t="s">
        <v>525</v>
      </c>
      <c r="P42" s="996" t="str">
        <f>IF(Q42&lt;&gt;"",Q42,IF(OR(AB42=0,AB42=""),"",AB42))</f>
        <v/>
      </c>
      <c r="Q42" s="1090"/>
      <c r="R42" s="323"/>
      <c r="S42" s="326" t="s">
        <v>526</v>
      </c>
      <c r="T42" s="991" t="str">
        <f>IF(U42&lt;&gt;"",U42,IF(OR(AB79=0,AB79=""),"",AB79))</f>
        <v/>
      </c>
      <c r="U42" s="1090"/>
      <c r="V42" s="62"/>
      <c r="W42" s="83"/>
      <c r="X42" s="962" t="s">
        <v>533</v>
      </c>
      <c r="Y42" s="784"/>
      <c r="Z42" s="784"/>
      <c r="AA42" s="784" t="str">
        <f t="shared" si="7"/>
        <v>Insert Serial Number:</v>
      </c>
      <c r="AB42" s="1481" t="s">
        <v>533</v>
      </c>
      <c r="AC42" s="797" t="str">
        <f t="shared" si="1"/>
        <v/>
      </c>
      <c r="AD42" s="1460" t="str">
        <f t="shared" si="6"/>
        <v/>
      </c>
      <c r="AE42" s="802" t="s">
        <v>837</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8">
        <v>43</v>
      </c>
      <c r="B43" s="80"/>
      <c r="C43" s="187"/>
      <c r="D43" s="187"/>
      <c r="E43" s="123"/>
      <c r="F43" s="123"/>
      <c r="G43" s="123"/>
      <c r="H43" s="123"/>
      <c r="I43" s="123"/>
      <c r="J43" s="204"/>
      <c r="K43" s="84"/>
      <c r="L43" s="981" t="s">
        <v>533</v>
      </c>
      <c r="M43" s="150"/>
      <c r="N43" s="66"/>
      <c r="O43" s="66"/>
      <c r="P43" s="323"/>
      <c r="Q43" s="323"/>
      <c r="R43" s="323"/>
      <c r="S43" s="323"/>
      <c r="T43" s="323"/>
      <c r="U43" s="60"/>
      <c r="V43" s="62"/>
      <c r="W43" s="83"/>
      <c r="X43" s="962" t="s">
        <v>533</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8">
        <v>44</v>
      </c>
      <c r="B44" s="80"/>
      <c r="C44" s="187"/>
      <c r="D44" s="187" t="s">
        <v>527</v>
      </c>
      <c r="E44" s="70" t="str">
        <f>IF(P44="","",P44)</f>
        <v/>
      </c>
      <c r="F44" s="123"/>
      <c r="G44" s="204"/>
      <c r="H44" s="204"/>
      <c r="I44" s="506" t="s">
        <v>528</v>
      </c>
      <c r="J44" s="507"/>
      <c r="K44" s="84"/>
      <c r="L44" s="981" t="s">
        <v>533</v>
      </c>
      <c r="M44" s="150"/>
      <c r="N44" s="66"/>
      <c r="O44" s="66" t="s">
        <v>527</v>
      </c>
      <c r="P44" s="996" t="str">
        <f>IF(Q44&lt;&gt;"",Q44,IF(OR(AB44=0,AB44=""),"",AB44))</f>
        <v/>
      </c>
      <c r="Q44" s="1091"/>
      <c r="R44" s="323"/>
      <c r="S44" s="323"/>
      <c r="T44" s="795" t="s">
        <v>528</v>
      </c>
      <c r="U44" s="160"/>
      <c r="V44" s="60"/>
      <c r="W44" s="83"/>
      <c r="X44" s="962" t="s">
        <v>533</v>
      </c>
      <c r="Y44" s="784"/>
      <c r="Z44" s="784"/>
      <c r="AA44" s="784" t="str">
        <f>IF(O44="","",O44)</f>
        <v>Housing Manufacturer:</v>
      </c>
      <c r="AB44" s="1481" t="s">
        <v>533</v>
      </c>
      <c r="AC44" s="797" t="str">
        <f t="shared" si="1"/>
        <v/>
      </c>
      <c r="AD44" s="1460" t="str">
        <f>IF(P44="","",P44)</f>
        <v/>
      </c>
      <c r="AE44" s="802" t="s">
        <v>838</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8">
        <v>45</v>
      </c>
      <c r="B45" s="80"/>
      <c r="C45" s="187"/>
      <c r="D45" s="187" t="s">
        <v>529</v>
      </c>
      <c r="E45" s="74" t="str">
        <f>IF(P45="","",P45)</f>
        <v/>
      </c>
      <c r="F45" s="123"/>
      <c r="G45" s="204"/>
      <c r="H45" s="187" t="s">
        <v>530</v>
      </c>
      <c r="I45" s="74" t="str">
        <f>IF(T45="","",T45)</f>
        <v/>
      </c>
      <c r="J45" s="58"/>
      <c r="K45" s="83"/>
      <c r="L45" s="981" t="s">
        <v>533</v>
      </c>
      <c r="M45" s="150"/>
      <c r="N45" s="66"/>
      <c r="O45" s="66" t="s">
        <v>529</v>
      </c>
      <c r="P45" s="996" t="str">
        <f>IF(Q45&lt;&gt;"",Q45,IF(OR(AB45=0,AB45=""),"",AB45))</f>
        <v/>
      </c>
      <c r="Q45" s="1090"/>
      <c r="R45" s="323"/>
      <c r="S45" s="326" t="s">
        <v>530</v>
      </c>
      <c r="T45" s="998" t="str">
        <f>IF(U45&lt;&gt;"",U45,IF(OR(AB82=0,AB82=""),"",AB82))</f>
        <v/>
      </c>
      <c r="U45" s="1462"/>
      <c r="V45" s="60"/>
      <c r="W45" s="83"/>
      <c r="X45" s="962" t="s">
        <v>533</v>
      </c>
      <c r="Y45" s="784"/>
      <c r="Z45" s="784"/>
      <c r="AA45" s="784" t="str">
        <f>IF(O45="","",O45)</f>
        <v>Housing Model:</v>
      </c>
      <c r="AB45" s="1481" t="s">
        <v>533</v>
      </c>
      <c r="AC45" s="797" t="str">
        <f t="shared" si="1"/>
        <v/>
      </c>
      <c r="AD45" s="1460" t="str">
        <f>IF(P45="","",P45)</f>
        <v/>
      </c>
      <c r="AE45" s="802" t="s">
        <v>839</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8">
        <v>46</v>
      </c>
      <c r="B46" s="80"/>
      <c r="C46" s="187"/>
      <c r="D46" s="187" t="s">
        <v>531</v>
      </c>
      <c r="E46" s="74" t="str">
        <f>IF(P46="","",P46)</f>
        <v/>
      </c>
      <c r="F46" s="123"/>
      <c r="G46" s="204"/>
      <c r="H46" s="187" t="s">
        <v>532</v>
      </c>
      <c r="I46" s="74" t="str">
        <f>IF(T46="","",T46)</f>
        <v/>
      </c>
      <c r="J46" s="58"/>
      <c r="K46" s="83"/>
      <c r="L46" s="981" t="s">
        <v>533</v>
      </c>
      <c r="M46" s="150"/>
      <c r="N46" s="66"/>
      <c r="O46" s="66" t="s">
        <v>531</v>
      </c>
      <c r="P46" s="996" t="str">
        <f>IF(Q46&lt;&gt;"",Q46,IF(OR(AB46=0,AB46=""),"",AB46))</f>
        <v/>
      </c>
      <c r="Q46" s="1090"/>
      <c r="R46" s="323"/>
      <c r="S46" s="326" t="s">
        <v>532</v>
      </c>
      <c r="T46" s="998" t="str">
        <f>IF(U46&lt;&gt;"",U46,IF(OR(AB83=0,AB83=""),"",AB83))</f>
        <v/>
      </c>
      <c r="U46" s="1090"/>
      <c r="V46" s="60"/>
      <c r="W46" s="83"/>
      <c r="X46" s="962" t="s">
        <v>533</v>
      </c>
      <c r="Y46" s="784"/>
      <c r="Z46" s="784"/>
      <c r="AA46" s="784" t="str">
        <f>IF(O46="","",O46)</f>
        <v>Housing Serial Number:</v>
      </c>
      <c r="AB46" s="1481" t="s">
        <v>533</v>
      </c>
      <c r="AC46" s="797" t="str">
        <f t="shared" si="1"/>
        <v/>
      </c>
      <c r="AD46" s="1460" t="str">
        <f>IF(P46="","",P46)</f>
        <v/>
      </c>
      <c r="AE46" s="802" t="s">
        <v>840</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8">
        <v>47</v>
      </c>
      <c r="B47" s="86"/>
      <c r="C47" s="98"/>
      <c r="D47" s="98"/>
      <c r="E47" s="98"/>
      <c r="F47" s="98"/>
      <c r="G47" s="98"/>
      <c r="H47" s="98"/>
      <c r="I47" s="98"/>
      <c r="J47" s="87"/>
      <c r="K47" s="88"/>
      <c r="L47" s="981" t="s">
        <v>533</v>
      </c>
      <c r="M47" s="168"/>
      <c r="N47" s="169"/>
      <c r="O47" s="87"/>
      <c r="P47" s="87"/>
      <c r="Q47" s="87"/>
      <c r="R47" s="170"/>
      <c r="S47" s="87"/>
      <c r="T47" s="171"/>
      <c r="U47" s="171"/>
      <c r="V47" s="171"/>
      <c r="W47" s="88"/>
      <c r="X47" s="962" t="s">
        <v>533</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8">
        <v>48</v>
      </c>
      <c r="B48" s="102"/>
      <c r="C48" s="102"/>
      <c r="D48" s="102"/>
      <c r="E48" s="102"/>
      <c r="F48" s="102"/>
      <c r="G48" s="102"/>
      <c r="H48" s="102"/>
      <c r="I48" s="102"/>
      <c r="J48" s="102"/>
      <c r="K48" s="67"/>
      <c r="L48" s="981" t="s">
        <v>533</v>
      </c>
      <c r="M48" s="102"/>
      <c r="N48" s="102"/>
      <c r="O48" s="102"/>
      <c r="P48" s="102"/>
      <c r="Q48" s="102"/>
      <c r="R48" s="102"/>
      <c r="S48" s="102"/>
      <c r="T48" s="102"/>
      <c r="U48" s="102"/>
      <c r="V48" s="102"/>
      <c r="W48" s="102"/>
      <c r="X48" s="962" t="s">
        <v>533</v>
      </c>
      <c r="Y48" s="784"/>
      <c r="Z48" s="123"/>
      <c r="AA48" s="784" t="str">
        <f>IF(S11="","",S11)</f>
        <v>Site Number:</v>
      </c>
      <c r="AB48" s="1481" t="s">
        <v>533</v>
      </c>
      <c r="AC48" s="797" t="str">
        <f t="shared" si="1"/>
        <v/>
      </c>
      <c r="AD48" s="1460" t="str">
        <f>IF(T11="","",T11)</f>
        <v/>
      </c>
      <c r="AE48" s="802" t="s">
        <v>841</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8">
        <v>49</v>
      </c>
      <c r="B49" s="67"/>
      <c r="C49" s="67"/>
      <c r="D49" s="67"/>
      <c r="E49" s="67"/>
      <c r="F49" s="344" t="s">
        <v>535</v>
      </c>
      <c r="G49" s="67"/>
      <c r="H49" s="67"/>
      <c r="I49" s="67"/>
      <c r="J49" s="67"/>
      <c r="K49" s="67"/>
      <c r="L49" s="981" t="s">
        <v>533</v>
      </c>
      <c r="M49" s="115"/>
      <c r="N49" s="67"/>
      <c r="O49" s="67"/>
      <c r="P49" s="67"/>
      <c r="Q49" s="67"/>
      <c r="R49" s="344" t="str">
        <f>$F$49</f>
        <v>Inspection Results</v>
      </c>
      <c r="S49" s="67"/>
      <c r="T49" s="67"/>
      <c r="U49" s="67"/>
      <c r="V49" s="67"/>
      <c r="W49" s="67"/>
      <c r="X49" s="962" t="s">
        <v>533</v>
      </c>
      <c r="Y49" s="784"/>
      <c r="Z49" s="123"/>
      <c r="AA49" s="784" t="str">
        <f t="shared" ref="AA49:AA63" si="9">IF(S12="","",S12)</f>
        <v>Authorized Use:</v>
      </c>
      <c r="AB49" s="1481" t="s">
        <v>1282</v>
      </c>
      <c r="AC49" s="797" t="str">
        <f t="shared" si="1"/>
        <v/>
      </c>
      <c r="AD49" s="1460" t="str">
        <f>IF(T12="","",T12)</f>
        <v>Radiography</v>
      </c>
      <c r="AE49" s="802" t="s">
        <v>842</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8">
        <v>50</v>
      </c>
      <c r="B50" s="67"/>
      <c r="C50" s="67"/>
      <c r="D50" s="67"/>
      <c r="E50" s="67"/>
      <c r="F50" s="67"/>
      <c r="G50" s="67"/>
      <c r="H50" s="67"/>
      <c r="I50" s="67"/>
      <c r="J50" s="67"/>
      <c r="K50" s="67"/>
      <c r="L50" s="981" t="s">
        <v>533</v>
      </c>
      <c r="N50" s="104"/>
      <c r="O50" s="104"/>
      <c r="P50" s="3"/>
      <c r="Q50" s="67"/>
      <c r="R50" s="67"/>
      <c r="S50" s="67"/>
      <c r="T50" s="67"/>
      <c r="U50" s="67"/>
      <c r="V50" s="67"/>
      <c r="W50" s="67"/>
      <c r="X50" s="962" t="s">
        <v>533</v>
      </c>
      <c r="Y50" s="784"/>
      <c r="Z50" s="123"/>
      <c r="AA50" s="784" t="str">
        <f t="shared" si="9"/>
        <v>Date of Installation:</v>
      </c>
      <c r="AB50" s="1380">
        <v>40513</v>
      </c>
      <c r="AC50" s="797" t="str">
        <f t="shared" si="1"/>
        <v/>
      </c>
      <c r="AD50" s="1502">
        <f>IF(T13="","",T13)</f>
        <v>40513</v>
      </c>
      <c r="AE50" s="802" t="s">
        <v>843</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8">
        <v>51</v>
      </c>
      <c r="B51" s="162"/>
      <c r="C51" s="137"/>
      <c r="D51" s="137"/>
      <c r="E51" s="137"/>
      <c r="F51" s="137"/>
      <c r="G51" s="137"/>
      <c r="H51" s="137"/>
      <c r="I51" s="137"/>
      <c r="J51" s="137"/>
      <c r="K51" s="79"/>
      <c r="L51" s="981" t="s">
        <v>533</v>
      </c>
      <c r="M51" s="164"/>
      <c r="N51" s="137"/>
      <c r="O51" s="137"/>
      <c r="P51" s="137"/>
      <c r="Q51" s="137"/>
      <c r="R51" s="137"/>
      <c r="S51" s="137"/>
      <c r="T51" s="137"/>
      <c r="U51" s="137"/>
      <c r="V51" s="137"/>
      <c r="W51" s="79"/>
      <c r="X51" s="962" t="s">
        <v>533</v>
      </c>
      <c r="Y51" s="784"/>
      <c r="Z51" s="123"/>
      <c r="AA51" s="784" t="str">
        <f>IF(S14="","",S14)</f>
        <v>Number of X-ray Tubes:</v>
      </c>
      <c r="AB51" s="1482">
        <v>1</v>
      </c>
      <c r="AC51" s="797" t="str">
        <f t="shared" si="1"/>
        <v/>
      </c>
      <c r="AD51" s="1501">
        <f>IF(T14="","",T14)</f>
        <v>1</v>
      </c>
      <c r="AE51" s="802" t="s">
        <v>844</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8">
        <v>52</v>
      </c>
      <c r="B52" s="132" t="s">
        <v>536</v>
      </c>
      <c r="C52" s="161"/>
      <c r="D52" s="60"/>
      <c r="E52" s="60"/>
      <c r="F52" s="121" t="s">
        <v>537</v>
      </c>
      <c r="G52" s="123"/>
      <c r="H52" s="123"/>
      <c r="I52" s="123"/>
      <c r="J52" s="534" t="s">
        <v>538</v>
      </c>
      <c r="K52" s="512"/>
      <c r="L52" s="981" t="s">
        <v>533</v>
      </c>
      <c r="M52" s="264" t="s">
        <v>539</v>
      </c>
      <c r="N52" s="60"/>
      <c r="O52" s="60"/>
      <c r="P52" s="60"/>
      <c r="Q52" s="67"/>
      <c r="R52" s="1047"/>
      <c r="S52" s="1047" t="s">
        <v>413</v>
      </c>
      <c r="T52" s="842" t="s">
        <v>540</v>
      </c>
      <c r="U52" s="1046"/>
      <c r="V52" s="60"/>
      <c r="W52" s="83"/>
      <c r="X52" s="962" t="s">
        <v>533</v>
      </c>
      <c r="Y52" s="784"/>
      <c r="Z52" s="123"/>
      <c r="AA52" s="784" t="str">
        <f t="shared" si="9"/>
        <v>Accession Number:</v>
      </c>
      <c r="AB52" s="1482">
        <v>7238588</v>
      </c>
      <c r="AC52" s="797" t="str">
        <f t="shared" si="1"/>
        <v/>
      </c>
      <c r="AD52" s="1501">
        <f>IF(T15="","",T15)</f>
        <v>7238588</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8">
        <v>53</v>
      </c>
      <c r="B53" s="134"/>
      <c r="C53" s="160"/>
      <c r="D53" s="122"/>
      <c r="E53" s="123"/>
      <c r="F53" s="123"/>
      <c r="G53" s="123"/>
      <c r="H53" s="123"/>
      <c r="I53" s="123"/>
      <c r="J53" s="532"/>
      <c r="K53" s="533" t="str">
        <f>IF($M$53=1,"",IF(M55=2,"NO",""))</f>
        <v/>
      </c>
      <c r="L53" s="981" t="s">
        <v>533</v>
      </c>
      <c r="M53" s="1188">
        <f>IF(N53&lt;&gt;"",N53,IF(OR(AB85=0,AB85=""),"",AB85))</f>
        <v>2</v>
      </c>
      <c r="N53" s="1084"/>
      <c r="O53" s="62" t="s">
        <v>1219</v>
      </c>
      <c r="P53" s="67"/>
      <c r="Q53" s="67"/>
      <c r="R53" s="67"/>
      <c r="S53" s="67"/>
      <c r="T53" s="67"/>
      <c r="U53" s="67"/>
      <c r="V53" s="67"/>
      <c r="W53" s="85"/>
      <c r="X53" s="962" t="s">
        <v>533</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8">
        <v>54</v>
      </c>
      <c r="B54" s="134" t="s">
        <v>66</v>
      </c>
      <c r="C54" s="160"/>
      <c r="D54" s="122" t="s">
        <v>67</v>
      </c>
      <c r="E54" s="123"/>
      <c r="F54" s="123"/>
      <c r="G54" s="123"/>
      <c r="H54" s="123"/>
      <c r="I54" s="123"/>
      <c r="J54" s="138" t="str">
        <f>IF($M$53=1,$T$52,IF(M56="","TBD",IF(M56=1,"YES",IF(M56=3,"NA",""))))</f>
        <v>TBD</v>
      </c>
      <c r="K54" s="533" t="str">
        <f>IF($M$53=1,"",IF(M56=2,"NO",""))</f>
        <v/>
      </c>
      <c r="L54" s="981" t="s">
        <v>533</v>
      </c>
      <c r="M54" s="159"/>
      <c r="N54" s="67"/>
      <c r="O54" s="67"/>
      <c r="P54" s="67"/>
      <c r="Q54" s="121" t="s">
        <v>537</v>
      </c>
      <c r="R54" s="67"/>
      <c r="S54" s="67"/>
      <c r="T54" s="1084"/>
      <c r="U54" s="1189">
        <f>IF(T54&lt;&gt;"",T54,IF(OR(AB86=0,AB86=""),"",AB86))</f>
        <v>1</v>
      </c>
      <c r="V54" s="119" t="s">
        <v>541</v>
      </c>
      <c r="W54" s="85"/>
      <c r="X54" s="962" t="s">
        <v>533</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8">
        <v>55</v>
      </c>
      <c r="B55" s="134" t="s">
        <v>62</v>
      </c>
      <c r="C55" s="160"/>
      <c r="D55" s="122" t="s">
        <v>50</v>
      </c>
      <c r="E55" s="123"/>
      <c r="F55" s="123"/>
      <c r="G55" s="123"/>
      <c r="H55" s="123"/>
      <c r="I55" s="123"/>
      <c r="J55" s="138" t="str">
        <f>IF($M$53=1,$T$52,IF(M57="","TBD",IF(M57=1,"YES",IF(M57=3,"NA",""))))</f>
        <v>TBD</v>
      </c>
      <c r="K55" s="533" t="str">
        <f>IF($M$53=1,"",IF(M57=2,"NO",""))</f>
        <v/>
      </c>
      <c r="L55" s="981" t="s">
        <v>533</v>
      </c>
      <c r="M55" s="887"/>
      <c r="N55" s="62"/>
      <c r="O55" s="122"/>
      <c r="P55" s="60"/>
      <c r="Q55" s="60"/>
      <c r="R55" s="60"/>
      <c r="S55" s="60"/>
      <c r="T55" s="60"/>
      <c r="U55" s="67"/>
      <c r="V55" s="119" t="s">
        <v>542</v>
      </c>
      <c r="W55" s="83"/>
      <c r="X55" s="962" t="s">
        <v>533</v>
      </c>
      <c r="Y55" s="784"/>
      <c r="Z55" s="123"/>
      <c r="AA55" s="784" t="str">
        <f t="shared" si="9"/>
        <v>Date of Manufacture:</v>
      </c>
      <c r="AB55" s="1380">
        <v>40391</v>
      </c>
      <c r="AC55" s="797" t="str">
        <f t="shared" si="1"/>
        <v/>
      </c>
      <c r="AD55" s="1502">
        <f>IF(T18="","",T18)</f>
        <v>40391</v>
      </c>
      <c r="AE55" s="802" t="s">
        <v>845</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8">
        <v>56</v>
      </c>
      <c r="B56" s="134" t="s">
        <v>1270</v>
      </c>
      <c r="C56" s="160"/>
      <c r="D56" s="122" t="s">
        <v>63</v>
      </c>
      <c r="E56" s="123"/>
      <c r="F56" s="123"/>
      <c r="G56" s="123"/>
      <c r="H56" s="123"/>
      <c r="I56" s="123"/>
      <c r="J56" s="138" t="str">
        <f>IF($M$53=1,$T$52,IF(M58="","TBD",IF(M58=1,"YES",IF(M58=3,"NA",""))))</f>
        <v>TBD</v>
      </c>
      <c r="K56" s="533" t="str">
        <f>IF($M$53=1,"",IF(M58=2,"NO",""))</f>
        <v/>
      </c>
      <c r="L56" s="981" t="s">
        <v>533</v>
      </c>
      <c r="M56" s="887"/>
      <c r="N56" s="62"/>
      <c r="O56" s="122" t="str">
        <f>IF(M53=1,"","DHEC registration sticker is present, clearly visible and legible.")</f>
        <v>DHEC registration sticker is present, clearly visible and legible.</v>
      </c>
      <c r="P56" s="60"/>
      <c r="Q56" s="60"/>
      <c r="R56" s="60"/>
      <c r="S56" s="60"/>
      <c r="T56" s="60"/>
      <c r="U56" s="67"/>
      <c r="V56" s="119" t="s">
        <v>543</v>
      </c>
      <c r="W56" s="83"/>
      <c r="X56" s="962" t="s">
        <v>533</v>
      </c>
      <c r="Y56" s="784"/>
      <c r="Z56" s="123"/>
      <c r="AA56" s="784" t="str">
        <f t="shared" si="9"/>
        <v>Serial Number:</v>
      </c>
      <c r="AB56" s="1482">
        <v>1410</v>
      </c>
      <c r="AC56" s="797" t="str">
        <f t="shared" si="1"/>
        <v/>
      </c>
      <c r="AD56" s="1460">
        <f>IF(T19="","",T19)</f>
        <v>1410</v>
      </c>
      <c r="AE56" s="802" t="s">
        <v>846</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8">
        <v>57</v>
      </c>
      <c r="B57" s="134" t="s">
        <v>1199</v>
      </c>
      <c r="C57" s="160"/>
      <c r="D57" s="122" t="s">
        <v>544</v>
      </c>
      <c r="E57" s="123"/>
      <c r="F57" s="123"/>
      <c r="G57" s="123"/>
      <c r="H57" s="123"/>
      <c r="I57" s="123"/>
      <c r="J57" s="138" t="str">
        <f>IF($M$53=1,$T$52,IF(M59="","TBD",IF(M59=1,"YES",IF(M59=3,"NA",""))))</f>
        <v>TBD</v>
      </c>
      <c r="K57" s="533" t="str">
        <f>IF($M$53=1,"",IF(M59=2,"NO",""))</f>
        <v/>
      </c>
      <c r="L57" s="981" t="s">
        <v>533</v>
      </c>
      <c r="M57" s="887"/>
      <c r="N57" s="62"/>
      <c r="O57" s="122" t="str">
        <f>IF(M53=1,"","DHEC form SC-RHA-20 ""Notice to Employees"" posted or referenced.")</f>
        <v>DHEC form SC-RHA-20 "Notice to Employees" posted or referenced.</v>
      </c>
      <c r="P57" s="60"/>
      <c r="Q57" s="60"/>
      <c r="R57" s="60"/>
      <c r="S57" s="60"/>
      <c r="T57" s="60"/>
      <c r="U57" s="62" t="s">
        <v>545</v>
      </c>
      <c r="V57" s="60"/>
      <c r="W57" s="83"/>
      <c r="X57" s="962" t="s">
        <v>533</v>
      </c>
      <c r="Y57" s="784"/>
      <c r="Z57" s="123"/>
      <c r="AA57" s="784" t="str">
        <f t="shared" si="9"/>
        <v>Max. mA:</v>
      </c>
      <c r="AB57" s="1482" t="s">
        <v>533</v>
      </c>
      <c r="AC57" s="797" t="str">
        <f t="shared" si="1"/>
        <v/>
      </c>
      <c r="AD57" s="1501" t="str">
        <f>IF(T20="","",T20)</f>
        <v/>
      </c>
      <c r="AE57" s="802" t="s">
        <v>847</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8">
        <v>58</v>
      </c>
      <c r="B58" s="134" t="s">
        <v>1271</v>
      </c>
      <c r="C58" s="160"/>
      <c r="D58" s="122" t="s">
        <v>546</v>
      </c>
      <c r="E58" s="123"/>
      <c r="F58" s="123"/>
      <c r="G58" s="123"/>
      <c r="H58" s="536" t="s">
        <v>547</v>
      </c>
      <c r="I58" s="58" t="str">
        <f>IF(O60="","",O60)</f>
        <v/>
      </c>
      <c r="J58" s="138" t="str">
        <f>IF(M60="","TBD",IF(M60=1,"YES",IF(M60=3,"NA","")))</f>
        <v>TBD</v>
      </c>
      <c r="K58" s="533" t="str">
        <f>IF(M60=2,"NO","")</f>
        <v/>
      </c>
      <c r="L58" s="981" t="s">
        <v>533</v>
      </c>
      <c r="M58" s="887"/>
      <c r="N58" s="60"/>
      <c r="O58" s="122" t="s">
        <v>63</v>
      </c>
      <c r="P58" s="60"/>
      <c r="Q58" s="60"/>
      <c r="R58" s="60"/>
      <c r="S58" s="60"/>
      <c r="T58" s="60"/>
      <c r="U58" s="62" t="s">
        <v>548</v>
      </c>
      <c r="V58" s="60"/>
      <c r="W58" s="83"/>
      <c r="X58" s="962" t="s">
        <v>533</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8">
        <v>59</v>
      </c>
      <c r="B59" s="134" t="s">
        <v>1200</v>
      </c>
      <c r="C59" s="160"/>
      <c r="D59" s="122" t="s">
        <v>549</v>
      </c>
      <c r="E59" s="123"/>
      <c r="F59" s="123"/>
      <c r="G59" s="123"/>
      <c r="H59" s="537" t="s">
        <v>547</v>
      </c>
      <c r="I59" s="58" t="str">
        <f>IF(O61="","",O61)</f>
        <v/>
      </c>
      <c r="J59" s="138" t="str">
        <f>IF(M61="","TBD",IF(M61=1,"YES",IF(M61=3,"NA","")))</f>
        <v>TBD</v>
      </c>
      <c r="K59" s="533" t="str">
        <f>IF(M61=2,"NO","")</f>
        <v/>
      </c>
      <c r="L59" s="981" t="s">
        <v>533</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533</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8">
        <v>60</v>
      </c>
      <c r="B60" s="134"/>
      <c r="C60" s="160"/>
      <c r="D60" s="122" t="s">
        <v>550</v>
      </c>
      <c r="E60" s="123"/>
      <c r="F60" s="123"/>
      <c r="G60" s="123"/>
      <c r="H60" s="123"/>
      <c r="I60" s="123"/>
      <c r="J60" s="138" t="str">
        <f>IF(M62="","TBD",IF(M62=1,"YES",IF(M62=3,"NA","")))</f>
        <v>TBD</v>
      </c>
      <c r="K60" s="533" t="str">
        <f>IF(M62=2,"NO","")</f>
        <v/>
      </c>
      <c r="L60" s="981" t="s">
        <v>533</v>
      </c>
      <c r="M60" s="887"/>
      <c r="N60" s="66" t="s">
        <v>547</v>
      </c>
      <c r="O60" s="883"/>
      <c r="P60" s="122" t="s">
        <v>551</v>
      </c>
      <c r="Q60" s="60"/>
      <c r="R60" s="60"/>
      <c r="S60" s="60"/>
      <c r="T60" s="60"/>
      <c r="U60" s="1192" t="str">
        <f>IF(U69&lt;&gt;"",U69,IF(AB457="","AP",AB457))</f>
        <v>AP</v>
      </c>
      <c r="V60" s="1193">
        <f>IF(V69&lt;&gt;"",V69,IF(AB465="",3,AB465))</f>
        <v>3</v>
      </c>
      <c r="W60" s="741"/>
      <c r="X60" s="962" t="s">
        <v>533</v>
      </c>
      <c r="Y60" s="784"/>
      <c r="Z60" s="123"/>
      <c r="AA60" s="791" t="s">
        <v>514</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8">
        <v>61</v>
      </c>
      <c r="B61" s="134"/>
      <c r="C61" s="160"/>
      <c r="D61" s="122" t="s">
        <v>552</v>
      </c>
      <c r="E61" s="60"/>
      <c r="F61" s="60"/>
      <c r="G61" s="60"/>
      <c r="H61" s="60"/>
      <c r="I61" s="60"/>
      <c r="J61" s="138" t="str">
        <f>IF(M63="","TBD",IF(M63=1,"YES",IF(M63=3,"NA","")))</f>
        <v>TBD</v>
      </c>
      <c r="K61" s="533" t="str">
        <f>IF(M63=2,"NO","")</f>
        <v/>
      </c>
      <c r="L61" s="981" t="s">
        <v>533</v>
      </c>
      <c r="M61" s="887"/>
      <c r="N61" s="66" t="s">
        <v>547</v>
      </c>
      <c r="O61" s="883"/>
      <c r="P61" s="122" t="s">
        <v>553</v>
      </c>
      <c r="Q61" s="60"/>
      <c r="R61" s="60"/>
      <c r="S61" s="60"/>
      <c r="T61" s="60"/>
      <c r="U61" s="1192" t="str">
        <f>IF(U70&lt;&gt;"",U70,IF(AB458="","Front",AB458))</f>
        <v>Front</v>
      </c>
      <c r="V61" s="1193" t="str">
        <f>IF(V70&lt;&gt;"",V70,IF(AB466="","Lat",AB466))</f>
        <v>Lat</v>
      </c>
      <c r="W61" s="741"/>
      <c r="X61" s="962" t="s">
        <v>533</v>
      </c>
      <c r="Y61" s="784"/>
      <c r="Z61" s="123"/>
      <c r="AA61" s="784" t="str">
        <f t="shared" si="9"/>
        <v>Large:</v>
      </c>
      <c r="AB61" s="1482">
        <v>1</v>
      </c>
      <c r="AC61" s="797" t="str">
        <f t="shared" si="1"/>
        <v/>
      </c>
      <c r="AD61" s="1501">
        <f t="shared" ref="AD61:AD75" si="10">IF(T24="","",T24)</f>
        <v>1</v>
      </c>
      <c r="AE61" s="802" t="s">
        <v>848</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8">
        <v>62</v>
      </c>
      <c r="B62" s="134"/>
      <c r="C62" s="160"/>
      <c r="D62" s="122" t="s">
        <v>554</v>
      </c>
      <c r="E62" s="123"/>
      <c r="F62" s="123"/>
      <c r="G62" s="123"/>
      <c r="H62" s="123"/>
      <c r="I62" s="123"/>
      <c r="J62" s="138" t="str">
        <f>IF($M$53=1,$T$52,IF(M64="","TBD",IF(M64=1,"YES",IF(M64=3,"NA",""))))</f>
        <v>TBD</v>
      </c>
      <c r="K62" s="533" t="str">
        <f>IF($M$53=1,"",IF(M64=2,"NO",""))</f>
        <v/>
      </c>
      <c r="L62" s="981" t="s">
        <v>533</v>
      </c>
      <c r="M62" s="887"/>
      <c r="N62" s="62"/>
      <c r="O62" s="122" t="s">
        <v>550</v>
      </c>
      <c r="P62" s="60"/>
      <c r="Q62" s="60"/>
      <c r="R62" s="60"/>
      <c r="S62" s="60"/>
      <c r="T62" s="60"/>
      <c r="U62" s="1192" t="str">
        <f>IF(U71&lt;&gt;"",U71,IF(AB459="","Frontal",AB459))</f>
        <v>Frontal</v>
      </c>
      <c r="V62" s="1193" t="str">
        <f>IF(V71&lt;&gt;"",V71,IF(AB467="","Lateral",AB467))</f>
        <v>Lateral</v>
      </c>
      <c r="W62" s="741"/>
      <c r="X62" s="962" t="s">
        <v>533</v>
      </c>
      <c r="Y62" s="784"/>
      <c r="Z62" s="123"/>
      <c r="AA62" s="784" t="str">
        <f t="shared" si="9"/>
        <v>Small:</v>
      </c>
      <c r="AB62" s="1482">
        <v>0.6</v>
      </c>
      <c r="AC62" s="797" t="str">
        <f t="shared" si="1"/>
        <v/>
      </c>
      <c r="AD62" s="1501">
        <f t="shared" si="10"/>
        <v>0.6</v>
      </c>
      <c r="AE62" s="802" t="s">
        <v>849</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8">
        <v>63</v>
      </c>
      <c r="B63" s="134"/>
      <c r="C63" s="160"/>
      <c r="D63" s="62" t="s">
        <v>555</v>
      </c>
      <c r="E63" s="60"/>
      <c r="F63" s="60"/>
      <c r="G63" s="60"/>
      <c r="H63" s="60"/>
      <c r="I63" s="60"/>
      <c r="J63" s="138" t="str">
        <f>IF($M$53=1,$T$52,IF(M65="","TBD",IF(M65=1,"YES",IF(M65=3,"NA",""))))</f>
        <v>TBD</v>
      </c>
      <c r="K63" s="533" t="str">
        <f>IF($M$53=1,"",IF(M65=2,"NO",""))</f>
        <v/>
      </c>
      <c r="L63" s="981" t="s">
        <v>533</v>
      </c>
      <c r="M63" s="887"/>
      <c r="N63" s="60"/>
      <c r="O63" s="122" t="s">
        <v>552</v>
      </c>
      <c r="P63" s="60"/>
      <c r="Q63" s="60"/>
      <c r="R63" s="60"/>
      <c r="S63" s="60"/>
      <c r="T63" s="60"/>
      <c r="U63" s="1192" t="str">
        <f>IF(U72&lt;&gt;"",U72,IF(AB460="","Ceph",AB460))</f>
        <v>Ceph</v>
      </c>
      <c r="V63" s="1193" t="str">
        <f>IF(V72&lt;&gt;"",V72,IF(AB468="","Pan",AB468))</f>
        <v>Pan</v>
      </c>
      <c r="W63" s="741"/>
      <c r="X63" s="962" t="s">
        <v>533</v>
      </c>
      <c r="Y63" s="784"/>
      <c r="Z63" s="123"/>
      <c r="AA63" s="784" t="str">
        <f t="shared" si="9"/>
        <v>Micro:</v>
      </c>
      <c r="AB63" s="1482" t="s">
        <v>533</v>
      </c>
      <c r="AC63" s="797" t="str">
        <f t="shared" si="1"/>
        <v/>
      </c>
      <c r="AD63" s="1501" t="str">
        <f t="shared" si="10"/>
        <v/>
      </c>
      <c r="AE63" s="802" t="s">
        <v>850</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8">
        <v>64</v>
      </c>
      <c r="B64" s="116"/>
      <c r="C64" s="98"/>
      <c r="D64" s="98"/>
      <c r="E64" s="98"/>
      <c r="F64" s="98"/>
      <c r="G64" s="98"/>
      <c r="H64" s="98"/>
      <c r="I64" s="98"/>
      <c r="J64" s="177"/>
      <c r="K64" s="935"/>
      <c r="L64" s="981" t="s">
        <v>533</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533</v>
      </c>
      <c r="Y64" s="784"/>
      <c r="Z64" s="123"/>
      <c r="AA64" s="791" t="s">
        <v>522</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8">
        <v>65</v>
      </c>
      <c r="B65" s="64" t="s">
        <v>492</v>
      </c>
      <c r="C65" s="1467">
        <f>IF($O$8="","",$O$8)</f>
        <v>43039</v>
      </c>
      <c r="D65" s="55"/>
      <c r="E65" s="55"/>
      <c r="F65" s="55"/>
      <c r="G65" s="55" t="str">
        <f>""</f>
        <v/>
      </c>
      <c r="H65" s="55" t="str">
        <f>""</f>
        <v/>
      </c>
      <c r="I65" s="64" t="s">
        <v>493</v>
      </c>
      <c r="J65" s="565" t="str">
        <f>IF($V$8="","",$V$8)</f>
        <v>Eugene Mah</v>
      </c>
      <c r="L65" s="981" t="s">
        <v>533</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533</v>
      </c>
      <c r="Y65" s="784"/>
      <c r="Z65" s="123"/>
      <c r="AA65" s="784" t="str">
        <f>IF(S28="","",S28)</f>
        <v>Inherent:</v>
      </c>
      <c r="AB65" s="1482" t="s">
        <v>533</v>
      </c>
      <c r="AC65" s="797" t="str">
        <f t="shared" si="1"/>
        <v/>
      </c>
      <c r="AD65" s="1460" t="str">
        <f t="shared" si="10"/>
        <v/>
      </c>
      <c r="AE65" s="802" t="s">
        <v>851</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8">
        <v>66</v>
      </c>
      <c r="B66" s="64" t="s">
        <v>503</v>
      </c>
      <c r="C66" s="508" t="str">
        <f>IF($P$15="","",$P$15&amp;IF(U54="",""," - Tube "&amp;U54))</f>
        <v>Room 04 RT 127M - Tube 1</v>
      </c>
      <c r="D66" s="55"/>
      <c r="E66" s="55"/>
      <c r="F66" s="55"/>
      <c r="G66" s="55"/>
      <c r="H66" s="55"/>
      <c r="I66" s="64" t="s">
        <v>1197</v>
      </c>
      <c r="J66" s="1475">
        <f>IF($E$14="","",$E$14)</f>
        <v>1976</v>
      </c>
      <c r="L66" s="981" t="s">
        <v>533</v>
      </c>
      <c r="M66" s="168"/>
      <c r="N66" s="98"/>
      <c r="O66" s="98"/>
      <c r="P66" s="98"/>
      <c r="Q66" s="98"/>
      <c r="R66" s="98"/>
      <c r="S66" s="98"/>
      <c r="T66" s="98"/>
      <c r="U66" s="742"/>
      <c r="V66" s="742"/>
      <c r="W66" s="743"/>
      <c r="X66" s="962" t="s">
        <v>533</v>
      </c>
      <c r="Y66" s="784"/>
      <c r="Z66" s="123"/>
      <c r="AA66" s="784" t="str">
        <f>IF(S29="","",S29)</f>
        <v>Added:</v>
      </c>
      <c r="AB66" s="1482" t="s">
        <v>533</v>
      </c>
      <c r="AC66" s="797" t="str">
        <f t="shared" si="1"/>
        <v/>
      </c>
      <c r="AD66" s="1460" t="str">
        <f t="shared" si="10"/>
        <v/>
      </c>
      <c r="AE66" s="802" t="s">
        <v>852</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8">
        <v>1</v>
      </c>
      <c r="B67" s="67"/>
      <c r="C67" s="67"/>
      <c r="D67" s="67"/>
      <c r="E67" s="67"/>
      <c r="G67" s="67"/>
      <c r="H67" s="67"/>
      <c r="I67" s="67"/>
      <c r="J67" s="67"/>
      <c r="K67" s="165" t="str">
        <f>$F$2</f>
        <v>Medical University of South Carolina</v>
      </c>
      <c r="L67" s="981" t="s">
        <v>533</v>
      </c>
      <c r="U67" s="1686" t="s">
        <v>381</v>
      </c>
      <c r="V67" s="1687"/>
      <c r="X67" s="962" t="s">
        <v>533</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8">
        <v>2</v>
      </c>
      <c r="B68" s="67"/>
      <c r="C68" s="67"/>
      <c r="D68" s="67"/>
      <c r="E68" s="67"/>
      <c r="F68" s="344" t="str">
        <f>$F$49</f>
        <v>Inspection Results</v>
      </c>
      <c r="G68" s="67"/>
      <c r="H68" s="67"/>
      <c r="I68" s="67"/>
      <c r="J68" s="67"/>
      <c r="K68" s="166" t="str">
        <f>$F$5</f>
        <v>Radiographic System Compliance Inspection</v>
      </c>
      <c r="L68" s="981" t="s">
        <v>533</v>
      </c>
      <c r="U68" s="1022"/>
      <c r="V68" s="1023"/>
      <c r="X68" s="962" t="s">
        <v>533</v>
      </c>
      <c r="Y68" s="784"/>
      <c r="Z68" s="123"/>
      <c r="AA68" s="791" t="s">
        <v>528</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8">
        <v>3</v>
      </c>
      <c r="K69" s="249"/>
      <c r="L69" s="981" t="s">
        <v>533</v>
      </c>
      <c r="P69" s="1426" t="s">
        <v>368</v>
      </c>
      <c r="U69" s="1018"/>
      <c r="V69" s="1019"/>
      <c r="X69" s="962" t="s">
        <v>533</v>
      </c>
      <c r="Y69" s="784"/>
      <c r="Z69" s="123"/>
      <c r="AA69" s="784" t="str">
        <f>IF(S32="","",S32)</f>
        <v>Film:</v>
      </c>
      <c r="AB69" s="1481" t="s">
        <v>1285</v>
      </c>
      <c r="AC69" s="797" t="str">
        <f t="shared" si="1"/>
        <v/>
      </c>
      <c r="AD69" s="1460" t="str">
        <f t="shared" si="10"/>
        <v>DR</v>
      </c>
      <c r="AE69" s="802" t="s">
        <v>853</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8">
        <v>4</v>
      </c>
      <c r="B70" s="93"/>
      <c r="C70" s="76"/>
      <c r="D70" s="76"/>
      <c r="E70" s="76"/>
      <c r="F70" s="76"/>
      <c r="G70" s="76"/>
      <c r="H70" s="76"/>
      <c r="I70" s="76"/>
      <c r="J70" s="76"/>
      <c r="K70" s="94"/>
      <c r="L70" s="981" t="s">
        <v>533</v>
      </c>
      <c r="U70" s="1018"/>
      <c r="V70" s="1019"/>
      <c r="X70" s="962" t="s">
        <v>533</v>
      </c>
      <c r="Y70" s="784"/>
      <c r="Z70" s="123"/>
      <c r="AA70" s="784" t="str">
        <f>IF(S33="","",S33)</f>
        <v>Screen:</v>
      </c>
      <c r="AB70" s="1481" t="s">
        <v>533</v>
      </c>
      <c r="AC70" s="797" t="str">
        <f t="shared" si="1"/>
        <v/>
      </c>
      <c r="AD70" s="1460" t="str">
        <f t="shared" si="10"/>
        <v/>
      </c>
      <c r="AE70" s="802" t="s">
        <v>854</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8">
        <v>5</v>
      </c>
      <c r="B71" s="132" t="s">
        <v>536</v>
      </c>
      <c r="C71" s="133"/>
      <c r="D71" s="67"/>
      <c r="E71" s="67"/>
      <c r="F71" s="121" t="s">
        <v>556</v>
      </c>
      <c r="G71" s="47"/>
      <c r="H71" s="47"/>
      <c r="I71" s="47"/>
      <c r="J71" s="534" t="s">
        <v>538</v>
      </c>
      <c r="K71" s="535"/>
      <c r="L71" s="981" t="s">
        <v>533</v>
      </c>
      <c r="U71" s="1018"/>
      <c r="V71" s="1019"/>
      <c r="X71" s="962" t="s">
        <v>533</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8">
        <v>6</v>
      </c>
      <c r="B72" s="134" t="s">
        <v>64</v>
      </c>
      <c r="C72" s="135"/>
      <c r="D72" s="62" t="s">
        <v>557</v>
      </c>
      <c r="E72" s="67"/>
      <c r="F72" s="67"/>
      <c r="G72" s="67"/>
      <c r="H72" s="67"/>
      <c r="I72" s="67"/>
      <c r="J72" s="158" t="str">
        <f t="shared" ref="J72:K75" si="12">J468</f>
        <v>TBD</v>
      </c>
      <c r="K72" s="533" t="str">
        <f t="shared" si="12"/>
        <v/>
      </c>
      <c r="L72" s="981" t="s">
        <v>533</v>
      </c>
      <c r="U72" s="1018"/>
      <c r="V72" s="1019"/>
      <c r="X72" s="962" t="s">
        <v>533</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8">
        <v>7</v>
      </c>
      <c r="B73" s="134"/>
      <c r="C73" s="160"/>
      <c r="D73" s="62" t="s">
        <v>558</v>
      </c>
      <c r="E73" s="67"/>
      <c r="F73" s="67"/>
      <c r="G73" s="67"/>
      <c r="H73" s="67"/>
      <c r="I73" s="67"/>
      <c r="J73" s="158" t="str">
        <f t="shared" si="12"/>
        <v>NA</v>
      </c>
      <c r="K73" s="533" t="str">
        <f t="shared" si="12"/>
        <v/>
      </c>
      <c r="L73" s="981" t="s">
        <v>533</v>
      </c>
      <c r="U73" s="1018"/>
      <c r="V73" s="1019"/>
      <c r="X73" s="962" t="s">
        <v>533</v>
      </c>
      <c r="Y73" s="784"/>
      <c r="Z73" s="123"/>
      <c r="AA73" s="791" t="s">
        <v>514</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8">
        <v>8</v>
      </c>
      <c r="B74" s="134" t="s">
        <v>65</v>
      </c>
      <c r="C74" s="135"/>
      <c r="D74" s="62" t="s">
        <v>559</v>
      </c>
      <c r="E74" s="62"/>
      <c r="F74" s="62"/>
      <c r="G74" s="62"/>
      <c r="H74" s="62"/>
      <c r="I74" s="62"/>
      <c r="J74" s="158" t="str">
        <f t="shared" si="12"/>
        <v>TBD</v>
      </c>
      <c r="K74" s="533" t="str">
        <f t="shared" si="12"/>
        <v/>
      </c>
      <c r="L74" s="981" t="s">
        <v>533</v>
      </c>
      <c r="U74" s="1020"/>
      <c r="V74" s="1021"/>
      <c r="X74" s="962" t="s">
        <v>533</v>
      </c>
      <c r="Y74" s="784"/>
      <c r="Z74" s="123"/>
      <c r="AA74" s="784" t="str">
        <f t="shared" si="11"/>
        <v>Large:</v>
      </c>
      <c r="AB74" s="1482" t="s">
        <v>533</v>
      </c>
      <c r="AC74" s="797" t="str">
        <f t="shared" si="13"/>
        <v/>
      </c>
      <c r="AD74" s="1501" t="str">
        <f t="shared" si="10"/>
        <v/>
      </c>
      <c r="AE74" s="802" t="s">
        <v>855</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8">
        <v>9</v>
      </c>
      <c r="B75" s="134" t="s">
        <v>1203</v>
      </c>
      <c r="C75" s="135"/>
      <c r="D75" s="122" t="s">
        <v>560</v>
      </c>
      <c r="E75" s="123"/>
      <c r="F75" s="123"/>
      <c r="G75" s="123"/>
      <c r="H75" s="123"/>
      <c r="I75" s="123"/>
      <c r="J75" s="158" t="str">
        <f t="shared" si="12"/>
        <v>TBD</v>
      </c>
      <c r="K75" s="533" t="str">
        <f t="shared" si="12"/>
        <v/>
      </c>
      <c r="L75" s="981" t="s">
        <v>533</v>
      </c>
      <c r="X75" s="962" t="s">
        <v>533</v>
      </c>
      <c r="Y75" s="784"/>
      <c r="Z75" s="123"/>
      <c r="AA75" s="784" t="str">
        <f t="shared" si="11"/>
        <v>Small:</v>
      </c>
      <c r="AB75" s="1482" t="s">
        <v>533</v>
      </c>
      <c r="AC75" s="797" t="str">
        <f t="shared" si="13"/>
        <v/>
      </c>
      <c r="AD75" s="1501" t="str">
        <f t="shared" si="10"/>
        <v/>
      </c>
      <c r="AE75" s="802" t="s">
        <v>856</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8">
        <v>10</v>
      </c>
      <c r="B76" s="134" t="s">
        <v>1205</v>
      </c>
      <c r="C76" s="135"/>
      <c r="D76" s="122" t="s">
        <v>561</v>
      </c>
      <c r="E76" s="123"/>
      <c r="F76" s="123"/>
      <c r="G76" s="123"/>
      <c r="H76" s="123"/>
      <c r="I76" s="123"/>
      <c r="J76" s="158" t="str">
        <f>IF(OR(K472="NO",J484="NO"),"",J484)</f>
        <v>TBD</v>
      </c>
      <c r="K76" s="533" t="str">
        <f>IF(OR(K472="NO",J484="NO"),"NO","")</f>
        <v/>
      </c>
      <c r="L76" s="981" t="s">
        <v>533</v>
      </c>
      <c r="X76" s="962" t="s">
        <v>533</v>
      </c>
      <c r="Y76" s="784"/>
      <c r="Z76" s="123"/>
      <c r="AA76" s="784" t="str">
        <f t="shared" si="11"/>
        <v>Micro:</v>
      </c>
      <c r="AB76" s="1482" t="s">
        <v>533</v>
      </c>
      <c r="AC76" s="797" t="str">
        <f t="shared" si="13"/>
        <v/>
      </c>
      <c r="AD76" s="1501" t="str">
        <f t="shared" ref="AD76:AD83" si="14">IF(T39="","",T39)</f>
        <v/>
      </c>
      <c r="AE76" s="802" t="s">
        <v>857</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8">
        <v>11</v>
      </c>
      <c r="B77" s="134" t="s">
        <v>562</v>
      </c>
      <c r="C77" s="135"/>
      <c r="D77" s="62" t="s">
        <v>563</v>
      </c>
      <c r="E77" s="67"/>
      <c r="F77" s="67"/>
      <c r="G77" s="67"/>
      <c r="H77" s="67"/>
      <c r="I77" s="67"/>
      <c r="J77" s="158" t="str">
        <f>IF(J494="NO","",J494)</f>
        <v>TBD</v>
      </c>
      <c r="K77" s="533" t="str">
        <f>IF(J494="NO","NO","")</f>
        <v/>
      </c>
      <c r="L77" s="981" t="s">
        <v>533</v>
      </c>
      <c r="X77" s="962" t="s">
        <v>533</v>
      </c>
      <c r="Y77" s="784"/>
      <c r="Z77" s="123"/>
      <c r="AA77" s="791" t="s">
        <v>522</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8">
        <v>12</v>
      </c>
      <c r="B78" s="134" t="s">
        <v>564</v>
      </c>
      <c r="C78" s="135"/>
      <c r="D78" s="122" t="s">
        <v>565</v>
      </c>
      <c r="E78" s="123"/>
      <c r="F78" s="123"/>
      <c r="G78" s="123"/>
      <c r="H78" s="123"/>
      <c r="I78" s="123"/>
      <c r="J78" s="158" t="str">
        <f>IF(J506="NO","",J506)</f>
        <v>TBD</v>
      </c>
      <c r="K78" s="533" t="str">
        <f>IF(J506="NO","NO","")</f>
        <v/>
      </c>
      <c r="L78" s="981" t="s">
        <v>533</v>
      </c>
      <c r="X78" s="962" t="s">
        <v>533</v>
      </c>
      <c r="Y78" s="784"/>
      <c r="Z78" s="123"/>
      <c r="AA78" s="784" t="str">
        <f t="shared" si="11"/>
        <v>Inherent:</v>
      </c>
      <c r="AB78" s="1482" t="s">
        <v>533</v>
      </c>
      <c r="AC78" s="797" t="str">
        <f t="shared" si="13"/>
        <v/>
      </c>
      <c r="AD78" s="1460" t="str">
        <f t="shared" si="14"/>
        <v/>
      </c>
      <c r="AE78" s="802" t="s">
        <v>858</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8">
        <v>13</v>
      </c>
      <c r="B79" s="134" t="s">
        <v>1204</v>
      </c>
      <c r="C79" s="135"/>
      <c r="D79" s="122" t="s">
        <v>37</v>
      </c>
      <c r="E79" s="123"/>
      <c r="F79" s="123"/>
      <c r="G79" s="123"/>
      <c r="H79" s="123"/>
      <c r="I79" s="123"/>
      <c r="J79" s="158" t="str">
        <f>IF($I$939="NO","",$I$939)</f>
        <v>TBD</v>
      </c>
      <c r="K79" s="533" t="str">
        <f>IF($I$939="NO","NO","")</f>
        <v/>
      </c>
      <c r="L79" s="981" t="s">
        <v>533</v>
      </c>
      <c r="X79" s="962" t="s">
        <v>533</v>
      </c>
      <c r="Y79" s="784"/>
      <c r="Z79" s="123"/>
      <c r="AA79" s="784" t="str">
        <f t="shared" si="11"/>
        <v>Added:</v>
      </c>
      <c r="AB79" s="1482" t="s">
        <v>533</v>
      </c>
      <c r="AC79" s="797" t="str">
        <f t="shared" si="13"/>
        <v/>
      </c>
      <c r="AD79" s="1460" t="str">
        <f t="shared" si="14"/>
        <v/>
      </c>
      <c r="AE79" s="802" t="s">
        <v>859</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8">
        <v>14</v>
      </c>
      <c r="B80" s="159"/>
      <c r="C80" s="67"/>
      <c r="D80" s="67"/>
      <c r="E80" s="67"/>
      <c r="F80" s="67"/>
      <c r="G80" s="67"/>
      <c r="H80" s="67"/>
      <c r="I80" s="67"/>
      <c r="J80" s="163"/>
      <c r="K80" s="539"/>
      <c r="L80" s="981" t="s">
        <v>533</v>
      </c>
      <c r="X80" s="962" t="s">
        <v>533</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8">
        <v>15</v>
      </c>
      <c r="B81" s="159"/>
      <c r="C81" s="67"/>
      <c r="D81" s="67"/>
      <c r="E81" s="67"/>
      <c r="F81" s="67"/>
      <c r="G81" s="67"/>
      <c r="H81" s="67"/>
      <c r="I81" s="67"/>
      <c r="J81" s="163"/>
      <c r="K81" s="539"/>
      <c r="L81" s="981" t="s">
        <v>533</v>
      </c>
      <c r="X81" s="962" t="s">
        <v>533</v>
      </c>
      <c r="Y81" s="785"/>
      <c r="Z81" s="123"/>
      <c r="AA81" s="791" t="s">
        <v>528</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8">
        <v>16</v>
      </c>
      <c r="B82" s="159"/>
      <c r="C82" s="67"/>
      <c r="D82" s="67"/>
      <c r="E82" s="67"/>
      <c r="F82" s="121" t="s">
        <v>566</v>
      </c>
      <c r="G82" s="67"/>
      <c r="H82" s="67"/>
      <c r="I82" s="67"/>
      <c r="J82" s="176"/>
      <c r="K82" s="540"/>
      <c r="L82" s="981" t="s">
        <v>533</v>
      </c>
      <c r="X82" s="962" t="s">
        <v>533</v>
      </c>
      <c r="Y82" s="785"/>
      <c r="Z82" s="123"/>
      <c r="AA82" s="784" t="str">
        <f t="shared" si="11"/>
        <v>Film:</v>
      </c>
      <c r="AB82" s="1482" t="s">
        <v>533</v>
      </c>
      <c r="AC82" s="797" t="str">
        <f t="shared" si="13"/>
        <v/>
      </c>
      <c r="AD82" s="1460" t="str">
        <f t="shared" si="14"/>
        <v/>
      </c>
      <c r="AE82" s="802" t="s">
        <v>860</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8">
        <v>17</v>
      </c>
      <c r="B83" s="134"/>
      <c r="C83" s="160"/>
      <c r="D83" s="62" t="s">
        <v>567</v>
      </c>
      <c r="E83" s="62"/>
      <c r="F83" s="62"/>
      <c r="G83" s="62"/>
      <c r="H83" s="62"/>
      <c r="I83" s="62"/>
      <c r="J83" s="158" t="str">
        <f>IF($J$537="NO","",$J$537)</f>
        <v>TBD</v>
      </c>
      <c r="K83" s="533" t="str">
        <f>IF($J$537="NO","NO","")</f>
        <v/>
      </c>
      <c r="L83" s="981" t="s">
        <v>533</v>
      </c>
      <c r="X83" s="962" t="s">
        <v>533</v>
      </c>
      <c r="Y83" s="785"/>
      <c r="Z83" s="785"/>
      <c r="AA83" s="784" t="str">
        <f t="shared" si="11"/>
        <v>Screen:</v>
      </c>
      <c r="AB83" s="1482" t="s">
        <v>533</v>
      </c>
      <c r="AC83" s="797" t="str">
        <f t="shared" si="13"/>
        <v/>
      </c>
      <c r="AD83" s="1460" t="str">
        <f t="shared" si="14"/>
        <v/>
      </c>
      <c r="AE83" s="802" t="s">
        <v>861</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8">
        <v>18</v>
      </c>
      <c r="B84" s="134" t="s">
        <v>1207</v>
      </c>
      <c r="C84" s="135"/>
      <c r="D84" s="122" t="s">
        <v>1208</v>
      </c>
      <c r="E84" s="123"/>
      <c r="F84" s="123"/>
      <c r="G84" s="123"/>
      <c r="H84" s="123"/>
      <c r="I84" s="123"/>
      <c r="J84" s="158" t="str">
        <f>IF($J$547="NO","",$J$547)</f>
        <v>TBD</v>
      </c>
      <c r="K84" s="533" t="str">
        <f>IF($J$547="NO","NO","")</f>
        <v/>
      </c>
      <c r="L84" s="981" t="s">
        <v>533</v>
      </c>
      <c r="X84" s="962" t="s">
        <v>533</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8">
        <v>19</v>
      </c>
      <c r="B85" s="134" t="s">
        <v>1202</v>
      </c>
      <c r="C85" s="135"/>
      <c r="D85" s="122" t="s">
        <v>569</v>
      </c>
      <c r="E85" s="123"/>
      <c r="F85" s="123"/>
      <c r="G85" s="123"/>
      <c r="H85" s="123"/>
      <c r="I85" s="123"/>
      <c r="J85" s="158" t="str">
        <f>IF(OR($H$560="NO",$I$560="NO",$H$561="NO",$I$561="NO"),"",IF(OR($H$560="NA",$I$560="NA"),"NA",IF(OR($H$560="TBD",$I$560="TBD",$H$561="TBD",$I$561="TBD"),"TBD","YES")))</f>
        <v>NA</v>
      </c>
      <c r="K85" s="533" t="str">
        <f>IF(OR($H$560="NO",$I$560="NO",$H$561="NO",$I$561="NO"),"NO","")</f>
        <v/>
      </c>
      <c r="L85" s="981" t="s">
        <v>533</v>
      </c>
      <c r="X85" s="962" t="s">
        <v>533</v>
      </c>
      <c r="Y85" s="785"/>
      <c r="Z85" s="785"/>
      <c r="AA85" s="784" t="s">
        <v>570</v>
      </c>
      <c r="AB85" s="1482">
        <v>2</v>
      </c>
      <c r="AC85" s="797" t="str">
        <f t="shared" si="13"/>
        <v/>
      </c>
      <c r="AD85" s="1501">
        <f>IF(M53="","",M53)</f>
        <v>2</v>
      </c>
      <c r="AE85" s="802" t="s">
        <v>862</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8">
        <v>20</v>
      </c>
      <c r="B86" s="134" t="s">
        <v>1206</v>
      </c>
      <c r="C86" s="135"/>
      <c r="D86" s="62" t="s">
        <v>571</v>
      </c>
      <c r="E86" s="67"/>
      <c r="F86" s="67"/>
      <c r="G86" s="67"/>
      <c r="H86" s="67"/>
      <c r="I86" s="67"/>
      <c r="J86" s="158" t="str">
        <f>IF(OR($J$560="NO",$K$560="NO",$J$561="NO",$K$561="NO"),"",IF(OR($J$560="NA",$K$560="NA"),"NA",IF(OR($J$560="TBD",$K$560="TBD",$J$561="TBD",$K$561="TBD"),"TBD","YES")))</f>
        <v>NA</v>
      </c>
      <c r="K86" s="533" t="str">
        <f>IF(OR($J$560="NO",$K$560="NO",$J$561="NO",$K$561="NO"),"NO","")</f>
        <v/>
      </c>
      <c r="L86" s="981" t="s">
        <v>533</v>
      </c>
      <c r="X86" s="962" t="s">
        <v>533</v>
      </c>
      <c r="Y86" s="785"/>
      <c r="Z86" s="785"/>
      <c r="AA86" s="187" t="s">
        <v>572</v>
      </c>
      <c r="AB86" s="1482">
        <v>1</v>
      </c>
      <c r="AC86" s="797" t="str">
        <f t="shared" si="13"/>
        <v/>
      </c>
      <c r="AD86" s="1501">
        <f>IF(U54="","",U54)</f>
        <v>1</v>
      </c>
      <c r="AE86" s="802" t="s">
        <v>863</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533</v>
      </c>
      <c r="X87" s="962" t="s">
        <v>533</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8">
        <v>22</v>
      </c>
      <c r="B88" s="134"/>
      <c r="C88" s="135"/>
      <c r="D88" s="122" t="s">
        <v>574</v>
      </c>
      <c r="E88" s="123"/>
      <c r="F88" s="123"/>
      <c r="G88" s="123"/>
      <c r="H88" s="123"/>
      <c r="I88" s="123"/>
      <c r="J88" s="158" t="str">
        <f>J586</f>
        <v>TBD</v>
      </c>
      <c r="K88" s="540" t="str">
        <f>K586</f>
        <v/>
      </c>
      <c r="L88" s="981" t="s">
        <v>533</v>
      </c>
      <c r="X88" s="962" t="s">
        <v>533</v>
      </c>
      <c r="Y88" s="785"/>
      <c r="Z88" s="785"/>
      <c r="AA88" s="187" t="s">
        <v>575</v>
      </c>
      <c r="AB88" s="1482">
        <v>3</v>
      </c>
      <c r="AC88" s="797" t="str">
        <f t="shared" si="13"/>
        <v/>
      </c>
      <c r="AD88" s="1505">
        <f>IF(M469="","",M469)</f>
        <v>3</v>
      </c>
      <c r="AE88" s="802" t="s">
        <v>864</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8">
        <v>23</v>
      </c>
      <c r="B89" s="125"/>
      <c r="C89" s="62"/>
      <c r="D89" s="62" t="str">
        <f>D588</f>
        <v>Radiographic image is free of grid lines.</v>
      </c>
      <c r="E89" s="62"/>
      <c r="F89" s="62"/>
      <c r="G89" s="62"/>
      <c r="H89" s="62"/>
      <c r="I89" s="62"/>
      <c r="J89" s="158" t="str">
        <f>J588</f>
        <v>NA</v>
      </c>
      <c r="K89" s="533" t="str">
        <f>K588</f>
        <v/>
      </c>
      <c r="L89" s="981" t="s">
        <v>533</v>
      </c>
      <c r="X89" s="962" t="s">
        <v>533</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8">
        <v>24</v>
      </c>
      <c r="B90" s="159"/>
      <c r="C90" s="67"/>
      <c r="D90" s="67"/>
      <c r="E90" s="67"/>
      <c r="F90" s="67"/>
      <c r="G90" s="67"/>
      <c r="H90" s="67"/>
      <c r="I90" s="67"/>
      <c r="J90" s="573"/>
      <c r="K90" s="533"/>
      <c r="L90" s="981" t="s">
        <v>533</v>
      </c>
      <c r="X90" s="962" t="s">
        <v>533</v>
      </c>
      <c r="Y90" s="785"/>
      <c r="Z90" s="785"/>
      <c r="AA90" s="187" t="s">
        <v>576</v>
      </c>
      <c r="AB90" s="1483">
        <v>3</v>
      </c>
      <c r="AC90" s="797" t="str">
        <f t="shared" si="13"/>
        <v>Change</v>
      </c>
      <c r="AD90" s="1506" t="str">
        <f>IF(Q494="","",Q494)</f>
        <v/>
      </c>
      <c r="AE90" s="802" t="s">
        <v>865</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8">
        <v>25</v>
      </c>
      <c r="B91" s="159"/>
      <c r="C91" s="67"/>
      <c r="D91" s="67"/>
      <c r="E91" s="67"/>
      <c r="F91" s="67"/>
      <c r="G91" s="67"/>
      <c r="H91" s="67"/>
      <c r="I91" s="67"/>
      <c r="J91" s="163"/>
      <c r="K91" s="539"/>
      <c r="L91" s="981" t="s">
        <v>533</v>
      </c>
      <c r="X91" s="962" t="s">
        <v>533</v>
      </c>
      <c r="Y91" s="785"/>
      <c r="Z91" s="785"/>
      <c r="AA91" s="187" t="s">
        <v>577</v>
      </c>
      <c r="AB91" s="1483">
        <v>3</v>
      </c>
      <c r="AC91" s="797" t="str">
        <f t="shared" si="13"/>
        <v>Change</v>
      </c>
      <c r="AD91" s="1506" t="str">
        <f>IF(R494="","",R494)</f>
        <v/>
      </c>
      <c r="AE91" s="802" t="s">
        <v>866</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8">
        <v>26</v>
      </c>
      <c r="B92" s="159"/>
      <c r="C92" s="67"/>
      <c r="D92" s="67"/>
      <c r="E92" s="67"/>
      <c r="F92" s="121" t="s">
        <v>578</v>
      </c>
      <c r="G92" s="67"/>
      <c r="H92" s="67"/>
      <c r="I92" s="67"/>
      <c r="J92" s="176"/>
      <c r="K92" s="540"/>
      <c r="L92" s="981" t="s">
        <v>533</v>
      </c>
      <c r="X92" s="962" t="s">
        <v>533</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8">
        <v>27</v>
      </c>
      <c r="B93" s="134"/>
      <c r="C93" s="135"/>
      <c r="D93" s="122" t="s">
        <v>568</v>
      </c>
      <c r="E93" s="123"/>
      <c r="F93" s="123"/>
      <c r="G93" s="123"/>
      <c r="H93" s="123"/>
      <c r="I93" s="123"/>
      <c r="J93" s="158" t="str">
        <f>IF($J$608="NO","",$J$608)</f>
        <v>TBD</v>
      </c>
      <c r="K93" s="533" t="str">
        <f>IF($J$608="NO","NO","")</f>
        <v/>
      </c>
      <c r="L93" s="981" t="s">
        <v>533</v>
      </c>
      <c r="X93" s="962" t="s">
        <v>533</v>
      </c>
      <c r="Y93" s="785"/>
      <c r="Z93" s="785"/>
      <c r="AA93" s="702" t="s">
        <v>566</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8">
        <v>28</v>
      </c>
      <c r="B94" s="134" t="s">
        <v>1202</v>
      </c>
      <c r="C94" s="135"/>
      <c r="D94" s="122" t="s">
        <v>569</v>
      </c>
      <c r="E94" s="123"/>
      <c r="F94" s="123"/>
      <c r="G94" s="123"/>
      <c r="H94" s="123"/>
      <c r="I94" s="123"/>
      <c r="J94" s="158" t="str">
        <f>IF(OR($H$622="NO",$I$622="NO",$H$623="NO",$I$623="NO"),"",IF(OR($H$622="NA",$I$622="NA"),"NA",IF(OR($H$622="TBD",$I$622="TBD",$H$623="TBD",$I$623="TBD"),"TBD","YES")))</f>
        <v>NA</v>
      </c>
      <c r="K94" s="533" t="str">
        <f>IF(OR($H$622="NO",$I$622="NO",$H$623="NO",$I$623="NO"),"NO","")</f>
        <v/>
      </c>
      <c r="L94" s="981" t="s">
        <v>533</v>
      </c>
      <c r="X94" s="962" t="s">
        <v>533</v>
      </c>
      <c r="Y94" s="785"/>
      <c r="Z94" s="785"/>
      <c r="AA94" s="123" t="s">
        <v>579</v>
      </c>
      <c r="AB94" s="1482">
        <v>1</v>
      </c>
      <c r="AC94" s="797" t="str">
        <f t="shared" si="13"/>
        <v/>
      </c>
      <c r="AD94" s="1505">
        <f>M409</f>
        <v>1</v>
      </c>
      <c r="AE94" s="804" t="s">
        <v>431</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8">
        <v>29</v>
      </c>
      <c r="B95" s="134" t="s">
        <v>1206</v>
      </c>
      <c r="C95" s="135"/>
      <c r="D95" s="62" t="s">
        <v>571</v>
      </c>
      <c r="E95" s="67"/>
      <c r="F95" s="67"/>
      <c r="G95" s="67"/>
      <c r="H95" s="67"/>
      <c r="I95" s="67"/>
      <c r="J95" s="158" t="str">
        <f>IF(OR($J$622="NO",$K$622="NO",$J$623="NO",$K$623="NO"),"",IF(OR($J$622="NA",$K$622="NA"),"NA",IF(OR($J$622="TBD",$K$622="TBD",$J$623="TBD",$K$623="TBD"),"TBD","YES")))</f>
        <v>NA</v>
      </c>
      <c r="K95" s="533" t="str">
        <f>IF(OR($J$622="NO",$K$622="NO",$J$623="NO",$K$623="NO"),"NO","")</f>
        <v/>
      </c>
      <c r="L95" s="981" t="s">
        <v>533</v>
      </c>
      <c r="X95" s="962" t="s">
        <v>533</v>
      </c>
      <c r="Y95" s="785"/>
      <c r="Z95" s="785"/>
      <c r="AA95" s="187" t="s">
        <v>580</v>
      </c>
      <c r="AB95" s="1482">
        <v>1</v>
      </c>
      <c r="AC95" s="797" t="str">
        <f t="shared" si="13"/>
        <v/>
      </c>
      <c r="AD95" s="1505">
        <f>M410</f>
        <v>1</v>
      </c>
      <c r="AE95" s="804" t="s">
        <v>432</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8">
        <v>30</v>
      </c>
      <c r="B96" s="134" t="s">
        <v>1</v>
      </c>
      <c r="C96" s="135"/>
      <c r="D96" s="122" t="s">
        <v>573</v>
      </c>
      <c r="E96" s="123"/>
      <c r="F96" s="123"/>
      <c r="G96" s="123"/>
      <c r="H96" s="123"/>
      <c r="I96" s="123"/>
      <c r="J96" s="158" t="str">
        <f>IF(AND($J$637="NA",$K$637="NA"),"NA",IF(OR($J$637="TBD",$K$637="TBD",$J$638="TBD",$K$638="TBD"),"TBD",IF(OR($J$637="NO",$K$637="NO",$J$638="NO",$K$638="NO"),"","YES")))</f>
        <v>NA</v>
      </c>
      <c r="K96" s="533" t="str">
        <f>IF(OR($J$637="NO",$K$637="NO",$J$638="NO",$K$638="NO"),"NO","")</f>
        <v/>
      </c>
      <c r="L96" s="981" t="s">
        <v>533</v>
      </c>
      <c r="X96" s="962" t="s">
        <v>533</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8">
        <v>31</v>
      </c>
      <c r="B97" s="134"/>
      <c r="C97" s="135"/>
      <c r="D97" s="122" t="s">
        <v>574</v>
      </c>
      <c r="E97" s="123"/>
      <c r="F97" s="123"/>
      <c r="G97" s="123"/>
      <c r="H97" s="123"/>
      <c r="I97" s="123"/>
      <c r="J97" s="158" t="str">
        <f>J649</f>
        <v>TBD</v>
      </c>
      <c r="K97" s="533" t="str">
        <f>K649</f>
        <v/>
      </c>
      <c r="L97" s="981" t="s">
        <v>533</v>
      </c>
      <c r="X97" s="962" t="s">
        <v>533</v>
      </c>
      <c r="Y97" s="785"/>
      <c r="Z97" s="784"/>
      <c r="AA97" s="791" t="s">
        <v>581</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8">
        <v>32</v>
      </c>
      <c r="B98" s="125"/>
      <c r="C98" s="62"/>
      <c r="D98" s="62" t="str">
        <f>D651</f>
        <v>Radiographic image is free of grid lines.</v>
      </c>
      <c r="E98" s="62"/>
      <c r="F98" s="62"/>
      <c r="G98" s="62"/>
      <c r="H98" s="62"/>
      <c r="I98" s="62"/>
      <c r="J98" s="158" t="str">
        <f>J651</f>
        <v>NA</v>
      </c>
      <c r="K98" s="533" t="str">
        <f>K651</f>
        <v/>
      </c>
      <c r="L98" s="981" t="s">
        <v>533</v>
      </c>
      <c r="X98" s="962" t="s">
        <v>533</v>
      </c>
      <c r="Y98" s="785"/>
      <c r="Z98" s="784"/>
      <c r="AA98" s="784" t="s">
        <v>582</v>
      </c>
      <c r="AB98" s="1482" t="s">
        <v>533</v>
      </c>
      <c r="AC98" s="797" t="str">
        <f t="shared" si="13"/>
        <v/>
      </c>
      <c r="AD98" s="1507" t="str">
        <f>P414</f>
        <v/>
      </c>
      <c r="AE98" s="804" t="s">
        <v>433</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8">
        <v>33</v>
      </c>
      <c r="B99" s="159"/>
      <c r="C99" s="67"/>
      <c r="D99" s="67"/>
      <c r="E99" s="67"/>
      <c r="F99" s="67"/>
      <c r="G99" s="67"/>
      <c r="H99" s="67"/>
      <c r="I99" s="67"/>
      <c r="J99" s="573"/>
      <c r="K99" s="490"/>
      <c r="L99" s="981" t="s">
        <v>533</v>
      </c>
      <c r="X99" s="962" t="s">
        <v>533</v>
      </c>
      <c r="Y99" s="785"/>
      <c r="Z99" s="784"/>
      <c r="AA99" s="784" t="s">
        <v>583</v>
      </c>
      <c r="AB99" s="1482" t="s">
        <v>533</v>
      </c>
      <c r="AC99" s="797" t="str">
        <f t="shared" si="13"/>
        <v/>
      </c>
      <c r="AD99" s="1507" t="str">
        <f>Q414</f>
        <v/>
      </c>
      <c r="AE99" s="802" t="s">
        <v>434</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8">
        <v>34</v>
      </c>
      <c r="B100" s="159"/>
      <c r="C100" s="67"/>
      <c r="D100" s="67"/>
      <c r="E100" s="67"/>
      <c r="F100" s="67"/>
      <c r="G100" s="67"/>
      <c r="H100" s="67"/>
      <c r="I100" s="67"/>
      <c r="J100" s="163"/>
      <c r="K100" s="539"/>
      <c r="L100" s="981" t="s">
        <v>533</v>
      </c>
      <c r="X100" s="962" t="s">
        <v>533</v>
      </c>
      <c r="Y100" s="785"/>
      <c r="Z100" s="784"/>
      <c r="AA100" s="791" t="s">
        <v>584</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8">
        <v>35</v>
      </c>
      <c r="B101" s="159"/>
      <c r="C101" s="67"/>
      <c r="D101" s="67"/>
      <c r="E101" s="67"/>
      <c r="F101" s="121" t="s">
        <v>585</v>
      </c>
      <c r="G101" s="67"/>
      <c r="H101" s="67"/>
      <c r="I101" s="67"/>
      <c r="J101" s="176"/>
      <c r="K101" s="540"/>
      <c r="L101" s="981" t="s">
        <v>533</v>
      </c>
      <c r="X101" s="962" t="s">
        <v>533</v>
      </c>
      <c r="Y101" s="785"/>
      <c r="Z101" s="784"/>
      <c r="AA101" s="784" t="s">
        <v>582</v>
      </c>
      <c r="AB101" s="1482" t="s">
        <v>533</v>
      </c>
      <c r="AC101" s="797" t="str">
        <f t="shared" si="13"/>
        <v/>
      </c>
      <c r="AD101" s="1507" t="str">
        <f>P415</f>
        <v/>
      </c>
      <c r="AE101" s="804" t="s">
        <v>435</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533</v>
      </c>
      <c r="X102" s="962" t="s">
        <v>533</v>
      </c>
      <c r="Y102" s="785"/>
      <c r="Z102" s="784"/>
      <c r="AA102" s="784" t="s">
        <v>583</v>
      </c>
      <c r="AB102" s="1482" t="s">
        <v>533</v>
      </c>
      <c r="AC102" s="797" t="str">
        <f t="shared" si="13"/>
        <v/>
      </c>
      <c r="AD102" s="1507" t="str">
        <f>Q415</f>
        <v/>
      </c>
      <c r="AE102" s="802" t="s">
        <v>436</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533</v>
      </c>
      <c r="X103" s="962" t="s">
        <v>533</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533</v>
      </c>
      <c r="X104" s="962" t="s">
        <v>533</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533</v>
      </c>
      <c r="X105" s="962" t="s">
        <v>533</v>
      </c>
      <c r="Y105" s="785"/>
      <c r="Z105" s="785"/>
      <c r="AA105" s="187" t="s">
        <v>586</v>
      </c>
      <c r="AB105" s="1483">
        <v>96.9</v>
      </c>
      <c r="AC105" s="797" t="str">
        <f t="shared" si="13"/>
        <v>Change</v>
      </c>
      <c r="AD105" s="1509">
        <f>M420</f>
        <v>100</v>
      </c>
      <c r="AE105" s="802" t="s">
        <v>437</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533</v>
      </c>
      <c r="X106" s="962" t="s">
        <v>533</v>
      </c>
      <c r="Y106" s="785"/>
      <c r="Z106" s="785"/>
      <c r="AA106" s="187" t="s">
        <v>587</v>
      </c>
      <c r="AB106" s="1483">
        <v>4.7</v>
      </c>
      <c r="AC106" s="797" t="str">
        <f t="shared" si="13"/>
        <v/>
      </c>
      <c r="AD106" s="1509">
        <f>M421</f>
        <v>4.7</v>
      </c>
      <c r="AE106" s="802" t="s">
        <v>438</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533</v>
      </c>
      <c r="X107" s="962" t="s">
        <v>533</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533</v>
      </c>
      <c r="X108" s="962" t="s">
        <v>533</v>
      </c>
      <c r="Y108" s="785"/>
      <c r="Z108" s="785"/>
      <c r="AA108" s="784" t="s">
        <v>588</v>
      </c>
      <c r="AB108" s="1482" t="s">
        <v>744</v>
      </c>
      <c r="AC108" s="797" t="str">
        <f t="shared" si="13"/>
        <v/>
      </c>
      <c r="AD108" s="1501" t="str">
        <f>V423</f>
        <v>cm</v>
      </c>
      <c r="AE108" s="802" t="s">
        <v>867</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8">
        <v>43</v>
      </c>
      <c r="B109" s="399"/>
      <c r="C109" s="65"/>
      <c r="D109" s="62" t="str">
        <f>$D$920</f>
        <v>Exposure delay time is not excessive.</v>
      </c>
      <c r="E109" s="67"/>
      <c r="F109" s="60"/>
      <c r="G109" s="60"/>
      <c r="H109" s="60"/>
      <c r="I109" s="60"/>
      <c r="J109" s="158" t="str">
        <f>$J$920</f>
        <v>TBD</v>
      </c>
      <c r="K109" s="533" t="str">
        <f>$K$920</f>
        <v/>
      </c>
      <c r="L109" s="981" t="s">
        <v>533</v>
      </c>
      <c r="X109" s="962" t="s">
        <v>533</v>
      </c>
      <c r="Y109" s="785"/>
      <c r="Z109" s="785"/>
      <c r="AA109" s="784" t="s">
        <v>589</v>
      </c>
      <c r="AB109" s="1483">
        <v>101.60000000000001</v>
      </c>
      <c r="AC109" s="797" t="str">
        <f t="shared" si="13"/>
        <v>Change</v>
      </c>
      <c r="AD109" s="1509">
        <f>U423</f>
        <v>104.7</v>
      </c>
      <c r="AE109" s="802" t="s">
        <v>868</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8">
        <v>44</v>
      </c>
      <c r="B110" s="134" t="s">
        <v>11</v>
      </c>
      <c r="C110" s="135"/>
      <c r="D110" s="122" t="s">
        <v>591</v>
      </c>
      <c r="E110" s="123"/>
      <c r="F110" s="123"/>
      <c r="G110" s="123"/>
      <c r="H110" s="123"/>
      <c r="I110" s="123"/>
      <c r="J110" s="1656" t="str">
        <f>IF(AND($E$716="TBD",$J$716="TBD"),"TBD",IF(OR($E$716="NO",$J$716="NO"),"","YES"))</f>
        <v>TBD</v>
      </c>
      <c r="K110" s="541" t="str">
        <f>IF(AND($E$716="TBD",$J$716="TBD"),"",IF(OR($E$716="NO",$J$716="NO"),"NO",""))</f>
        <v/>
      </c>
      <c r="L110" s="981" t="s">
        <v>533</v>
      </c>
      <c r="X110" s="962" t="s">
        <v>533</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8">
        <v>45</v>
      </c>
      <c r="B111" s="134" t="s">
        <v>10</v>
      </c>
      <c r="C111" s="135"/>
      <c r="D111" s="122" t="s">
        <v>1247</v>
      </c>
      <c r="E111" s="123"/>
      <c r="F111" s="123"/>
      <c r="G111" s="123"/>
      <c r="H111" s="123"/>
      <c r="I111" s="123"/>
      <c r="J111" s="1656" t="str">
        <f>IF(AND($E$760="NA",$F$760="NA",$I$760="NA",$J$760="NA"),"NA",IF(OR($E$760="NO",$F$760="NO",$I$760="NO",$J$760="NO"),"","YES"))</f>
        <v>NA</v>
      </c>
      <c r="K111" s="541" t="str">
        <f>IF(AND($E$760="TBD",$F$760="TBD",$I$760="TBD",$J$760="TBD"),"",IF(OR($E$760="NO",$F$760="NO",$I$760="NO",$J$760="NO"),"NO",""))</f>
        <v/>
      </c>
      <c r="L111" s="981" t="s">
        <v>533</v>
      </c>
      <c r="X111" s="962" t="s">
        <v>533</v>
      </c>
      <c r="Y111" s="785"/>
      <c r="Z111" s="785"/>
      <c r="AA111" s="784" t="s">
        <v>590</v>
      </c>
      <c r="AB111" s="1482">
        <v>80</v>
      </c>
      <c r="AC111" s="797" t="str">
        <f t="shared" si="13"/>
        <v/>
      </c>
      <c r="AD111" s="1510">
        <f>O542</f>
        <v>80</v>
      </c>
      <c r="AE111" s="802" t="s">
        <v>869</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533</v>
      </c>
      <c r="X112" s="962" t="s">
        <v>533</v>
      </c>
      <c r="Y112" s="785"/>
      <c r="Z112" s="785"/>
      <c r="AA112" s="784" t="s">
        <v>592</v>
      </c>
      <c r="AB112" s="1482" t="s">
        <v>533</v>
      </c>
      <c r="AC112" s="797" t="str">
        <f t="shared" si="13"/>
        <v/>
      </c>
      <c r="AD112" s="1511" t="str">
        <f>Q542</f>
        <v/>
      </c>
      <c r="AE112" s="802" t="s">
        <v>870</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8">
        <v>47</v>
      </c>
      <c r="B113" s="134" t="s">
        <v>13</v>
      </c>
      <c r="C113" s="135"/>
      <c r="D113" s="122" t="s">
        <v>595</v>
      </c>
      <c r="E113" s="123"/>
      <c r="F113" s="123"/>
      <c r="G113" s="123"/>
      <c r="H113" s="123"/>
      <c r="I113" s="123"/>
      <c r="J113" s="1656" t="str">
        <f>IF(M53=1,$T$52,IF($K$829="NA","NA",IF(OR($K$829="",$K$829="TBD"),"TBD",IF($K$829="YES","YES",""))))</f>
        <v>NA</v>
      </c>
      <c r="K113" s="541" t="str">
        <f>IF($M$53=1,"",IF(OR($K$829="",$K$829="TBD", $K$829="NA"),"",IF($K$829="YES","","NO")))</f>
        <v/>
      </c>
      <c r="L113" s="981" t="s">
        <v>533</v>
      </c>
      <c r="X113" s="962" t="s">
        <v>533</v>
      </c>
      <c r="Y113" s="785"/>
      <c r="Z113" s="785"/>
      <c r="AA113" s="784" t="s">
        <v>593</v>
      </c>
      <c r="AB113" s="1484" t="s">
        <v>533</v>
      </c>
      <c r="AC113" s="797" t="str">
        <f t="shared" si="13"/>
        <v/>
      </c>
      <c r="AD113" s="1512" t="str">
        <f>S542</f>
        <v/>
      </c>
      <c r="AE113" s="802" t="s">
        <v>871</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8">
        <v>48</v>
      </c>
      <c r="B114" s="134" t="s">
        <v>12</v>
      </c>
      <c r="C114" s="135"/>
      <c r="D114" s="122" t="s">
        <v>596</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533</v>
      </c>
      <c r="X114" s="962" t="s">
        <v>533</v>
      </c>
      <c r="Y114" s="785"/>
      <c r="Z114" s="785"/>
      <c r="AA114" s="784" t="s">
        <v>594</v>
      </c>
      <c r="AB114" s="1482" t="s">
        <v>1286</v>
      </c>
      <c r="AC114" s="797" t="str">
        <f t="shared" si="13"/>
        <v/>
      </c>
      <c r="AD114" s="1511" t="str">
        <f>IF(U543&lt;&gt;"",U543,U542)</f>
        <v>`</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8">
        <v>49</v>
      </c>
      <c r="B115" s="159"/>
      <c r="C115" s="67"/>
      <c r="D115" s="67"/>
      <c r="E115" s="67"/>
      <c r="F115" s="67"/>
      <c r="G115" s="67"/>
      <c r="H115" s="67"/>
      <c r="I115" s="67"/>
      <c r="J115" s="163"/>
      <c r="K115" s="539"/>
      <c r="L115" s="981" t="s">
        <v>533</v>
      </c>
      <c r="X115" s="962" t="s">
        <v>533</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8">
        <v>50</v>
      </c>
      <c r="B116" s="159"/>
      <c r="C116" s="67"/>
      <c r="D116" s="67"/>
      <c r="E116" s="67"/>
      <c r="F116" s="121" t="s">
        <v>600</v>
      </c>
      <c r="G116" s="67"/>
      <c r="H116" s="67"/>
      <c r="I116" s="67"/>
      <c r="J116" s="176"/>
      <c r="K116" s="540"/>
      <c r="L116" s="981" t="s">
        <v>533</v>
      </c>
      <c r="X116" s="962" t="s">
        <v>533</v>
      </c>
      <c r="Y116" s="785"/>
      <c r="Z116" s="785"/>
      <c r="AA116" s="791" t="s">
        <v>597</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8">
        <v>51</v>
      </c>
      <c r="B117" s="134" t="s">
        <v>5</v>
      </c>
      <c r="C117" s="135"/>
      <c r="D117" s="122" t="s">
        <v>602</v>
      </c>
      <c r="E117" s="122"/>
      <c r="F117" s="122"/>
      <c r="G117" s="122"/>
      <c r="H117" s="122"/>
      <c r="I117" s="122"/>
      <c r="J117" s="158" t="str">
        <f t="shared" ref="J117:J122" si="18">IF(M1426="","TBD",IF(M1426=1,"YES",IF(M1426=3,"NA","")))</f>
        <v>TBD</v>
      </c>
      <c r="K117" s="533" t="str">
        <f t="shared" ref="K117:K122" si="19">IF(M1426=2,"NO","")</f>
        <v/>
      </c>
      <c r="L117" s="981" t="s">
        <v>533</v>
      </c>
      <c r="X117" s="962" t="s">
        <v>533</v>
      </c>
      <c r="Y117" s="785"/>
      <c r="Z117" s="785"/>
      <c r="AA117" s="784" t="s">
        <v>598</v>
      </c>
      <c r="AB117" s="1482">
        <v>12.192</v>
      </c>
      <c r="AC117" s="797" t="str">
        <f t="shared" si="13"/>
        <v/>
      </c>
      <c r="AD117" s="1511">
        <f>M554</f>
        <v>12.192</v>
      </c>
      <c r="AE117" s="802" t="s">
        <v>872</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8">
        <v>52</v>
      </c>
      <c r="B118" s="134"/>
      <c r="C118" s="1461"/>
      <c r="D118" s="122" t="s">
        <v>1190</v>
      </c>
      <c r="J118" s="158" t="str">
        <f t="shared" si="18"/>
        <v>NA</v>
      </c>
      <c r="K118" s="533" t="str">
        <f t="shared" si="19"/>
        <v/>
      </c>
      <c r="L118" s="981" t="s">
        <v>533</v>
      </c>
      <c r="X118" s="962" t="s">
        <v>533</v>
      </c>
      <c r="Y118" s="785"/>
      <c r="Z118" s="785"/>
      <c r="AA118" s="784" t="s">
        <v>599</v>
      </c>
      <c r="AB118" s="1482">
        <v>18.796000000000003</v>
      </c>
      <c r="AC118" s="797" t="str">
        <f t="shared" si="13"/>
        <v/>
      </c>
      <c r="AD118" s="1511">
        <f>N554</f>
        <v>18.796000000000003</v>
      </c>
      <c r="AE118" s="802" t="s">
        <v>873</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8">
        <v>53</v>
      </c>
      <c r="B119" s="134"/>
      <c r="C119" s="1461"/>
      <c r="D119" s="122" t="s">
        <v>1191</v>
      </c>
      <c r="J119" s="158" t="str">
        <f t="shared" si="18"/>
        <v>NA</v>
      </c>
      <c r="K119" s="533" t="str">
        <f t="shared" si="19"/>
        <v/>
      </c>
      <c r="L119" s="981" t="s">
        <v>533</v>
      </c>
      <c r="X119" s="962" t="s">
        <v>533</v>
      </c>
      <c r="Y119" s="785"/>
      <c r="Z119" s="785"/>
      <c r="AA119" s="784" t="s">
        <v>601</v>
      </c>
      <c r="AB119" s="1482">
        <v>25.4</v>
      </c>
      <c r="AC119" s="797" t="str">
        <f t="shared" si="13"/>
        <v/>
      </c>
      <c r="AD119" s="1511">
        <f>M555</f>
        <v>25.4</v>
      </c>
      <c r="AE119" s="802" t="s">
        <v>788</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8">
        <v>54</v>
      </c>
      <c r="B120" s="134" t="s">
        <v>1194</v>
      </c>
      <c r="C120" s="1461"/>
      <c r="D120" s="122" t="s">
        <v>1193</v>
      </c>
      <c r="J120" s="158" t="str">
        <f t="shared" si="18"/>
        <v>NA</v>
      </c>
      <c r="K120" s="533" t="str">
        <f t="shared" si="19"/>
        <v/>
      </c>
      <c r="L120" s="981" t="s">
        <v>533</v>
      </c>
      <c r="X120" s="962" t="s">
        <v>533</v>
      </c>
      <c r="Y120" s="785"/>
      <c r="Z120" s="785"/>
      <c r="AA120" s="784" t="s">
        <v>603</v>
      </c>
      <c r="AB120" s="1482">
        <v>30.48</v>
      </c>
      <c r="AC120" s="797" t="str">
        <f t="shared" si="13"/>
        <v/>
      </c>
      <c r="AD120" s="1511">
        <f>N555</f>
        <v>30.48</v>
      </c>
      <c r="AE120" s="802" t="s">
        <v>874</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8">
        <v>55</v>
      </c>
      <c r="B121" s="134" t="s">
        <v>6</v>
      </c>
      <c r="C121" s="135"/>
      <c r="D121" s="122" t="s">
        <v>604</v>
      </c>
      <c r="E121" s="123"/>
      <c r="F121" s="123"/>
      <c r="G121" s="123"/>
      <c r="H121" s="123"/>
      <c r="I121" s="123"/>
      <c r="J121" s="158" t="str">
        <f t="shared" si="18"/>
        <v>TBD</v>
      </c>
      <c r="K121" s="533" t="str">
        <f t="shared" si="19"/>
        <v/>
      </c>
      <c r="L121" s="981" t="s">
        <v>533</v>
      </c>
      <c r="X121" s="962" t="s">
        <v>533</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8">
        <v>56</v>
      </c>
      <c r="B122" s="134" t="s">
        <v>8</v>
      </c>
      <c r="C122" s="135"/>
      <c r="D122" s="62" t="s">
        <v>605</v>
      </c>
      <c r="E122" s="67"/>
      <c r="F122" s="67"/>
      <c r="G122" s="67"/>
      <c r="H122" s="67"/>
      <c r="I122" s="67"/>
      <c r="J122" s="158" t="str">
        <f t="shared" si="18"/>
        <v>TBD</v>
      </c>
      <c r="K122" s="533" t="str">
        <f t="shared" si="19"/>
        <v/>
      </c>
      <c r="L122" s="981" t="s">
        <v>533</v>
      </c>
      <c r="X122" s="962" t="s">
        <v>533</v>
      </c>
      <c r="Y122" s="785"/>
      <c r="Z122" s="785"/>
      <c r="AA122" s="784" t="s">
        <v>606</v>
      </c>
      <c r="AB122" s="1482">
        <v>3</v>
      </c>
      <c r="AC122" s="797" t="str">
        <f t="shared" si="13"/>
        <v/>
      </c>
      <c r="AD122" s="1510">
        <f>M572</f>
        <v>3</v>
      </c>
      <c r="AE122" s="802" t="s">
        <v>875</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8">
        <v>57</v>
      </c>
      <c r="B123" s="134" t="s">
        <v>7</v>
      </c>
      <c r="C123" s="135"/>
      <c r="D123" s="62" t="s">
        <v>607</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533</v>
      </c>
      <c r="X123" s="962" t="s">
        <v>533</v>
      </c>
      <c r="Y123" s="785"/>
      <c r="Z123" s="785"/>
      <c r="AA123" s="784" t="s">
        <v>608</v>
      </c>
      <c r="AB123" s="1482">
        <v>1</v>
      </c>
      <c r="AC123" s="797" t="str">
        <f t="shared" si="13"/>
        <v/>
      </c>
      <c r="AD123" s="1510">
        <f>M589</f>
        <v>1</v>
      </c>
      <c r="AE123" s="802" t="s">
        <v>876</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8">
        <v>58</v>
      </c>
      <c r="B124" s="134" t="s">
        <v>7</v>
      </c>
      <c r="C124" s="135"/>
      <c r="D124" s="62" t="s">
        <v>609</v>
      </c>
      <c r="E124" s="62"/>
      <c r="F124" s="62"/>
      <c r="G124" s="66" t="s">
        <v>610</v>
      </c>
      <c r="H124" s="75">
        <f>IF(R1433="","",R1433)</f>
        <v>0</v>
      </c>
      <c r="I124" s="67"/>
      <c r="J124" s="158" t="str">
        <f t="shared" si="20"/>
        <v>TBD</v>
      </c>
      <c r="K124" s="533" t="str">
        <f t="shared" si="21"/>
        <v/>
      </c>
      <c r="L124" s="981" t="s">
        <v>533</v>
      </c>
      <c r="X124" s="962" t="s">
        <v>533</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8">
        <v>59</v>
      </c>
      <c r="B125" s="134"/>
      <c r="C125" s="135"/>
      <c r="D125" s="62" t="s">
        <v>611</v>
      </c>
      <c r="E125" s="115"/>
      <c r="F125" s="115"/>
      <c r="G125" s="115"/>
      <c r="H125" s="115"/>
      <c r="I125" s="115"/>
      <c r="J125" s="158" t="str">
        <f t="shared" si="20"/>
        <v>TBD</v>
      </c>
      <c r="K125" s="533" t="str">
        <f t="shared" si="21"/>
        <v/>
      </c>
      <c r="L125" s="981" t="s">
        <v>533</v>
      </c>
      <c r="X125" s="962" t="s">
        <v>533</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8">
        <v>60</v>
      </c>
      <c r="B126" s="134" t="s">
        <v>7</v>
      </c>
      <c r="C126" s="135"/>
      <c r="D126" s="62" t="s">
        <v>612</v>
      </c>
      <c r="E126" s="67"/>
      <c r="F126" s="67"/>
      <c r="G126" s="67"/>
      <c r="H126" s="67"/>
      <c r="I126" s="67"/>
      <c r="J126" s="158" t="str">
        <f t="shared" si="20"/>
        <v>TBD</v>
      </c>
      <c r="K126" s="533" t="str">
        <f t="shared" si="21"/>
        <v/>
      </c>
      <c r="L126" s="981" t="s">
        <v>533</v>
      </c>
      <c r="X126" s="962" t="s">
        <v>533</v>
      </c>
      <c r="Y126" s="785"/>
      <c r="Z126" s="785"/>
      <c r="AA126" s="702" t="s">
        <v>578</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8">
        <v>61</v>
      </c>
      <c r="B127" s="134"/>
      <c r="C127" s="135"/>
      <c r="D127" s="122" t="s">
        <v>613</v>
      </c>
      <c r="E127" s="123"/>
      <c r="F127" s="123"/>
      <c r="G127" s="123"/>
      <c r="H127" s="187"/>
      <c r="I127" s="123"/>
      <c r="J127" s="158" t="str">
        <f t="shared" si="20"/>
        <v>TBD</v>
      </c>
      <c r="K127" s="533" t="str">
        <f t="shared" si="21"/>
        <v/>
      </c>
      <c r="L127" s="981" t="s">
        <v>533</v>
      </c>
      <c r="X127" s="962" t="s">
        <v>533</v>
      </c>
      <c r="Y127" s="785"/>
      <c r="Z127" s="785"/>
      <c r="AA127" s="123" t="s">
        <v>614</v>
      </c>
      <c r="AB127" s="1482">
        <v>1</v>
      </c>
      <c r="AC127" s="797" t="str">
        <f t="shared" si="13"/>
        <v/>
      </c>
      <c r="AD127" s="1510">
        <f>M434</f>
        <v>1</v>
      </c>
      <c r="AE127" s="802" t="s">
        <v>877</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8">
        <v>62</v>
      </c>
      <c r="B128" s="134" t="s">
        <v>15</v>
      </c>
      <c r="C128" s="135"/>
      <c r="D128" s="122" t="s">
        <v>615</v>
      </c>
      <c r="E128" s="123"/>
      <c r="F128" s="123"/>
      <c r="G128" s="123"/>
      <c r="H128" s="123"/>
      <c r="I128" s="123"/>
      <c r="J128" s="158" t="str">
        <f t="shared" si="20"/>
        <v>TBD</v>
      </c>
      <c r="K128" s="533" t="str">
        <f t="shared" si="21"/>
        <v/>
      </c>
      <c r="L128" s="981" t="s">
        <v>533</v>
      </c>
      <c r="X128" s="962" t="s">
        <v>533</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8">
        <v>63</v>
      </c>
      <c r="B129" s="134"/>
      <c r="C129" s="135"/>
      <c r="D129" s="122" t="s">
        <v>616</v>
      </c>
      <c r="E129" s="123"/>
      <c r="F129" s="123"/>
      <c r="G129" s="123"/>
      <c r="H129" s="123"/>
      <c r="I129" s="123"/>
      <c r="J129" s="158" t="str">
        <f>IF(M1438="","TBD",IF(M1438=1,"YES",IF(M1438=3,"NA","")))</f>
        <v>TBD</v>
      </c>
      <c r="K129" s="533" t="str">
        <f>IF(M1438=2,"NO","")</f>
        <v/>
      </c>
      <c r="L129" s="981" t="s">
        <v>533</v>
      </c>
      <c r="X129" s="962" t="s">
        <v>533</v>
      </c>
      <c r="Y129" s="785"/>
      <c r="Z129" s="784"/>
      <c r="AA129" s="791" t="s">
        <v>581</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8">
        <v>64</v>
      </c>
      <c r="B130" s="116"/>
      <c r="C130" s="98"/>
      <c r="D130" s="98"/>
      <c r="E130" s="98"/>
      <c r="F130" s="98"/>
      <c r="G130" s="98"/>
      <c r="H130" s="98"/>
      <c r="I130" s="98"/>
      <c r="J130" s="538"/>
      <c r="K130" s="542"/>
      <c r="L130" s="981" t="s">
        <v>533</v>
      </c>
      <c r="X130" s="962" t="s">
        <v>533</v>
      </c>
      <c r="Y130" s="785"/>
      <c r="Z130" s="784"/>
      <c r="AA130" s="784" t="s">
        <v>582</v>
      </c>
      <c r="AB130" s="1482" t="s">
        <v>533</v>
      </c>
      <c r="AC130" s="797" t="str">
        <f t="shared" si="13"/>
        <v/>
      </c>
      <c r="AD130" s="1507" t="str">
        <f>P438</f>
        <v/>
      </c>
      <c r="AE130" s="802" t="s">
        <v>878</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8">
        <v>65</v>
      </c>
      <c r="B131" s="64" t="str">
        <f t="array" ref="B131:C132">$B$65:$C$66</f>
        <v>Date:</v>
      </c>
      <c r="C131" s="1467">
        <v>43039</v>
      </c>
      <c r="D131" s="140"/>
      <c r="E131" s="63"/>
      <c r="F131" s="63"/>
      <c r="G131" s="63"/>
      <c r="H131" s="63"/>
      <c r="I131" s="64" t="str">
        <f t="array" ref="I131:J132">$I$65:$J$66</f>
        <v>Inspector:</v>
      </c>
      <c r="J131" s="565" t="str">
        <v>Eugene Mah</v>
      </c>
      <c r="L131" s="981" t="s">
        <v>533</v>
      </c>
      <c r="X131" s="962" t="s">
        <v>533</v>
      </c>
      <c r="Y131" s="785"/>
      <c r="Z131" s="784"/>
      <c r="AA131" s="784" t="s">
        <v>583</v>
      </c>
      <c r="AB131" s="1482" t="s">
        <v>533</v>
      </c>
      <c r="AC131" s="797" t="str">
        <f t="shared" si="13"/>
        <v/>
      </c>
      <c r="AD131" s="1507" t="str">
        <f>Q438</f>
        <v/>
      </c>
      <c r="AE131" s="802" t="s">
        <v>879</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8">
        <v>66</v>
      </c>
      <c r="B132" s="64" t="str">
        <v>Room Number:</v>
      </c>
      <c r="C132" s="508" t="str">
        <v>Room 04 RT 127M - Tube 1</v>
      </c>
      <c r="D132" s="67"/>
      <c r="E132" s="63"/>
      <c r="F132" s="63"/>
      <c r="G132" s="63"/>
      <c r="H132" s="63"/>
      <c r="I132" s="64" t="str">
        <v>Survey ID:</v>
      </c>
      <c r="J132" s="1475">
        <v>1976</v>
      </c>
      <c r="L132" s="981" t="s">
        <v>533</v>
      </c>
      <c r="X132" s="962" t="s">
        <v>533</v>
      </c>
      <c r="Y132" s="785"/>
      <c r="Z132" s="784"/>
      <c r="AA132" s="791" t="s">
        <v>584</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8">
        <v>1</v>
      </c>
      <c r="K133" s="165" t="str">
        <f>$F$2</f>
        <v>Medical University of South Carolina</v>
      </c>
      <c r="L133" s="981" t="s">
        <v>533</v>
      </c>
      <c r="X133" s="962" t="s">
        <v>533</v>
      </c>
      <c r="Y133" s="785"/>
      <c r="Z133" s="784"/>
      <c r="AA133" s="784" t="s">
        <v>582</v>
      </c>
      <c r="AB133" s="1482" t="s">
        <v>533</v>
      </c>
      <c r="AC133" s="797" t="str">
        <f t="shared" si="13"/>
        <v/>
      </c>
      <c r="AD133" s="1507" t="str">
        <f>P439</f>
        <v/>
      </c>
      <c r="AE133" s="802" t="s">
        <v>880</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8">
        <v>2</v>
      </c>
      <c r="F134" s="344" t="str">
        <f>$F$49</f>
        <v>Inspection Results</v>
      </c>
      <c r="K134" s="166" t="str">
        <f>$F$5</f>
        <v>Radiographic System Compliance Inspection</v>
      </c>
      <c r="L134" s="981" t="s">
        <v>533</v>
      </c>
      <c r="X134" s="962" t="s">
        <v>533</v>
      </c>
      <c r="Y134" s="785"/>
      <c r="Z134" s="784"/>
      <c r="AA134" s="784" t="s">
        <v>583</v>
      </c>
      <c r="AB134" s="1482" t="s">
        <v>533</v>
      </c>
      <c r="AC134" s="797" t="str">
        <f t="shared" si="13"/>
        <v/>
      </c>
      <c r="AD134" s="1507" t="str">
        <f>Q439</f>
        <v/>
      </c>
      <c r="AE134" s="802" t="s">
        <v>881</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8">
        <v>3</v>
      </c>
      <c r="L135" s="981" t="s">
        <v>533</v>
      </c>
      <c r="X135" s="962" t="s">
        <v>533</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8">
        <v>4</v>
      </c>
      <c r="B136" s="93"/>
      <c r="C136" s="76"/>
      <c r="D136" s="76"/>
      <c r="E136" s="76"/>
      <c r="F136" s="76"/>
      <c r="G136" s="76"/>
      <c r="H136" s="76"/>
      <c r="I136" s="76"/>
      <c r="J136" s="76"/>
      <c r="K136" s="94"/>
      <c r="L136" s="981" t="s">
        <v>533</v>
      </c>
      <c r="X136" s="962" t="s">
        <v>533</v>
      </c>
      <c r="Y136" s="785"/>
      <c r="Z136" s="784"/>
      <c r="AA136" s="784" t="s">
        <v>590</v>
      </c>
      <c r="AB136" s="1482">
        <v>80</v>
      </c>
      <c r="AC136" s="797" t="str">
        <f t="shared" si="13"/>
        <v/>
      </c>
      <c r="AD136" s="1510">
        <f>O601</f>
        <v>80</v>
      </c>
      <c r="AE136" s="802" t="s">
        <v>882</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8">
        <v>5</v>
      </c>
      <c r="B137" s="159"/>
      <c r="C137" s="67"/>
      <c r="D137" s="67"/>
      <c r="E137" s="67"/>
      <c r="F137" s="121" t="s">
        <v>617</v>
      </c>
      <c r="G137" s="67"/>
      <c r="H137" s="67"/>
      <c r="I137" s="67"/>
      <c r="J137" s="534" t="s">
        <v>538</v>
      </c>
      <c r="K137" s="535"/>
      <c r="L137" s="981" t="s">
        <v>533</v>
      </c>
      <c r="X137" s="962" t="s">
        <v>533</v>
      </c>
      <c r="Y137" s="785"/>
      <c r="Z137" s="784"/>
      <c r="AA137" s="784" t="s">
        <v>592</v>
      </c>
      <c r="AB137" s="1482" t="s">
        <v>533</v>
      </c>
      <c r="AC137" s="797" t="str">
        <f t="shared" ref="AC137:AC200" si="22">IF(AND(OR(AB137="",AB137=0),OR(AD137="",AD137=0)),"",IF(AB137&lt;&gt;AD137,"Change",""))</f>
        <v/>
      </c>
      <c r="AD137" s="1511" t="str">
        <f>Q601</f>
        <v/>
      </c>
      <c r="AE137" s="802" t="s">
        <v>883</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8">
        <v>6</v>
      </c>
      <c r="B138" s="159"/>
      <c r="C138" s="67"/>
      <c r="D138" s="62" t="s">
        <v>618</v>
      </c>
      <c r="E138" s="67"/>
      <c r="F138" s="67"/>
      <c r="G138" s="67"/>
      <c r="H138" s="67"/>
      <c r="I138" s="67"/>
      <c r="J138" s="158" t="str">
        <f>IF($J$679="NO","",$J$679)</f>
        <v>NA</v>
      </c>
      <c r="K138" s="533" t="str">
        <f>IF($J$679="NO","NO","")</f>
        <v/>
      </c>
      <c r="L138" s="981" t="s">
        <v>533</v>
      </c>
      <c r="X138" s="962" t="s">
        <v>533</v>
      </c>
      <c r="Y138" s="785"/>
      <c r="Z138" s="785"/>
      <c r="AA138" s="784" t="s">
        <v>593</v>
      </c>
      <c r="AB138" s="1482" t="s">
        <v>533</v>
      </c>
      <c r="AC138" s="797" t="str">
        <f t="shared" si="22"/>
        <v/>
      </c>
      <c r="AD138" s="1512" t="str">
        <f>S601</f>
        <v/>
      </c>
      <c r="AE138" s="802" t="s">
        <v>884</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8">
        <v>7</v>
      </c>
      <c r="B139" s="134"/>
      <c r="C139" s="135"/>
      <c r="D139" s="122" t="s">
        <v>619</v>
      </c>
      <c r="E139" s="123"/>
      <c r="F139" s="123"/>
      <c r="G139" s="123"/>
      <c r="H139" s="123"/>
      <c r="I139" s="123"/>
      <c r="J139" s="158" t="str">
        <f>IF(OR(J1401="NO",J1412="NO"),"",IF(AND(J1401="NA",J1412="NA"),"NA",IF(OR(J1401="YES",J1412="YES"),"YES","TBD")))</f>
        <v>YES</v>
      </c>
      <c r="K139" s="471" t="str">
        <f>IF(OR(J1401="NO",J1412="NO"),"NO","")</f>
        <v/>
      </c>
      <c r="L139" s="981" t="s">
        <v>533</v>
      </c>
      <c r="X139" s="962" t="s">
        <v>533</v>
      </c>
      <c r="Y139" s="441"/>
      <c r="Z139" s="785"/>
      <c r="AA139" s="784" t="s">
        <v>594</v>
      </c>
      <c r="AB139" s="1485">
        <v>2</v>
      </c>
      <c r="AC139" s="797" t="str">
        <f t="shared" si="22"/>
        <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8">
        <v>8</v>
      </c>
      <c r="B140" s="159"/>
      <c r="C140" s="67"/>
      <c r="D140" s="67"/>
      <c r="E140" s="67"/>
      <c r="F140" s="67"/>
      <c r="G140" s="67"/>
      <c r="H140" s="67"/>
      <c r="I140" s="67"/>
      <c r="J140" s="573"/>
      <c r="K140" s="490"/>
      <c r="L140" s="981" t="s">
        <v>533</v>
      </c>
      <c r="X140" s="962" t="s">
        <v>533</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8">
        <v>9</v>
      </c>
      <c r="B141" s="159"/>
      <c r="C141" s="67"/>
      <c r="D141" s="67"/>
      <c r="E141" s="67"/>
      <c r="F141" s="121" t="s">
        <v>620</v>
      </c>
      <c r="G141" s="67"/>
      <c r="H141" s="67"/>
      <c r="I141" s="67"/>
      <c r="J141" s="163"/>
      <c r="K141" s="539"/>
      <c r="L141" s="981" t="s">
        <v>533</v>
      </c>
      <c r="X141" s="962" t="s">
        <v>533</v>
      </c>
      <c r="Y141" s="441"/>
      <c r="Z141" s="785"/>
      <c r="AA141" s="784" t="s">
        <v>621</v>
      </c>
      <c r="AB141" s="1482" t="s">
        <v>744</v>
      </c>
      <c r="AC141" s="797" t="str">
        <f t="shared" si="22"/>
        <v/>
      </c>
      <c r="AD141" s="1501" t="str">
        <f>V448</f>
        <v>cm</v>
      </c>
      <c r="AE141" s="802" t="s">
        <v>885</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8">
        <v>10</v>
      </c>
      <c r="B142" s="399" t="s">
        <v>622</v>
      </c>
      <c r="C142" s="65"/>
      <c r="D142" s="62" t="s">
        <v>623</v>
      </c>
      <c r="E142" s="67"/>
      <c r="F142" s="60"/>
      <c r="G142" s="60"/>
      <c r="H142" s="60"/>
      <c r="I142" s="60"/>
      <c r="J142" s="176" t="str">
        <f>IF(AND(OR(J1026="TBD",J1026="NA"),OR(J1224="TBD",J1224="NA")),"NA",IF(AND(J1026&lt;&gt;"",J1224&lt;&gt;"TBD",J1224&lt;&gt;"NA"),J1224,J1026))</f>
        <v>NA</v>
      </c>
      <c r="K142" s="540" t="str">
        <f>IF(K1224&lt;&gt;"",K1224,K1026)</f>
        <v/>
      </c>
      <c r="L142" s="981" t="s">
        <v>533</v>
      </c>
      <c r="X142" s="962" t="s">
        <v>533</v>
      </c>
      <c r="Y142" s="441"/>
      <c r="Z142" s="785"/>
      <c r="AA142" s="784" t="s">
        <v>624</v>
      </c>
      <c r="AB142" s="1482">
        <v>182.88</v>
      </c>
      <c r="AC142" s="797" t="str">
        <f t="shared" si="22"/>
        <v/>
      </c>
      <c r="AD142" s="1511">
        <f>M616</f>
        <v>182.88</v>
      </c>
      <c r="AE142" s="802" t="s">
        <v>886</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8">
        <v>11</v>
      </c>
      <c r="B143" s="399" t="s">
        <v>625</v>
      </c>
      <c r="C143" s="65"/>
      <c r="D143" s="62" t="s">
        <v>626</v>
      </c>
      <c r="E143" s="67"/>
      <c r="F143" s="60"/>
      <c r="G143" s="60"/>
      <c r="H143" s="60" t="s">
        <v>627</v>
      </c>
      <c r="I143" s="59" t="str">
        <f>IF(AND($I$1027="",$I$1225=""),"",IF($I$1225&lt;&gt;"",$I$1225,$I$1027))</f>
        <v/>
      </c>
      <c r="J143" s="176" t="str">
        <f>IF(AND(OR(J1027="TBD",J1027="NA"),OR(J1225="TBD",J1225="NA")),"NA",IF(AND(J1027&lt;&gt;"",J1225&lt;&gt;"TBD",J1225&lt;&gt;"NA"),J1225,J1027))</f>
        <v>NA</v>
      </c>
      <c r="K143" s="540" t="str">
        <f>IF(K1225&lt;&gt;"",K1225,K1027)</f>
        <v/>
      </c>
      <c r="L143" s="981" t="s">
        <v>533</v>
      </c>
      <c r="X143" s="962" t="s">
        <v>533</v>
      </c>
      <c r="Y143" s="441"/>
      <c r="Z143" s="785"/>
      <c r="AA143" s="784" t="s">
        <v>628</v>
      </c>
      <c r="AB143" s="1482">
        <v>182.88</v>
      </c>
      <c r="AC143" s="797" t="str">
        <f t="shared" si="22"/>
        <v/>
      </c>
      <c r="AD143" s="1511">
        <f>M617</f>
        <v>182.88</v>
      </c>
      <c r="AE143" s="802" t="s">
        <v>887</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8">
        <v>12</v>
      </c>
      <c r="B144" s="399" t="s">
        <v>629</v>
      </c>
      <c r="C144" s="65"/>
      <c r="D144" s="62" t="s">
        <v>630</v>
      </c>
      <c r="E144" s="67"/>
      <c r="F144" s="60"/>
      <c r="G144" s="60"/>
      <c r="H144" s="60"/>
      <c r="I144" s="60"/>
      <c r="J144" s="176" t="str">
        <f>IF(AND(OR(J1028="TBD",J1028="NA"),OR(J1226="TBD",J1226="NA")),"NA",IF(AND(J1028&lt;&gt;"",J1226&lt;&gt;"TBD",J1226&lt;&gt;"NA"),J1226,J1028))</f>
        <v>NA</v>
      </c>
      <c r="K144" s="540" t="str">
        <f>IF(K1226&lt;&gt;"",K1226,K1028)</f>
        <v/>
      </c>
      <c r="L144" s="981" t="s">
        <v>533</v>
      </c>
      <c r="X144" s="962" t="s">
        <v>533</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533</v>
      </c>
      <c r="X145" s="962" t="s">
        <v>533</v>
      </c>
      <c r="Y145" s="441"/>
      <c r="Z145" s="785"/>
      <c r="AA145" s="791" t="s">
        <v>597</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8">
        <v>14</v>
      </c>
      <c r="B146" s="159"/>
      <c r="C146" s="67"/>
      <c r="D146" s="67"/>
      <c r="E146" s="67"/>
      <c r="F146" s="67"/>
      <c r="G146" s="67"/>
      <c r="H146" s="67"/>
      <c r="I146" s="67"/>
      <c r="J146" s="573"/>
      <c r="K146" s="490"/>
      <c r="L146" s="981" t="s">
        <v>533</v>
      </c>
      <c r="X146" s="962" t="s">
        <v>533</v>
      </c>
      <c r="Y146" s="441"/>
      <c r="Z146" s="785"/>
      <c r="AA146" s="784" t="s">
        <v>598</v>
      </c>
      <c r="AB146" s="1482">
        <v>17.271999999999998</v>
      </c>
      <c r="AC146" s="797" t="str">
        <f t="shared" si="22"/>
        <v/>
      </c>
      <c r="AD146" s="1511">
        <f>N616</f>
        <v>17.271999999999998</v>
      </c>
      <c r="AE146" s="802" t="s">
        <v>888</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8">
        <v>15</v>
      </c>
      <c r="B147" s="159"/>
      <c r="C147" s="67"/>
      <c r="D147" s="67"/>
      <c r="E147" s="67"/>
      <c r="F147" s="121" t="s">
        <v>631</v>
      </c>
      <c r="G147" s="67"/>
      <c r="H147" s="67"/>
      <c r="I147" s="67"/>
      <c r="J147" s="573"/>
      <c r="K147" s="490"/>
      <c r="L147" s="981" t="s">
        <v>533</v>
      </c>
      <c r="X147" s="962" t="s">
        <v>533</v>
      </c>
      <c r="Y147" s="441"/>
      <c r="Z147" s="785"/>
      <c r="AA147" s="784" t="s">
        <v>632</v>
      </c>
      <c r="AB147" s="1482">
        <v>12.7</v>
      </c>
      <c r="AC147" s="797" t="str">
        <f t="shared" si="22"/>
        <v/>
      </c>
      <c r="AD147" s="1511">
        <f>O616</f>
        <v>12.7</v>
      </c>
      <c r="AE147" s="802" t="s">
        <v>889</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533</v>
      </c>
      <c r="X148" s="962" t="s">
        <v>533</v>
      </c>
      <c r="Y148" s="441"/>
      <c r="Z148" s="785"/>
      <c r="AA148" s="784" t="s">
        <v>601</v>
      </c>
      <c r="AB148" s="1482">
        <v>25.4</v>
      </c>
      <c r="AC148" s="797" t="str">
        <f t="shared" si="22"/>
        <v/>
      </c>
      <c r="AD148" s="1511">
        <f>N617</f>
        <v>25.4</v>
      </c>
      <c r="AE148" s="802" t="s">
        <v>890</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8">
        <v>17</v>
      </c>
      <c r="B149" s="134"/>
      <c r="C149" s="160"/>
      <c r="D149" s="62" t="s">
        <v>18</v>
      </c>
      <c r="E149" s="62"/>
      <c r="F149" s="62"/>
      <c r="G149" s="62"/>
      <c r="H149" s="62"/>
      <c r="I149" s="62"/>
      <c r="J149" s="158" t="str">
        <f>IF(AND(J1081="TBD",J1279="TBD"),"NA",IF(OR(J1081="NO",J1279="NO"),"",IF(J1279="YES","YES",J1081)))</f>
        <v>NA</v>
      </c>
      <c r="K149" s="471" t="str">
        <f>IF(J149="","NO","")</f>
        <v/>
      </c>
      <c r="L149" s="981" t="s">
        <v>533</v>
      </c>
      <c r="X149" s="962" t="s">
        <v>533</v>
      </c>
      <c r="Y149" s="441"/>
      <c r="Z149" s="785"/>
      <c r="AA149" s="784" t="s">
        <v>633</v>
      </c>
      <c r="AB149" s="1482">
        <v>30.48</v>
      </c>
      <c r="AC149" s="797" t="str">
        <f t="shared" si="22"/>
        <v/>
      </c>
      <c r="AD149" s="1511">
        <f>O617</f>
        <v>30.48</v>
      </c>
      <c r="AE149" s="802" t="s">
        <v>891</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8">
        <v>18</v>
      </c>
      <c r="B150" s="134"/>
      <c r="C150" s="160"/>
      <c r="D150" s="62" t="s">
        <v>634</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533</v>
      </c>
      <c r="X150" s="962" t="s">
        <v>533</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533</v>
      </c>
      <c r="X151" s="962" t="s">
        <v>533</v>
      </c>
      <c r="Y151" s="784"/>
      <c r="Z151" s="785"/>
      <c r="AA151" s="784" t="s">
        <v>606</v>
      </c>
      <c r="AB151" s="1482">
        <v>3</v>
      </c>
      <c r="AC151" s="797" t="str">
        <f t="shared" si="22"/>
        <v/>
      </c>
      <c r="AD151" s="1510">
        <f>M635</f>
        <v>3</v>
      </c>
      <c r="AE151" s="802" t="s">
        <v>892</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8">
        <v>20</v>
      </c>
      <c r="B152" s="159"/>
      <c r="C152" s="67"/>
      <c r="D152" s="67"/>
      <c r="E152" s="67"/>
      <c r="F152" s="67"/>
      <c r="G152" s="67"/>
      <c r="H152" s="67"/>
      <c r="I152" s="67"/>
      <c r="J152" s="573"/>
      <c r="K152" s="539"/>
      <c r="L152" s="981" t="s">
        <v>533</v>
      </c>
      <c r="X152" s="962" t="s">
        <v>533</v>
      </c>
      <c r="Y152" s="784"/>
      <c r="Z152" s="441"/>
      <c r="AA152" s="784" t="s">
        <v>608</v>
      </c>
      <c r="AB152" s="1482">
        <v>1</v>
      </c>
      <c r="AC152" s="797" t="str">
        <f t="shared" si="22"/>
        <v/>
      </c>
      <c r="AD152" s="1510">
        <f>M653</f>
        <v>1</v>
      </c>
      <c r="AE152" s="802" t="s">
        <v>893</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8">
        <v>21</v>
      </c>
      <c r="B153" s="159"/>
      <c r="C153" s="67"/>
      <c r="D153" s="67"/>
      <c r="E153" s="67"/>
      <c r="F153" s="121" t="s">
        <v>635</v>
      </c>
      <c r="G153" s="67"/>
      <c r="H153" s="67"/>
      <c r="I153" s="67"/>
      <c r="J153" s="176"/>
      <c r="K153" s="540"/>
      <c r="L153" s="981" t="s">
        <v>533</v>
      </c>
      <c r="X153" s="962" t="s">
        <v>533</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533</v>
      </c>
      <c r="X154" s="962" t="s">
        <v>533</v>
      </c>
      <c r="Y154" s="784"/>
      <c r="Z154" s="784"/>
      <c r="AA154" s="791" t="s">
        <v>636</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8">
        <v>23</v>
      </c>
      <c r="B155" s="134"/>
      <c r="C155" s="160"/>
      <c r="D155" s="62" t="s">
        <v>18</v>
      </c>
      <c r="E155" s="62"/>
      <c r="F155" s="62"/>
      <c r="G155" s="62"/>
      <c r="H155" s="62"/>
      <c r="I155" s="62"/>
      <c r="J155" s="158" t="str">
        <f>IF(AND(J1147="TBD",J1345="TBD"),"NA",IF(OR(J1147="NO",J1345="NO"),"",IF(J1345="YES","YES",J1147)))</f>
        <v>NA</v>
      </c>
      <c r="K155" s="471" t="str">
        <f>IF(J155="","NO","")</f>
        <v/>
      </c>
      <c r="L155" s="981" t="s">
        <v>533</v>
      </c>
      <c r="X155" s="962" t="s">
        <v>533</v>
      </c>
      <c r="Y155" s="784"/>
      <c r="Z155" s="784" t="s">
        <v>637</v>
      </c>
      <c r="AA155" s="784" t="s">
        <v>638</v>
      </c>
      <c r="AB155" s="1482" t="s">
        <v>704</v>
      </c>
      <c r="AC155" s="797" t="str">
        <f t="shared" si="22"/>
        <v>Change</v>
      </c>
      <c r="AD155" s="1501" t="str">
        <f>P668</f>
        <v>mA</v>
      </c>
      <c r="AE155" s="802" t="s">
        <v>894</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8">
        <v>24</v>
      </c>
      <c r="B156" s="134"/>
      <c r="C156" s="160"/>
      <c r="D156" s="62" t="s">
        <v>634</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533</v>
      </c>
      <c r="X156" s="962" t="s">
        <v>533</v>
      </c>
      <c r="Y156" s="784"/>
      <c r="Z156" s="784"/>
      <c r="AA156" s="784" t="s">
        <v>590</v>
      </c>
      <c r="AB156" s="1482">
        <v>81</v>
      </c>
      <c r="AC156" s="797" t="str">
        <f t="shared" si="22"/>
        <v/>
      </c>
      <c r="AD156" s="1505">
        <f>O669</f>
        <v>81</v>
      </c>
      <c r="AE156" s="802" t="s">
        <v>895</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533</v>
      </c>
      <c r="X157" s="962" t="s">
        <v>533</v>
      </c>
      <c r="Y157" s="784"/>
      <c r="Z157" s="784"/>
      <c r="AA157" s="784" t="s">
        <v>592</v>
      </c>
      <c r="AB157" s="1482">
        <v>4</v>
      </c>
      <c r="AC157" s="797" t="str">
        <f t="shared" si="22"/>
        <v/>
      </c>
      <c r="AD157" s="1505">
        <f>P669</f>
        <v>4</v>
      </c>
      <c r="AE157" s="802" t="s">
        <v>896</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8">
        <v>26</v>
      </c>
      <c r="B158" s="159"/>
      <c r="C158" s="67"/>
      <c r="D158" s="67"/>
      <c r="E158" s="67"/>
      <c r="F158" s="67"/>
      <c r="G158" s="67"/>
      <c r="H158" s="67"/>
      <c r="I158" s="67"/>
      <c r="J158" s="573"/>
      <c r="K158" s="539"/>
      <c r="L158" s="981" t="s">
        <v>533</v>
      </c>
      <c r="X158" s="962" t="s">
        <v>533</v>
      </c>
      <c r="Y158" s="784"/>
      <c r="Z158" s="784"/>
      <c r="AA158" s="784" t="s">
        <v>593</v>
      </c>
      <c r="AB158" s="1484" t="s">
        <v>533</v>
      </c>
      <c r="AC158" s="797" t="str">
        <f t="shared" si="22"/>
        <v/>
      </c>
      <c r="AD158" s="1512" t="str">
        <f>Q669</f>
        <v/>
      </c>
      <c r="AE158" s="802" t="s">
        <v>897</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8">
        <v>27</v>
      </c>
      <c r="B159" s="159"/>
      <c r="C159" s="67"/>
      <c r="D159" s="67"/>
      <c r="E159" s="67"/>
      <c r="F159" s="121" t="s">
        <v>639</v>
      </c>
      <c r="G159" s="67"/>
      <c r="H159" s="67"/>
      <c r="I159" s="67"/>
      <c r="J159" s="158"/>
      <c r="K159" s="533"/>
      <c r="L159" s="981" t="s">
        <v>533</v>
      </c>
      <c r="X159" s="962" t="s">
        <v>533</v>
      </c>
      <c r="Y159" s="784"/>
      <c r="Z159" s="784"/>
      <c r="AA159" s="784" t="s">
        <v>640</v>
      </c>
      <c r="AB159" s="1483">
        <v>182.626</v>
      </c>
      <c r="AC159" s="797" t="str">
        <f t="shared" si="22"/>
        <v/>
      </c>
      <c r="AD159" s="1509">
        <f>R669</f>
        <v>182.626</v>
      </c>
      <c r="AE159" s="802" t="s">
        <v>898</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8">
        <v>28</v>
      </c>
      <c r="B160" s="134"/>
      <c r="C160" s="135"/>
      <c r="D160" s="122" t="s">
        <v>641</v>
      </c>
      <c r="E160" s="123"/>
      <c r="F160" s="123"/>
      <c r="G160" s="123"/>
      <c r="H160" s="123"/>
      <c r="I160" s="123"/>
      <c r="J160" s="158" t="str">
        <f t="shared" ref="J160:J168" si="23">IF(M1441="","TBD",IF(M1441=1,"YES",IF(M1441=3,"NA","")))</f>
        <v>TBD</v>
      </c>
      <c r="K160" s="533" t="str">
        <f t="shared" ref="K160:K168" si="24">IF(M1441=2,"NO","")</f>
        <v/>
      </c>
      <c r="L160" s="981" t="s">
        <v>533</v>
      </c>
      <c r="X160" s="962" t="s">
        <v>533</v>
      </c>
      <c r="Y160" s="784"/>
      <c r="Z160" s="784"/>
      <c r="AA160" s="784" t="s">
        <v>642</v>
      </c>
      <c r="AB160" s="1483">
        <v>3</v>
      </c>
      <c r="AC160" s="797" t="str">
        <f t="shared" si="22"/>
        <v/>
      </c>
      <c r="AD160" s="1509">
        <f>S669</f>
        <v>3</v>
      </c>
      <c r="AE160" s="802" t="s">
        <v>899</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8">
        <v>29</v>
      </c>
      <c r="B161" s="134"/>
      <c r="C161" s="135"/>
      <c r="D161" s="122" t="s">
        <v>643</v>
      </c>
      <c r="E161" s="123"/>
      <c r="F161" s="123"/>
      <c r="G161" s="123"/>
      <c r="H161" s="123"/>
      <c r="I161" s="123"/>
      <c r="J161" s="158" t="str">
        <f t="shared" si="23"/>
        <v>TBD</v>
      </c>
      <c r="K161" s="533" t="str">
        <f t="shared" si="24"/>
        <v/>
      </c>
      <c r="L161" s="981" t="s">
        <v>533</v>
      </c>
      <c r="X161" s="962" t="s">
        <v>533</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8">
        <v>30</v>
      </c>
      <c r="B162" s="134"/>
      <c r="C162" s="135"/>
      <c r="D162" s="122" t="s">
        <v>644</v>
      </c>
      <c r="E162" s="123"/>
      <c r="F162" s="123"/>
      <c r="G162" s="123"/>
      <c r="H162" s="123"/>
      <c r="I162" s="123"/>
      <c r="J162" s="158" t="str">
        <f t="shared" si="23"/>
        <v>TBD</v>
      </c>
      <c r="K162" s="533" t="str">
        <f t="shared" si="24"/>
        <v/>
      </c>
      <c r="L162" s="981" t="s">
        <v>533</v>
      </c>
      <c r="X162" s="962" t="s">
        <v>533</v>
      </c>
      <c r="Y162" s="784"/>
      <c r="Z162" s="784"/>
      <c r="AA162" s="784" t="s">
        <v>645</v>
      </c>
      <c r="AB162" s="1485">
        <v>3.55</v>
      </c>
      <c r="AC162" s="797" t="str">
        <f t="shared" si="22"/>
        <v>Change</v>
      </c>
      <c r="AD162" s="1507" t="str">
        <f>IF(U669="","",U669)</f>
        <v/>
      </c>
      <c r="AE162" s="802" t="s">
        <v>900</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8">
        <v>31</v>
      </c>
      <c r="B163" s="134"/>
      <c r="C163" s="135"/>
      <c r="D163" s="62" t="s">
        <v>646</v>
      </c>
      <c r="E163" s="62"/>
      <c r="F163" s="62"/>
      <c r="G163" s="62"/>
      <c r="H163" s="62"/>
      <c r="I163" s="62"/>
      <c r="J163" s="158" t="str">
        <f t="shared" si="23"/>
        <v>TBD</v>
      </c>
      <c r="K163" s="533" t="str">
        <f t="shared" si="24"/>
        <v/>
      </c>
      <c r="L163" s="981" t="s">
        <v>533</v>
      </c>
      <c r="X163" s="962" t="s">
        <v>533</v>
      </c>
      <c r="Y163" s="784"/>
      <c r="Z163" s="784"/>
      <c r="AA163" s="784" t="s">
        <v>647</v>
      </c>
      <c r="AB163" s="1485" t="s">
        <v>533</v>
      </c>
      <c r="AC163" s="797" t="str">
        <f t="shared" si="22"/>
        <v>Change</v>
      </c>
      <c r="AD163" s="1507">
        <f>IF(V669="","",V669)</f>
        <v>3.55</v>
      </c>
      <c r="AE163" s="802" t="s">
        <v>901</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8">
        <v>32</v>
      </c>
      <c r="B164" s="134"/>
      <c r="C164" s="135"/>
      <c r="D164" s="62" t="s">
        <v>648</v>
      </c>
      <c r="E164" s="62"/>
      <c r="F164" s="62"/>
      <c r="G164" s="62"/>
      <c r="H164" s="62"/>
      <c r="I164" s="62"/>
      <c r="J164" s="158" t="str">
        <f t="shared" si="23"/>
        <v>TBD</v>
      </c>
      <c r="K164" s="533" t="str">
        <f t="shared" si="24"/>
        <v/>
      </c>
      <c r="L164" s="981" t="s">
        <v>533</v>
      </c>
      <c r="X164" s="962" t="s">
        <v>533</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8">
        <v>33</v>
      </c>
      <c r="B165" s="134"/>
      <c r="C165" s="135"/>
      <c r="D165" s="62" t="s">
        <v>649</v>
      </c>
      <c r="E165" s="62"/>
      <c r="F165" s="62"/>
      <c r="G165" s="62"/>
      <c r="H165" s="62"/>
      <c r="I165" s="62"/>
      <c r="J165" s="158" t="str">
        <f t="shared" si="23"/>
        <v>TBD</v>
      </c>
      <c r="K165" s="533" t="str">
        <f t="shared" si="24"/>
        <v/>
      </c>
      <c r="L165" s="981" t="s">
        <v>533</v>
      </c>
      <c r="X165" s="962" t="s">
        <v>533</v>
      </c>
      <c r="Y165" s="784"/>
      <c r="Z165" s="784" t="s">
        <v>650</v>
      </c>
      <c r="AA165" s="784" t="s">
        <v>638</v>
      </c>
      <c r="AB165" s="1482" t="s">
        <v>704</v>
      </c>
      <c r="AC165" s="797" t="str">
        <f t="shared" si="22"/>
        <v>Change</v>
      </c>
      <c r="AD165" s="1501" t="str">
        <f>P673</f>
        <v>mA</v>
      </c>
      <c r="AE165" s="802" t="s">
        <v>902</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8">
        <v>34</v>
      </c>
      <c r="B166" s="134"/>
      <c r="C166" s="135"/>
      <c r="D166" s="62" t="s">
        <v>651</v>
      </c>
      <c r="E166" s="62"/>
      <c r="F166" s="62"/>
      <c r="G166" s="62"/>
      <c r="H166" s="62"/>
      <c r="I166" s="62"/>
      <c r="J166" s="158" t="str">
        <f t="shared" si="23"/>
        <v>TBD</v>
      </c>
      <c r="K166" s="533" t="str">
        <f t="shared" si="24"/>
        <v/>
      </c>
      <c r="L166" s="981" t="s">
        <v>533</v>
      </c>
      <c r="X166" s="962" t="s">
        <v>533</v>
      </c>
      <c r="Y166" s="784"/>
      <c r="Z166" s="784"/>
      <c r="AA166" s="784" t="s">
        <v>590</v>
      </c>
      <c r="AB166" s="1482">
        <v>81</v>
      </c>
      <c r="AC166" s="797" t="str">
        <f t="shared" si="22"/>
        <v/>
      </c>
      <c r="AD166" s="1505">
        <f>O674</f>
        <v>81</v>
      </c>
      <c r="AE166" s="802" t="s">
        <v>903</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8">
        <v>35</v>
      </c>
      <c r="B167" s="134"/>
      <c r="C167" s="135"/>
      <c r="D167" s="62" t="s">
        <v>652</v>
      </c>
      <c r="E167" s="62"/>
      <c r="F167" s="62"/>
      <c r="G167" s="62"/>
      <c r="H167" s="62"/>
      <c r="I167" s="62"/>
      <c r="J167" s="158" t="str">
        <f t="shared" si="23"/>
        <v>TBD</v>
      </c>
      <c r="K167" s="533" t="str">
        <f t="shared" si="24"/>
        <v/>
      </c>
      <c r="L167" s="981" t="s">
        <v>533</v>
      </c>
      <c r="M167" s="204"/>
      <c r="N167" s="204"/>
      <c r="O167" s="204"/>
      <c r="P167" s="204"/>
      <c r="Q167" s="204"/>
      <c r="R167" s="248" t="s">
        <v>776</v>
      </c>
      <c r="S167" s="204"/>
      <c r="T167" s="204"/>
      <c r="U167" s="204"/>
      <c r="V167" s="204"/>
      <c r="W167" s="204"/>
      <c r="X167" s="962" t="s">
        <v>533</v>
      </c>
      <c r="Y167" s="784"/>
      <c r="Z167" s="784"/>
      <c r="AA167" s="784" t="s">
        <v>592</v>
      </c>
      <c r="AB167" s="1482">
        <v>4</v>
      </c>
      <c r="AC167" s="797" t="str">
        <f t="shared" si="22"/>
        <v/>
      </c>
      <c r="AD167" s="1505">
        <f>P674</f>
        <v>4</v>
      </c>
      <c r="AE167" s="802" t="s">
        <v>904</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8">
        <v>36</v>
      </c>
      <c r="B168" s="134"/>
      <c r="C168" s="135"/>
      <c r="D168" s="122" t="s">
        <v>653</v>
      </c>
      <c r="E168" s="123"/>
      <c r="F168" s="123"/>
      <c r="G168" s="123"/>
      <c r="H168" s="123"/>
      <c r="I168" s="123"/>
      <c r="J168" s="158" t="str">
        <f t="shared" si="23"/>
        <v>TBD</v>
      </c>
      <c r="K168" s="533" t="str">
        <f t="shared" si="24"/>
        <v/>
      </c>
      <c r="L168" s="981" t="s">
        <v>533</v>
      </c>
      <c r="M168" s="204"/>
      <c r="N168" s="171" t="s">
        <v>367</v>
      </c>
      <c r="O168" s="204"/>
      <c r="P168" s="204"/>
      <c r="Q168" s="204"/>
      <c r="R168" s="204"/>
      <c r="S168" s="204"/>
      <c r="T168" s="204"/>
      <c r="U168" s="204"/>
      <c r="V168" s="204"/>
      <c r="W168" s="204"/>
      <c r="X168" s="962" t="s">
        <v>533</v>
      </c>
      <c r="Y168" s="784"/>
      <c r="Z168" s="784"/>
      <c r="AA168" s="784" t="s">
        <v>593</v>
      </c>
      <c r="AB168" s="1484" t="s">
        <v>533</v>
      </c>
      <c r="AC168" s="797" t="str">
        <f t="shared" si="22"/>
        <v/>
      </c>
      <c r="AD168" s="1512" t="str">
        <f>Q674</f>
        <v/>
      </c>
      <c r="AE168" s="802" t="s">
        <v>905</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8">
        <v>37</v>
      </c>
      <c r="B169" s="159"/>
      <c r="C169" s="67"/>
      <c r="D169" s="67"/>
      <c r="E169" s="67"/>
      <c r="F169" s="67"/>
      <c r="G169" s="67"/>
      <c r="H169" s="67"/>
      <c r="I169" s="67"/>
      <c r="J169" s="67"/>
      <c r="K169" s="85"/>
      <c r="L169" s="981" t="s">
        <v>533</v>
      </c>
      <c r="M169" s="436"/>
      <c r="N169" s="437"/>
      <c r="O169" s="437"/>
      <c r="P169" s="585"/>
      <c r="Q169" s="988" t="s">
        <v>479</v>
      </c>
      <c r="R169" s="437"/>
      <c r="S169" s="437"/>
      <c r="T169" s="437"/>
      <c r="U169" s="437"/>
      <c r="V169" s="437"/>
      <c r="W169" s="438"/>
      <c r="X169" s="962" t="s">
        <v>533</v>
      </c>
      <c r="Y169" s="974"/>
      <c r="Z169" s="784"/>
      <c r="AA169" s="784" t="s">
        <v>640</v>
      </c>
      <c r="AB169" s="1483">
        <v>182.626</v>
      </c>
      <c r="AC169" s="797" t="str">
        <f t="shared" si="22"/>
        <v/>
      </c>
      <c r="AD169" s="1509">
        <f>R674</f>
        <v>182.626</v>
      </c>
      <c r="AE169" s="802" t="s">
        <v>906</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8">
        <v>38</v>
      </c>
      <c r="B170" s="124" t="s">
        <v>681</v>
      </c>
      <c r="C170" s="881" t="str">
        <f>IF(O170="","",IF(LEN(O170)&lt;=135,O170,IF(LEN(O170)&lt;=260,LEFT(O170,SEARCH(" ",O170,125)),LEFT(O170,SEARCH(" ",O170,130)))))</f>
        <v/>
      </c>
      <c r="D170" s="514"/>
      <c r="E170" s="514"/>
      <c r="F170" s="514"/>
      <c r="G170" s="514"/>
      <c r="H170" s="514"/>
      <c r="I170" s="514"/>
      <c r="J170" s="514"/>
      <c r="K170" s="100"/>
      <c r="L170" s="981" t="s">
        <v>533</v>
      </c>
      <c r="M170" s="936"/>
      <c r="N170" s="187" t="s">
        <v>681</v>
      </c>
      <c r="O170" s="1564"/>
      <c r="P170" s="586"/>
      <c r="Q170" s="982" t="str">
        <f>IF(OR(AB501=0,AB501=""),"",AB501)</f>
        <v>Variation in kV and thickness tracking for the table bucky was high due to minimum exposure time limits. No action on this item is required.</v>
      </c>
      <c r="R170" s="61"/>
      <c r="S170" s="61"/>
      <c r="T170" s="61"/>
      <c r="U170" s="61"/>
      <c r="V170" s="61"/>
      <c r="W170" s="444"/>
      <c r="X170" s="962" t="s">
        <v>533</v>
      </c>
      <c r="Y170" s="974"/>
      <c r="Z170" s="784"/>
      <c r="AA170" s="784" t="s">
        <v>642</v>
      </c>
      <c r="AB170" s="1483">
        <v>3</v>
      </c>
      <c r="AC170" s="797" t="str">
        <f t="shared" si="22"/>
        <v/>
      </c>
      <c r="AD170" s="1509">
        <f>S674</f>
        <v>3</v>
      </c>
      <c r="AE170" s="802" t="s">
        <v>907</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533</v>
      </c>
      <c r="M171" s="101"/>
      <c r="N171" s="876" t="s">
        <v>373</v>
      </c>
      <c r="O171" s="1565"/>
      <c r="P171" s="877">
        <f>LEN(O170)</f>
        <v>0</v>
      </c>
      <c r="Q171" s="984"/>
      <c r="R171" s="987">
        <f>LEN(Q170)</f>
        <v>140</v>
      </c>
      <c r="S171" s="985" t="s">
        <v>68</v>
      </c>
      <c r="T171" s="73"/>
      <c r="U171" s="73"/>
      <c r="V171" s="73"/>
      <c r="W171" s="447"/>
      <c r="X171" s="962" t="s">
        <v>533</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8">
        <v>40</v>
      </c>
      <c r="B172" s="101"/>
      <c r="C172" s="881" t="str">
        <f>IF(LEN(O170)&lt;=265,"",RIGHT(O170,LEN(O170)-SEARCH(" ",O170,255)))</f>
        <v/>
      </c>
      <c r="D172" s="514"/>
      <c r="E172" s="514"/>
      <c r="F172" s="514"/>
      <c r="G172" s="514"/>
      <c r="H172" s="514"/>
      <c r="I172" s="514"/>
      <c r="J172" s="514"/>
      <c r="K172" s="100"/>
      <c r="L172" s="981" t="s">
        <v>533</v>
      </c>
      <c r="M172" s="101"/>
      <c r="N172" s="187" t="s">
        <v>151</v>
      </c>
      <c r="O172" s="1564"/>
      <c r="P172" s="586"/>
      <c r="Q172" s="982" t="str">
        <f>IF(OR(AB503=0,AB503=""),"",AB503)</f>
        <v/>
      </c>
      <c r="R172" s="61"/>
      <c r="S172" s="61"/>
      <c r="T172" s="61"/>
      <c r="U172" s="61"/>
      <c r="V172" s="61"/>
      <c r="W172" s="444"/>
      <c r="X172" s="962" t="s">
        <v>533</v>
      </c>
      <c r="Y172" s="974"/>
      <c r="Z172" s="784"/>
      <c r="AA172" s="784" t="s">
        <v>654</v>
      </c>
      <c r="AB172" s="1485">
        <v>3.55</v>
      </c>
      <c r="AC172" s="797" t="str">
        <f t="shared" si="22"/>
        <v>Change</v>
      </c>
      <c r="AD172" s="1507">
        <f>U674</f>
        <v>0</v>
      </c>
      <c r="AE172" s="802" t="s">
        <v>908</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8">
        <v>41</v>
      </c>
      <c r="B173" s="879"/>
      <c r="C173" s="881" t="str">
        <f>IF(O172="","",IF(LEN(O172)&lt;=135,O172,IF(LEN(O172)&lt;=260,LEFT(O172,SEARCH(" ",O172,125)),LEFT(O172,SEARCH(" ",O172,130)))))</f>
        <v/>
      </c>
      <c r="D173" s="514"/>
      <c r="E173" s="514"/>
      <c r="F173" s="514"/>
      <c r="G173" s="514"/>
      <c r="H173" s="514"/>
      <c r="I173" s="514"/>
      <c r="J173" s="514"/>
      <c r="K173" s="100"/>
      <c r="L173" s="981" t="s">
        <v>533</v>
      </c>
      <c r="M173" s="101"/>
      <c r="N173" s="876" t="s">
        <v>373</v>
      </c>
      <c r="O173" s="1565"/>
      <c r="P173" s="877">
        <f>LEN(O172)</f>
        <v>0</v>
      </c>
      <c r="Q173" s="984"/>
      <c r="R173" s="987">
        <f>LEN(Q172)</f>
        <v>0</v>
      </c>
      <c r="S173" s="985" t="s">
        <v>36</v>
      </c>
      <c r="T173" s="61"/>
      <c r="U173" s="61"/>
      <c r="V173" s="61"/>
      <c r="W173" s="444"/>
      <c r="X173" s="962" t="s">
        <v>533</v>
      </c>
      <c r="Y173" s="974"/>
      <c r="Z173" s="784"/>
      <c r="AA173" s="784" t="s">
        <v>655</v>
      </c>
      <c r="AB173" s="1485" t="s">
        <v>533</v>
      </c>
      <c r="AC173" s="797" t="str">
        <f t="shared" si="22"/>
        <v>Change</v>
      </c>
      <c r="AD173" s="1507">
        <f>V674</f>
        <v>3.55</v>
      </c>
      <c r="AE173" s="802" t="s">
        <v>909</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533</v>
      </c>
      <c r="M174" s="937"/>
      <c r="N174" s="187" t="s">
        <v>151</v>
      </c>
      <c r="O174" s="1564"/>
      <c r="P174" s="586"/>
      <c r="Q174" s="982" t="str">
        <f>IF(OR(AB505=0,AB505=""),"",AB505)</f>
        <v/>
      </c>
      <c r="R174" s="73"/>
      <c r="S174" s="73"/>
      <c r="T174" s="73"/>
      <c r="U174" s="73"/>
      <c r="V174" s="73"/>
      <c r="W174" s="447"/>
      <c r="X174" s="962" t="s">
        <v>533</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8">
        <v>43</v>
      </c>
      <c r="B175" s="879"/>
      <c r="C175" s="881" t="str">
        <f>IF(LEN(O172)&lt;=265,"",RIGHT(O172,LEN(O172)-SEARCH(" ",O172,255)))</f>
        <v/>
      </c>
      <c r="D175" s="514"/>
      <c r="E175" s="514"/>
      <c r="F175" s="514"/>
      <c r="G175" s="514"/>
      <c r="H175" s="514"/>
      <c r="I175" s="514"/>
      <c r="J175" s="514"/>
      <c r="K175" s="100"/>
      <c r="L175" s="981" t="s">
        <v>533</v>
      </c>
      <c r="M175" s="101"/>
      <c r="N175" s="876" t="s">
        <v>373</v>
      </c>
      <c r="O175" s="1565"/>
      <c r="P175" s="877">
        <f>LEN(O174)</f>
        <v>0</v>
      </c>
      <c r="Q175" s="984"/>
      <c r="R175" s="987">
        <f>LEN(Q174)</f>
        <v>0</v>
      </c>
      <c r="S175" s="985" t="s">
        <v>352</v>
      </c>
      <c r="T175" s="61"/>
      <c r="U175" s="61"/>
      <c r="V175" s="61"/>
      <c r="W175" s="444"/>
      <c r="X175" s="962" t="s">
        <v>533</v>
      </c>
      <c r="Y175" s="974"/>
      <c r="Z175" s="784"/>
      <c r="AA175" s="791" t="s">
        <v>656</v>
      </c>
      <c r="AB175" s="1481" t="s">
        <v>1287</v>
      </c>
      <c r="AC175" s="797" t="str">
        <f t="shared" si="22"/>
        <v>Change</v>
      </c>
      <c r="AD175" s="1460" t="str">
        <f>O687</f>
        <v>Barracuda BC1-051100117</v>
      </c>
      <c r="AE175" s="802" t="s">
        <v>910</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8">
        <v>44</v>
      </c>
      <c r="B176" s="880"/>
      <c r="C176" s="881" t="str">
        <f>IF(O174="","",IF(LEN(O174)&lt;=135,O174,IF(LEN(O174)&lt;=260,LEFT(O174,SEARCH(" ",O174,125)),LEFT(O174,SEARCH(" ",O174,130)))))</f>
        <v/>
      </c>
      <c r="D176" s="514"/>
      <c r="E176" s="514"/>
      <c r="F176" s="514"/>
      <c r="G176" s="514"/>
      <c r="H176" s="514"/>
      <c r="I176" s="514"/>
      <c r="J176" s="514"/>
      <c r="K176" s="100"/>
      <c r="L176" s="981" t="s">
        <v>533</v>
      </c>
      <c r="M176" s="101"/>
      <c r="N176" s="187" t="s">
        <v>151</v>
      </c>
      <c r="O176" s="1564"/>
      <c r="P176" s="586"/>
      <c r="Q176" s="982" t="str">
        <f>IF(OR(AB507=0,AB507=""),"",AB507)</f>
        <v/>
      </c>
      <c r="R176" s="61"/>
      <c r="S176" s="61"/>
      <c r="T176" s="61"/>
      <c r="U176" s="61"/>
      <c r="V176" s="61"/>
      <c r="W176" s="444"/>
      <c r="X176" s="962" t="s">
        <v>533</v>
      </c>
      <c r="Y176" s="961"/>
      <c r="Z176" s="800"/>
      <c r="AA176" s="975" t="s">
        <v>657</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533</v>
      </c>
      <c r="M177" s="937"/>
      <c r="N177" s="876" t="s">
        <v>373</v>
      </c>
      <c r="O177" s="1565"/>
      <c r="P177" s="877">
        <f>LEN(O176)</f>
        <v>0</v>
      </c>
      <c r="Q177" s="984"/>
      <c r="R177" s="987">
        <f>LEN(Q176)</f>
        <v>0</v>
      </c>
      <c r="S177" s="985" t="s">
        <v>353</v>
      </c>
      <c r="T177" s="73"/>
      <c r="U177" s="73"/>
      <c r="V177" s="73"/>
      <c r="W177" s="447"/>
      <c r="X177" s="962" t="s">
        <v>533</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8">
        <v>46</v>
      </c>
      <c r="B178" s="880"/>
      <c r="C178" s="881" t="str">
        <f>IF(LEN(O174)&lt;=265,"",RIGHT(O174,LEN(O174)-SEARCH(" ",O174,255)))</f>
        <v/>
      </c>
      <c r="D178" s="514"/>
      <c r="E178" s="514"/>
      <c r="F178" s="514"/>
      <c r="G178" s="514"/>
      <c r="H178" s="514"/>
      <c r="I178" s="514"/>
      <c r="J178" s="514"/>
      <c r="K178" s="100"/>
      <c r="L178" s="981" t="s">
        <v>533</v>
      </c>
      <c r="M178" s="101"/>
      <c r="N178" s="187" t="s">
        <v>151</v>
      </c>
      <c r="O178" s="1564"/>
      <c r="P178" s="586"/>
      <c r="Q178" s="982" t="str">
        <f>IF(OR(AB509=0,AB509=""),"",AB509)</f>
        <v/>
      </c>
      <c r="R178" s="61"/>
      <c r="S178" s="61"/>
      <c r="T178" s="61"/>
      <c r="U178" s="61"/>
      <c r="V178" s="61"/>
      <c r="W178" s="444"/>
      <c r="X178" s="962" t="s">
        <v>533</v>
      </c>
      <c r="Y178" s="974"/>
      <c r="Z178" s="784"/>
      <c r="AA178" s="791" t="s">
        <v>658</v>
      </c>
      <c r="AB178" s="1482" t="s">
        <v>744</v>
      </c>
      <c r="AC178" s="797" t="str">
        <f t="shared" si="22"/>
        <v/>
      </c>
      <c r="AD178" s="1501" t="str">
        <f>N693</f>
        <v>cm</v>
      </c>
      <c r="AE178" s="802" t="s">
        <v>911</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8">
        <v>47</v>
      </c>
      <c r="B179" s="124"/>
      <c r="C179" s="881" t="str">
        <f>IF(O176="","",IF(LEN(O176)&lt;=135,O176,IF(LEN(O176)&lt;=260,LEFT(O176,SEARCH(" ",O176,125)),LEFT(O176,SEARCH(" ",O176,130)))))</f>
        <v/>
      </c>
      <c r="D179" s="514"/>
      <c r="E179" s="514"/>
      <c r="F179" s="514"/>
      <c r="G179" s="514"/>
      <c r="H179" s="514"/>
      <c r="I179" s="514"/>
      <c r="J179" s="514"/>
      <c r="K179" s="100"/>
      <c r="L179" s="981" t="s">
        <v>533</v>
      </c>
      <c r="M179" s="101"/>
      <c r="N179" s="876" t="s">
        <v>373</v>
      </c>
      <c r="O179" s="1565"/>
      <c r="P179" s="877">
        <f>LEN(O178)</f>
        <v>0</v>
      </c>
      <c r="Q179" s="984"/>
      <c r="R179" s="987">
        <f>LEN(Q178)</f>
        <v>0</v>
      </c>
      <c r="S179" s="985" t="s">
        <v>354</v>
      </c>
      <c r="T179" s="61"/>
      <c r="U179" s="61"/>
      <c r="V179" s="61"/>
      <c r="W179" s="444"/>
      <c r="X179" s="962" t="s">
        <v>533</v>
      </c>
      <c r="Y179" s="974"/>
      <c r="Z179" s="784"/>
      <c r="AA179" s="791" t="s">
        <v>659</v>
      </c>
      <c r="AB179" s="1482" t="s">
        <v>744</v>
      </c>
      <c r="AC179" s="797" t="str">
        <f t="shared" si="22"/>
        <v/>
      </c>
      <c r="AD179" s="1501" t="str">
        <f>N711</f>
        <v>cm</v>
      </c>
      <c r="AE179" s="802" t="s">
        <v>912</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533</v>
      </c>
      <c r="M180" s="937"/>
      <c r="N180" s="187" t="s">
        <v>151</v>
      </c>
      <c r="O180" s="1564"/>
      <c r="P180" s="586"/>
      <c r="Q180" s="982" t="str">
        <f>IF(OR(AB511=0,AB511=""),"",AB511)</f>
        <v/>
      </c>
      <c r="R180" s="73"/>
      <c r="S180" s="73"/>
      <c r="T180" s="73"/>
      <c r="U180" s="73"/>
      <c r="V180" s="73"/>
      <c r="W180" s="447"/>
      <c r="X180" s="962" t="s">
        <v>533</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8">
        <v>49</v>
      </c>
      <c r="B181" s="101"/>
      <c r="C181" s="881" t="str">
        <f>IF(LEN(O176)&lt;=265,"",RIGHT(O176,LEN(O176)-SEARCH(" ",O176,255)))</f>
        <v/>
      </c>
      <c r="D181" s="514"/>
      <c r="E181" s="514"/>
      <c r="F181" s="514"/>
      <c r="G181" s="514"/>
      <c r="H181" s="514"/>
      <c r="I181" s="514"/>
      <c r="J181" s="514"/>
      <c r="K181" s="100"/>
      <c r="L181" s="981" t="s">
        <v>533</v>
      </c>
      <c r="M181" s="101"/>
      <c r="N181" s="876" t="s">
        <v>373</v>
      </c>
      <c r="O181" s="1565"/>
      <c r="P181" s="877">
        <f>LEN(O180)</f>
        <v>0</v>
      </c>
      <c r="Q181" s="984"/>
      <c r="R181" s="987">
        <f>LEN(Q180)</f>
        <v>0</v>
      </c>
      <c r="S181" s="985" t="s">
        <v>355</v>
      </c>
      <c r="T181" s="61"/>
      <c r="U181" s="61"/>
      <c r="V181" s="61"/>
      <c r="W181" s="444"/>
      <c r="X181" s="962" t="s">
        <v>533</v>
      </c>
      <c r="Y181" s="974"/>
      <c r="Z181" s="785"/>
      <c r="AA181" s="791" t="s">
        <v>660</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8">
        <v>50</v>
      </c>
      <c r="B182" s="124"/>
      <c r="C182" s="881" t="str">
        <f>IF(O178="","",IF(LEN(O178)&lt;=135,O178,IF(LEN(O178)&lt;=260,LEFT(O178,SEARCH(" ",O178,125)),LEFT(O178,SEARCH(" ",O178,130)))))</f>
        <v/>
      </c>
      <c r="D182" s="514"/>
      <c r="E182" s="514"/>
      <c r="F182" s="514"/>
      <c r="G182" s="514"/>
      <c r="H182" s="514"/>
      <c r="I182" s="514"/>
      <c r="J182" s="514"/>
      <c r="K182" s="100"/>
      <c r="L182" s="981" t="s">
        <v>533</v>
      </c>
      <c r="M182" s="101"/>
      <c r="N182" s="187" t="s">
        <v>151</v>
      </c>
      <c r="O182" s="1564"/>
      <c r="P182" s="586"/>
      <c r="Q182" s="982" t="str">
        <f>IF(OR(AB513=0,AB513=""),"",AB513)</f>
        <v/>
      </c>
      <c r="R182" s="61"/>
      <c r="S182" s="61"/>
      <c r="T182" s="61"/>
      <c r="U182" s="61"/>
      <c r="V182" s="61"/>
      <c r="W182" s="444"/>
      <c r="X182" s="962" t="s">
        <v>533</v>
      </c>
      <c r="Y182" s="974"/>
      <c r="Z182" s="785"/>
      <c r="AA182" s="784" t="s">
        <v>661</v>
      </c>
      <c r="AB182" s="1482" t="s">
        <v>1221</v>
      </c>
      <c r="AC182" s="797" t="str">
        <f t="shared" si="22"/>
        <v/>
      </c>
      <c r="AD182" s="1501" t="str">
        <f>O805</f>
        <v>HF</v>
      </c>
      <c r="AE182" s="802" t="s">
        <v>913</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533</v>
      </c>
      <c r="M183" s="937"/>
      <c r="N183" s="876" t="s">
        <v>373</v>
      </c>
      <c r="O183" s="1565"/>
      <c r="P183" s="877">
        <f>LEN(O182)</f>
        <v>0</v>
      </c>
      <c r="Q183" s="984"/>
      <c r="R183" s="987">
        <f>LEN(Q182)</f>
        <v>0</v>
      </c>
      <c r="S183" s="985" t="s">
        <v>72</v>
      </c>
      <c r="T183" s="73"/>
      <c r="U183" s="73"/>
      <c r="V183" s="73"/>
      <c r="W183" s="447"/>
      <c r="X183" s="962" t="s">
        <v>533</v>
      </c>
      <c r="Y183" s="974"/>
      <c r="Z183" s="785"/>
      <c r="AA183" s="784" t="s">
        <v>662</v>
      </c>
      <c r="AB183" s="1482">
        <v>2</v>
      </c>
      <c r="AC183" s="797" t="str">
        <f t="shared" si="22"/>
        <v/>
      </c>
      <c r="AD183" s="1505">
        <f>M806</f>
        <v>2</v>
      </c>
      <c r="AE183" s="785" t="s">
        <v>914</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8">
        <v>52</v>
      </c>
      <c r="B184" s="101"/>
      <c r="C184" s="881" t="str">
        <f>IF(LEN(O178)&lt;=265,"",RIGHT(O178,LEN(O178)-SEARCH(" ",O178,255)))</f>
        <v/>
      </c>
      <c r="D184" s="514"/>
      <c r="E184" s="514"/>
      <c r="F184" s="514"/>
      <c r="G184" s="514"/>
      <c r="H184" s="514"/>
      <c r="I184" s="514"/>
      <c r="J184" s="514"/>
      <c r="K184" s="100"/>
      <c r="L184" s="981" t="s">
        <v>533</v>
      </c>
      <c r="M184" s="101"/>
      <c r="N184" s="187" t="s">
        <v>151</v>
      </c>
      <c r="O184" s="1564"/>
      <c r="P184" s="586"/>
      <c r="Q184" s="982" t="str">
        <f>IF(OR(AB515=0,AB515=""),"",AB515)</f>
        <v/>
      </c>
      <c r="R184" s="61"/>
      <c r="S184" s="61"/>
      <c r="T184" s="61"/>
      <c r="U184" s="61"/>
      <c r="V184" s="61"/>
      <c r="W184" s="444"/>
      <c r="X184" s="962" t="s">
        <v>533</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8">
        <v>53</v>
      </c>
      <c r="B185" s="124"/>
      <c r="C185" s="881" t="str">
        <f>IF(O180="","",IF(LEN(O180)&lt;=135,O180,IF(LEN(O180)&lt;=260,LEFT(O180,SEARCH(" ",O180,125)),LEFT(O180,SEARCH(" ",O180,130)))))</f>
        <v/>
      </c>
      <c r="D185" s="514"/>
      <c r="E185" s="514"/>
      <c r="F185" s="514"/>
      <c r="G185" s="514"/>
      <c r="H185" s="514"/>
      <c r="I185" s="514"/>
      <c r="J185" s="514"/>
      <c r="K185" s="100"/>
      <c r="L185" s="981" t="s">
        <v>533</v>
      </c>
      <c r="M185" s="101"/>
      <c r="N185" s="876" t="s">
        <v>373</v>
      </c>
      <c r="O185" s="1565"/>
      <c r="P185" s="877">
        <f>LEN(O184)</f>
        <v>0</v>
      </c>
      <c r="Q185" s="984"/>
      <c r="R185" s="987">
        <f>LEN(Q184)</f>
        <v>0</v>
      </c>
      <c r="S185" s="986"/>
      <c r="T185" s="61"/>
      <c r="U185" s="61"/>
      <c r="V185" s="61"/>
      <c r="W185" s="444"/>
      <c r="X185" s="962" t="s">
        <v>533</v>
      </c>
      <c r="Y185" s="974"/>
      <c r="Z185" s="785"/>
      <c r="AA185" s="791" t="s">
        <v>663</v>
      </c>
      <c r="AB185" s="1486">
        <v>390</v>
      </c>
      <c r="AC185" s="797" t="str">
        <f t="shared" si="22"/>
        <v>Change</v>
      </c>
      <c r="AD185" s="1505" t="str">
        <f>IF(O1027="","",O1027)</f>
        <v/>
      </c>
      <c r="AE185" s="785" t="s">
        <v>915</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533</v>
      </c>
      <c r="M186" s="937"/>
      <c r="N186" s="187" t="s">
        <v>151</v>
      </c>
      <c r="O186" s="1564"/>
      <c r="P186" s="586"/>
      <c r="Q186" s="982" t="str">
        <f>IF(OR(AB517=0,AB517=""),"",AB517)</f>
        <v/>
      </c>
      <c r="R186" s="73"/>
      <c r="S186" s="73"/>
      <c r="T186" s="73"/>
      <c r="U186" s="73"/>
      <c r="V186" s="73"/>
      <c r="W186" s="447"/>
      <c r="X186" s="962" t="s">
        <v>533</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8">
        <v>55</v>
      </c>
      <c r="B187" s="101"/>
      <c r="C187" s="881" t="str">
        <f>IF(LEN(O180)&lt;=265,"",RIGHT(O180,LEN(O180)-SEARCH(" ",O180,255)))</f>
        <v/>
      </c>
      <c r="D187" s="514"/>
      <c r="E187" s="514"/>
      <c r="F187" s="514"/>
      <c r="G187" s="514"/>
      <c r="H187" s="514"/>
      <c r="I187" s="514"/>
      <c r="J187" s="514"/>
      <c r="K187" s="100"/>
      <c r="L187" s="981" t="s">
        <v>533</v>
      </c>
      <c r="M187" s="101"/>
      <c r="N187" s="876" t="s">
        <v>373</v>
      </c>
      <c r="O187" s="1565"/>
      <c r="P187" s="877">
        <f>LEN(O186)</f>
        <v>0</v>
      </c>
      <c r="Q187" s="984"/>
      <c r="R187" s="987">
        <f>LEN(Q186)</f>
        <v>0</v>
      </c>
      <c r="S187" s="986"/>
      <c r="T187" s="61"/>
      <c r="U187" s="61"/>
      <c r="V187" s="61"/>
      <c r="W187" s="444"/>
      <c r="X187" s="962" t="s">
        <v>533</v>
      </c>
      <c r="Y187" s="974"/>
      <c r="Z187" s="785"/>
      <c r="AA187" s="791" t="s">
        <v>664</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8">
        <v>56</v>
      </c>
      <c r="B188" s="124"/>
      <c r="C188" s="881" t="str">
        <f>IF(O182="","",IF(LEN(O182)&lt;=135,O182,IF(LEN(O182)&lt;=260,LEFT(O182,SEARCH(" ",O182,125)),LEFT(O182,SEARCH(" ",O182,130)))))</f>
        <v/>
      </c>
      <c r="D188" s="514"/>
      <c r="E188" s="514"/>
      <c r="F188" s="514"/>
      <c r="G188" s="514"/>
      <c r="H188" s="514"/>
      <c r="I188" s="514"/>
      <c r="J188" s="514"/>
      <c r="K188" s="100"/>
      <c r="L188" s="981" t="s">
        <v>533</v>
      </c>
      <c r="M188" s="101"/>
      <c r="N188" s="62"/>
      <c r="O188" s="832"/>
      <c r="P188" s="586"/>
      <c r="Q188" s="982"/>
      <c r="R188" s="123"/>
      <c r="S188" s="123"/>
      <c r="T188" s="123"/>
      <c r="U188" s="123"/>
      <c r="V188" s="123"/>
      <c r="W188" s="444"/>
      <c r="X188" s="962" t="s">
        <v>533</v>
      </c>
      <c r="Y188" s="974"/>
      <c r="Z188" s="785"/>
      <c r="AA188" s="784" t="s">
        <v>665</v>
      </c>
      <c r="AB188" s="1482">
        <v>23.622047244094489</v>
      </c>
      <c r="AC188" s="797" t="str">
        <f t="shared" si="22"/>
        <v/>
      </c>
      <c r="AD188" s="1511">
        <f>IF(AH688="",AB188,AH688/2.54)</f>
        <v>23.622047244094489</v>
      </c>
      <c r="AE188" s="802" t="s">
        <v>375</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533</v>
      </c>
      <c r="M189" s="937"/>
      <c r="N189" s="833"/>
      <c r="O189" s="833"/>
      <c r="P189" s="734"/>
      <c r="Q189" s="731"/>
      <c r="R189" s="731"/>
      <c r="S189" s="731"/>
      <c r="T189" s="731"/>
      <c r="U189" s="731"/>
      <c r="V189" s="731"/>
      <c r="W189" s="447"/>
      <c r="X189" s="962" t="s">
        <v>533</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8">
        <v>58</v>
      </c>
      <c r="B190" s="101"/>
      <c r="C190" s="881" t="str">
        <f>IF(LEN(O182)&lt;=265,"",RIGHT(O182,LEN(O182)-SEARCH(" ",O182,255)))</f>
        <v/>
      </c>
      <c r="D190" s="514"/>
      <c r="E190" s="514"/>
      <c r="F190" s="514"/>
      <c r="G190" s="514"/>
      <c r="H190" s="514"/>
      <c r="I190" s="514"/>
      <c r="J190" s="514"/>
      <c r="K190" s="100"/>
      <c r="L190" s="981" t="s">
        <v>533</v>
      </c>
      <c r="M190" s="101"/>
      <c r="N190" s="834"/>
      <c r="O190" s="834"/>
      <c r="P190" s="729"/>
      <c r="Q190" s="730"/>
      <c r="R190" s="730"/>
      <c r="S190" s="730"/>
      <c r="T190" s="730"/>
      <c r="U190" s="730"/>
      <c r="V190" s="730"/>
      <c r="W190" s="444"/>
      <c r="X190" s="962" t="s">
        <v>533</v>
      </c>
      <c r="Y190" s="974"/>
      <c r="Z190" s="785"/>
      <c r="AA190" s="789" t="s">
        <v>590</v>
      </c>
      <c r="AB190" s="1483">
        <v>60.248451232910156</v>
      </c>
      <c r="AC190" s="797" t="str">
        <f t="shared" si="22"/>
        <v>Change</v>
      </c>
      <c r="AD190" s="1509" t="str">
        <f>IF(P1397="","",P1397)</f>
        <v/>
      </c>
      <c r="AE190" s="785" t="s">
        <v>916</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8">
        <v>59</v>
      </c>
      <c r="B191" s="124"/>
      <c r="C191" s="881" t="str">
        <f>IF(O184="","",IF(LEN(O184)&lt;=135,O184,IF(LEN(O184)&lt;=260,LEFT(O184,SEARCH(" ",O184,125)),LEFT(O184,SEARCH(" ",O184,130)))))</f>
        <v/>
      </c>
      <c r="D191" s="514"/>
      <c r="E191" s="514"/>
      <c r="F191" s="514"/>
      <c r="G191" s="514"/>
      <c r="H191" s="514"/>
      <c r="I191" s="514"/>
      <c r="J191" s="514"/>
      <c r="K191" s="100"/>
      <c r="L191" s="981" t="s">
        <v>533</v>
      </c>
      <c r="M191" s="101"/>
      <c r="N191" s="834"/>
      <c r="O191" s="834"/>
      <c r="P191" s="729"/>
      <c r="Q191" s="730"/>
      <c r="R191" s="730"/>
      <c r="S191" s="730"/>
      <c r="T191" s="730"/>
      <c r="U191" s="730"/>
      <c r="V191" s="730"/>
      <c r="W191" s="444"/>
      <c r="X191" s="962" t="s">
        <v>533</v>
      </c>
      <c r="Y191" s="974"/>
      <c r="Z191" s="785"/>
      <c r="AA191" s="785"/>
      <c r="AB191" s="1483">
        <v>80.652397155761719</v>
      </c>
      <c r="AC191" s="797" t="str">
        <f t="shared" si="22"/>
        <v>Change</v>
      </c>
      <c r="AD191" s="1509" t="str">
        <f t="shared" ref="AD191:AD197" si="25">IF(P1398="","",P1398)</f>
        <v/>
      </c>
      <c r="AE191" s="785" t="s">
        <v>917</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533</v>
      </c>
      <c r="M192" s="937"/>
      <c r="N192" s="834"/>
      <c r="O192" s="834"/>
      <c r="P192" s="729"/>
      <c r="Q192" s="728" t="s">
        <v>356</v>
      </c>
      <c r="R192" s="122"/>
      <c r="S192" s="122"/>
      <c r="T192" s="730"/>
      <c r="U192" s="730"/>
      <c r="V192" s="730"/>
      <c r="W192" s="447"/>
      <c r="X192" s="962" t="s">
        <v>533</v>
      </c>
      <c r="Y192" s="974"/>
      <c r="Z192" s="785"/>
      <c r="AA192" s="785"/>
      <c r="AB192" s="1483">
        <v>99.629318237304688</v>
      </c>
      <c r="AC192" s="797" t="str">
        <f t="shared" si="22"/>
        <v>Change</v>
      </c>
      <c r="AD192" s="1509" t="str">
        <f t="shared" si="25"/>
        <v/>
      </c>
      <c r="AE192" s="785" t="s">
        <v>918</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8">
        <v>61</v>
      </c>
      <c r="B193" s="101"/>
      <c r="C193" s="881" t="str">
        <f>IF(LEN(O184)&lt;=265,"",RIGHT(O184,LEN(O184)-SEARCH(" ",O184,255)))</f>
        <v/>
      </c>
      <c r="D193" s="514"/>
      <c r="E193" s="514"/>
      <c r="F193" s="514"/>
      <c r="G193" s="514"/>
      <c r="H193" s="514"/>
      <c r="I193" s="514"/>
      <c r="J193" s="514"/>
      <c r="K193" s="100"/>
      <c r="L193" s="981" t="s">
        <v>533</v>
      </c>
      <c r="M193" s="101"/>
      <c r="N193" s="834"/>
      <c r="O193" s="834"/>
      <c r="P193" s="729"/>
      <c r="Q193" s="730"/>
      <c r="R193" s="729"/>
      <c r="S193" s="730"/>
      <c r="T193" s="729"/>
      <c r="U193" s="730"/>
      <c r="V193" s="730"/>
      <c r="W193" s="444"/>
      <c r="X193" s="962" t="s">
        <v>533</v>
      </c>
      <c r="Y193" s="974"/>
      <c r="Z193" s="785"/>
      <c r="AA193" s="785"/>
      <c r="AB193" s="1483">
        <v>120.94502258300781</v>
      </c>
      <c r="AC193" s="797" t="str">
        <f t="shared" si="22"/>
        <v>Change</v>
      </c>
      <c r="AD193" s="1509" t="str">
        <f t="shared" si="25"/>
        <v/>
      </c>
      <c r="AE193" s="785" t="s">
        <v>919</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8">
        <v>62</v>
      </c>
      <c r="B194" s="124"/>
      <c r="C194" s="881" t="str">
        <f>IF(O186="","",IF(LEN(O186)&lt;=135,O186,IF(LEN(O186)&lt;=260,LEFT(O186,SEARCH(" ",O186,125)),LEFT(O186,SEARCH(" ",O186,130)))))</f>
        <v/>
      </c>
      <c r="D194" s="514"/>
      <c r="E194" s="514"/>
      <c r="F194" s="514"/>
      <c r="G194" s="514"/>
      <c r="H194" s="514"/>
      <c r="I194" s="514"/>
      <c r="J194" s="514"/>
      <c r="K194" s="100"/>
      <c r="L194" s="981" t="s">
        <v>533</v>
      </c>
      <c r="M194" s="101"/>
      <c r="N194" s="834"/>
      <c r="O194" s="834"/>
      <c r="P194" s="729"/>
      <c r="Q194" s="730"/>
      <c r="R194" s="729"/>
      <c r="S194" s="730"/>
      <c r="T194" s="729"/>
      <c r="U194" s="730"/>
      <c r="V194" s="730"/>
      <c r="W194" s="444"/>
      <c r="X194" s="962" t="s">
        <v>533</v>
      </c>
      <c r="Y194" s="974"/>
      <c r="Z194" s="785"/>
      <c r="AA194" s="785"/>
      <c r="AB194" s="1483">
        <v>141.03688049316406</v>
      </c>
      <c r="AC194" s="797" t="str">
        <f t="shared" si="22"/>
        <v>Change</v>
      </c>
      <c r="AD194" s="1509" t="str">
        <f t="shared" si="25"/>
        <v/>
      </c>
      <c r="AE194" s="785" t="s">
        <v>920</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533</v>
      </c>
      <c r="M195" s="937"/>
      <c r="N195" s="835"/>
      <c r="O195" s="835"/>
      <c r="P195" s="733"/>
      <c r="Q195" s="732"/>
      <c r="R195" s="733"/>
      <c r="S195" s="732"/>
      <c r="T195" s="733"/>
      <c r="U195" s="732"/>
      <c r="V195" s="732"/>
      <c r="W195" s="447"/>
      <c r="X195" s="962" t="s">
        <v>533</v>
      </c>
      <c r="Y195" s="974"/>
      <c r="Z195" s="785"/>
      <c r="AA195" s="785"/>
      <c r="AB195" s="1483">
        <v>141.03688049316406</v>
      </c>
      <c r="AC195" s="797" t="str">
        <f t="shared" si="22"/>
        <v>Change</v>
      </c>
      <c r="AD195" s="1509" t="str">
        <f t="shared" si="25"/>
        <v/>
      </c>
      <c r="AE195" s="785" t="s">
        <v>921</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8">
        <v>64</v>
      </c>
      <c r="B196" s="184"/>
      <c r="C196" s="882" t="str">
        <f>IF(LEN(O186)&lt;=265,"",RIGHT(O186,LEN(O186)-SEARCH(" ",O186,255)))</f>
        <v/>
      </c>
      <c r="D196" s="186"/>
      <c r="E196" s="186"/>
      <c r="F196" s="186"/>
      <c r="G196" s="186"/>
      <c r="H196" s="186"/>
      <c r="I196" s="186"/>
      <c r="J196" s="186"/>
      <c r="K196" s="156"/>
      <c r="L196" s="981" t="s">
        <v>533</v>
      </c>
      <c r="M196" s="184"/>
      <c r="N196" s="186"/>
      <c r="O196" s="836"/>
      <c r="P196" s="587"/>
      <c r="Q196" s="186"/>
      <c r="R196" s="186"/>
      <c r="S196" s="186"/>
      <c r="T196" s="186"/>
      <c r="U196" s="186"/>
      <c r="V196" s="186"/>
      <c r="W196" s="448"/>
      <c r="X196" s="962" t="s">
        <v>533</v>
      </c>
      <c r="Y196" s="974"/>
      <c r="Z196" s="785"/>
      <c r="AA196" s="785"/>
      <c r="AB196" s="1483">
        <v>141.03688049316406</v>
      </c>
      <c r="AC196" s="797" t="str">
        <f t="shared" si="22"/>
        <v>Change</v>
      </c>
      <c r="AD196" s="1509" t="str">
        <f t="shared" si="25"/>
        <v/>
      </c>
      <c r="AE196" s="785" t="s">
        <v>922</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8">
        <v>65</v>
      </c>
      <c r="B197" s="64" t="str">
        <f t="array" ref="B197:C198">$B$65:$C$66</f>
        <v>Date:</v>
      </c>
      <c r="C197" s="1467">
        <v>43039</v>
      </c>
      <c r="D197" s="140"/>
      <c r="E197" s="63"/>
      <c r="F197" s="63"/>
      <c r="G197" s="63"/>
      <c r="H197" s="63"/>
      <c r="I197" s="64" t="str">
        <f t="array" ref="I197:J198">$I$65:$J$66</f>
        <v>Inspector:</v>
      </c>
      <c r="J197" s="565" t="str">
        <v>Eugene Mah</v>
      </c>
      <c r="L197" s="981" t="s">
        <v>533</v>
      </c>
      <c r="O197" s="831"/>
      <c r="P197" s="588"/>
      <c r="X197" s="962" t="s">
        <v>533</v>
      </c>
      <c r="Y197" s="974"/>
      <c r="Z197" s="785"/>
      <c r="AA197" s="785"/>
      <c r="AB197" s="1483">
        <v>141.03688049316406</v>
      </c>
      <c r="AC197" s="797" t="str">
        <f t="shared" si="22"/>
        <v>Change</v>
      </c>
      <c r="AD197" s="1509" t="str">
        <f t="shared" si="25"/>
        <v/>
      </c>
      <c r="AE197" s="785" t="s">
        <v>923</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8">
        <v>66</v>
      </c>
      <c r="B198" s="64" t="str">
        <v>Room Number:</v>
      </c>
      <c r="C198" s="508" t="str">
        <v>Room 04 RT 127M - Tube 1</v>
      </c>
      <c r="D198" s="67"/>
      <c r="E198" s="63"/>
      <c r="F198" s="63"/>
      <c r="G198" s="63"/>
      <c r="H198" s="63"/>
      <c r="I198" s="64" t="str">
        <v>Survey ID:</v>
      </c>
      <c r="J198" s="1475">
        <v>1976</v>
      </c>
      <c r="L198" s="981" t="s">
        <v>533</v>
      </c>
      <c r="O198" s="831"/>
      <c r="P198" s="588"/>
      <c r="X198" s="962" t="s">
        <v>533</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8">
        <v>1</v>
      </c>
      <c r="B199" s="1"/>
      <c r="C199" s="1"/>
      <c r="D199" s="1"/>
      <c r="E199" s="1"/>
      <c r="F199" s="1"/>
      <c r="G199" s="1"/>
      <c r="H199" s="1"/>
      <c r="I199" s="1"/>
      <c r="J199" s="1"/>
      <c r="K199" s="165" t="str">
        <f>$F$2</f>
        <v>Medical University of South Carolina</v>
      </c>
      <c r="L199" s="981" t="s">
        <v>533</v>
      </c>
      <c r="M199" s="1"/>
      <c r="N199" s="1"/>
      <c r="O199" s="837"/>
      <c r="P199" s="588"/>
      <c r="Q199" s="1"/>
      <c r="R199" s="1"/>
      <c r="S199" s="1"/>
      <c r="T199" s="1"/>
      <c r="U199" s="1"/>
      <c r="V199" s="1"/>
      <c r="W199" s="165" t="str">
        <f>$F$2</f>
        <v>Medical University of South Carolina</v>
      </c>
      <c r="X199" s="962" t="s">
        <v>533</v>
      </c>
      <c r="Y199" s="974"/>
      <c r="Z199" s="785"/>
      <c r="AA199" s="789" t="s">
        <v>1229</v>
      </c>
      <c r="AB199" s="1484">
        <v>2.8826280912302958E-2</v>
      </c>
      <c r="AC199" s="797" t="str">
        <f t="shared" si="22"/>
        <v>Change</v>
      </c>
      <c r="AD199" s="1631" t="str">
        <f t="shared" ref="AD199:AD206" si="26">IF(R1397="","",R1397)</f>
        <v/>
      </c>
      <c r="AE199" s="785" t="s">
        <v>924</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8">
        <v>2</v>
      </c>
      <c r="B200" s="1"/>
      <c r="C200" s="1"/>
      <c r="D200" s="1"/>
      <c r="E200" s="1"/>
      <c r="F200" s="344" t="str">
        <f>$F$464</f>
        <v>Measurement Data</v>
      </c>
      <c r="G200" s="1"/>
      <c r="H200" s="1"/>
      <c r="I200" s="1"/>
      <c r="J200" s="1"/>
      <c r="K200" s="166" t="str">
        <f>$F$5</f>
        <v>Radiographic System Compliance Inspection</v>
      </c>
      <c r="L200" s="981" t="s">
        <v>533</v>
      </c>
      <c r="M200" s="1"/>
      <c r="N200" s="1"/>
      <c r="O200" s="837"/>
      <c r="P200" s="588"/>
      <c r="Q200" s="1"/>
      <c r="R200" s="1"/>
      <c r="S200" s="1"/>
      <c r="T200" s="1"/>
      <c r="U200" s="1"/>
      <c r="V200" s="1"/>
      <c r="W200" s="166" t="str">
        <f>$F$5</f>
        <v>Radiographic System Compliance Inspection</v>
      </c>
      <c r="X200" s="962" t="s">
        <v>533</v>
      </c>
      <c r="Y200" s="974"/>
      <c r="Z200" s="785"/>
      <c r="AA200" s="789" t="str">
        <f>"@ "&amp;AD188&amp;" in."</f>
        <v>@ 23.6220472440945 in.</v>
      </c>
      <c r="AB200" s="1484">
        <v>5.0959231385690605E-2</v>
      </c>
      <c r="AC200" s="797" t="str">
        <f t="shared" si="22"/>
        <v>Change</v>
      </c>
      <c r="AD200" s="1631" t="str">
        <f t="shared" si="26"/>
        <v/>
      </c>
      <c r="AE200" s="785" t="s">
        <v>925</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8">
        <v>3</v>
      </c>
      <c r="L201" s="981" t="s">
        <v>533</v>
      </c>
      <c r="M201" s="1"/>
      <c r="N201" s="1"/>
      <c r="O201" s="837"/>
      <c r="P201" s="588"/>
      <c r="Q201" s="1"/>
      <c r="R201" s="1"/>
      <c r="S201" s="1"/>
      <c r="T201" s="1"/>
      <c r="U201" s="1"/>
      <c r="V201" s="1"/>
      <c r="W201" s="1"/>
      <c r="X201" s="962" t="s">
        <v>533</v>
      </c>
      <c r="Y201" s="974"/>
      <c r="Z201" s="785"/>
      <c r="AA201" s="785"/>
      <c r="AB201" s="1484">
        <v>7.6549176368019445E-2</v>
      </c>
      <c r="AC201" s="797" t="str">
        <f t="shared" ref="AC201:AC224" si="27">IF(AND(OR(AB201="",AB201=0),OR(AD201="",AD201=0)),"",IF(AB201&lt;&gt;AD201,"Change",""))</f>
        <v>Change</v>
      </c>
      <c r="AD201" s="1631" t="str">
        <f t="shared" si="26"/>
        <v/>
      </c>
      <c r="AE201" s="785" t="s">
        <v>926</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8">
        <v>4</v>
      </c>
      <c r="F202" s="248" t="str">
        <f>$R$202</f>
        <v>COMMENTS PAGE 2</v>
      </c>
      <c r="L202" s="981" t="s">
        <v>533</v>
      </c>
      <c r="M202" s="204"/>
      <c r="N202" s="204"/>
      <c r="O202" s="838"/>
      <c r="P202" s="589"/>
      <c r="Q202" s="204"/>
      <c r="R202" s="248" t="s">
        <v>357</v>
      </c>
      <c r="S202" s="204"/>
      <c r="T202" s="204"/>
      <c r="U202" s="204"/>
      <c r="V202" s="204"/>
      <c r="W202" s="204"/>
      <c r="X202" s="962" t="s">
        <v>533</v>
      </c>
      <c r="Y202" s="974"/>
      <c r="Z202" s="785"/>
      <c r="AA202" s="785"/>
      <c r="AB202" s="1484">
        <v>0.10839928246987895</v>
      </c>
      <c r="AC202" s="797" t="str">
        <f t="shared" si="27"/>
        <v>Change</v>
      </c>
      <c r="AD202" s="1631" t="str">
        <f t="shared" si="26"/>
        <v/>
      </c>
      <c r="AE202" s="785" t="s">
        <v>927</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8">
        <v>5</v>
      </c>
      <c r="L203" s="981" t="s">
        <v>533</v>
      </c>
      <c r="M203" s="204"/>
      <c r="N203" s="204"/>
      <c r="O203" s="838"/>
      <c r="P203" s="589"/>
      <c r="Q203" s="204"/>
      <c r="R203" s="204"/>
      <c r="S203" s="204"/>
      <c r="T203" s="204"/>
      <c r="U203" s="204"/>
      <c r="V203" s="204"/>
      <c r="W203" s="204"/>
      <c r="X203" s="962" t="s">
        <v>533</v>
      </c>
      <c r="Y203" s="974"/>
      <c r="Z203" s="785"/>
      <c r="AA203" s="785"/>
      <c r="AB203" s="1484">
        <v>0.14110482766918536</v>
      </c>
      <c r="AC203" s="797" t="str">
        <f t="shared" si="27"/>
        <v>Change</v>
      </c>
      <c r="AD203" s="1631" t="str">
        <f t="shared" si="26"/>
        <v/>
      </c>
      <c r="AE203" s="785" t="s">
        <v>928</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8">
        <v>6</v>
      </c>
      <c r="B204" s="93"/>
      <c r="C204" s="76"/>
      <c r="D204" s="76"/>
      <c r="E204" s="76"/>
      <c r="F204" s="76"/>
      <c r="G204" s="76"/>
      <c r="H204" s="76"/>
      <c r="I204" s="76"/>
      <c r="J204" s="76"/>
      <c r="K204" s="94"/>
      <c r="L204" s="981" t="s">
        <v>533</v>
      </c>
      <c r="M204" s="436"/>
      <c r="N204" s="437"/>
      <c r="O204" s="839"/>
      <c r="P204" s="585"/>
      <c r="Q204" s="988" t="s">
        <v>479</v>
      </c>
      <c r="R204" s="437"/>
      <c r="S204" s="437"/>
      <c r="T204" s="437"/>
      <c r="U204" s="437"/>
      <c r="V204" s="437"/>
      <c r="W204" s="438"/>
      <c r="X204" s="962" t="s">
        <v>533</v>
      </c>
      <c r="Y204" s="974"/>
      <c r="Z204" s="785"/>
      <c r="AA204" s="785"/>
      <c r="AB204" s="1484">
        <v>0.14110482766918536</v>
      </c>
      <c r="AC204" s="797" t="str">
        <f t="shared" si="27"/>
        <v>Change</v>
      </c>
      <c r="AD204" s="1631" t="str">
        <f t="shared" si="26"/>
        <v/>
      </c>
      <c r="AE204" s="785" t="s">
        <v>929</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8">
        <v>7</v>
      </c>
      <c r="B205" s="124" t="s">
        <v>681</v>
      </c>
      <c r="C205" s="881" t="str">
        <f>IF(O205="","",IF(LEN(O205)&lt;=135,O205,IF(LEN(O205)&lt;=260,LEFT(O205,SEARCH(" ",O205,125)),LEFT(O205,SEARCH(" ",O205,130)))))</f>
        <v/>
      </c>
      <c r="D205" s="513"/>
      <c r="E205" s="513"/>
      <c r="F205" s="513"/>
      <c r="G205" s="513"/>
      <c r="H205" s="513"/>
      <c r="I205" s="513"/>
      <c r="J205" s="513"/>
      <c r="K205" s="85"/>
      <c r="L205" s="981" t="s">
        <v>533</v>
      </c>
      <c r="M205" s="442"/>
      <c r="N205" s="187" t="s">
        <v>681</v>
      </c>
      <c r="O205" s="1564"/>
      <c r="P205" s="586"/>
      <c r="Q205" s="982" t="str">
        <f>IF(OR(AB314=0,AB314=""),"",AB314)</f>
        <v/>
      </c>
      <c r="R205" s="61"/>
      <c r="S205" s="61"/>
      <c r="T205" s="61"/>
      <c r="U205" s="61"/>
      <c r="V205" s="61"/>
      <c r="W205" s="444"/>
      <c r="X205" s="962" t="s">
        <v>533</v>
      </c>
      <c r="Y205" s="974"/>
      <c r="Z205" s="785"/>
      <c r="AA205" s="785"/>
      <c r="AB205" s="1484">
        <v>0.14110482766918536</v>
      </c>
      <c r="AC205" s="797" t="str">
        <f t="shared" si="27"/>
        <v>Change</v>
      </c>
      <c r="AD205" s="1631" t="str">
        <f t="shared" si="26"/>
        <v/>
      </c>
      <c r="AE205" s="785" t="s">
        <v>930</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533</v>
      </c>
      <c r="M206" s="101"/>
      <c r="N206" s="876" t="s">
        <v>373</v>
      </c>
      <c r="O206" s="1565"/>
      <c r="P206" s="877">
        <f>LEN(O205)</f>
        <v>0</v>
      </c>
      <c r="Q206" s="984"/>
      <c r="R206" s="987">
        <f>LEN(Q205)</f>
        <v>0</v>
      </c>
      <c r="S206" s="73"/>
      <c r="T206" s="73"/>
      <c r="U206" s="73"/>
      <c r="V206" s="73"/>
      <c r="W206" s="447"/>
      <c r="X206" s="962" t="s">
        <v>533</v>
      </c>
      <c r="Y206" s="974"/>
      <c r="Z206" s="785"/>
      <c r="AA206" s="785"/>
      <c r="AB206" s="1484">
        <v>0.14110482766918536</v>
      </c>
      <c r="AC206" s="797" t="str">
        <f t="shared" si="27"/>
        <v>Change</v>
      </c>
      <c r="AD206" s="1631" t="str">
        <f t="shared" si="26"/>
        <v/>
      </c>
      <c r="AE206" s="785" t="s">
        <v>931</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8">
        <v>9</v>
      </c>
      <c r="B207" s="101"/>
      <c r="C207" s="881" t="str">
        <f>IF(LEN(O205)&lt;=265,"",RIGHT(O205,LEN(O205)-SEARCH(" ",O205,255)))</f>
        <v/>
      </c>
      <c r="D207" s="513"/>
      <c r="E207" s="513"/>
      <c r="F207" s="513"/>
      <c r="G207" s="513"/>
      <c r="H207" s="513"/>
      <c r="I207" s="513"/>
      <c r="J207" s="513"/>
      <c r="K207" s="85"/>
      <c r="L207" s="981" t="s">
        <v>533</v>
      </c>
      <c r="M207" s="143"/>
      <c r="N207" s="187" t="s">
        <v>151</v>
      </c>
      <c r="O207" s="1564"/>
      <c r="P207" s="586"/>
      <c r="Q207" s="982" t="str">
        <f>IF(OR(AB316=0,AB316=""),"",AB316)</f>
        <v/>
      </c>
      <c r="R207" s="61"/>
      <c r="S207" s="61"/>
      <c r="T207" s="61"/>
      <c r="U207" s="61"/>
      <c r="V207" s="61"/>
      <c r="W207" s="444"/>
      <c r="X207" s="962" t="s">
        <v>533</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8">
        <v>10</v>
      </c>
      <c r="B208" s="159"/>
      <c r="C208" s="881" t="str">
        <f>IF(O207="","",IF(LEN(O207)&lt;=135,O207,IF(LEN(O207)&lt;=260,LEFT(O207,SEARCH(" ",O207,125)),LEFT(O207,SEARCH(" ",O207,130)))))</f>
        <v/>
      </c>
      <c r="D208" s="513"/>
      <c r="E208" s="513"/>
      <c r="F208" s="513"/>
      <c r="G208" s="513"/>
      <c r="H208" s="513"/>
      <c r="I208" s="513"/>
      <c r="J208" s="513"/>
      <c r="K208" s="85"/>
      <c r="L208" s="981" t="s">
        <v>533</v>
      </c>
      <c r="M208" s="101"/>
      <c r="N208" s="876" t="s">
        <v>373</v>
      </c>
      <c r="O208" s="1565"/>
      <c r="P208" s="877">
        <f>LEN(O207)</f>
        <v>0</v>
      </c>
      <c r="Q208" s="984"/>
      <c r="R208" s="987">
        <f>LEN(Q207)</f>
        <v>0</v>
      </c>
      <c r="S208" s="61"/>
      <c r="T208" s="61"/>
      <c r="U208" s="61"/>
      <c r="V208" s="61"/>
      <c r="W208" s="444"/>
      <c r="X208" s="962" t="s">
        <v>533</v>
      </c>
      <c r="Y208" s="974"/>
      <c r="Z208" s="785"/>
      <c r="AA208" s="791" t="s">
        <v>675</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533</v>
      </c>
      <c r="M209" s="451"/>
      <c r="N209" s="187" t="s">
        <v>151</v>
      </c>
      <c r="O209" s="1564"/>
      <c r="P209" s="586"/>
      <c r="Q209" s="982" t="str">
        <f>IF(OR(AB318=0,AB318=""),"",AB318)</f>
        <v/>
      </c>
      <c r="R209" s="61"/>
      <c r="S209" s="73"/>
      <c r="T209" s="73"/>
      <c r="U209" s="73"/>
      <c r="V209" s="73"/>
      <c r="W209" s="447"/>
      <c r="X209" s="962" t="s">
        <v>533</v>
      </c>
      <c r="Y209" s="974"/>
      <c r="Z209" s="785"/>
      <c r="AA209" s="784" t="s">
        <v>665</v>
      </c>
      <c r="AB209" s="1483">
        <v>23.622047244094489</v>
      </c>
      <c r="AC209" s="797" t="str">
        <f t="shared" si="27"/>
        <v/>
      </c>
      <c r="AD209" s="1511">
        <f>IF(AH728="",AB209,AH728/2.54)</f>
        <v>23.622047244094489</v>
      </c>
      <c r="AE209" s="802" t="s">
        <v>376</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8">
        <v>12</v>
      </c>
      <c r="B210" s="159"/>
      <c r="C210" s="881" t="str">
        <f>IF(LEN(O207)&lt;=265,"",RIGHT(O207,LEN(O207)-SEARCH(" ",O207,255)))</f>
        <v/>
      </c>
      <c r="D210" s="513"/>
      <c r="E210" s="513"/>
      <c r="F210" s="513"/>
      <c r="G210" s="513"/>
      <c r="H210" s="513"/>
      <c r="I210" s="513"/>
      <c r="J210" s="513"/>
      <c r="K210" s="85"/>
      <c r="L210" s="981" t="s">
        <v>533</v>
      </c>
      <c r="M210" s="143"/>
      <c r="N210" s="876" t="s">
        <v>373</v>
      </c>
      <c r="O210" s="1565"/>
      <c r="P210" s="877">
        <f>LEN(O209)</f>
        <v>0</v>
      </c>
      <c r="Q210" s="984"/>
      <c r="R210" s="987">
        <f>LEN(Q209)</f>
        <v>0</v>
      </c>
      <c r="S210" s="61"/>
      <c r="T210" s="61"/>
      <c r="U210" s="61"/>
      <c r="V210" s="61"/>
      <c r="W210" s="444"/>
      <c r="X210" s="962" t="s">
        <v>533</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8">
        <v>13</v>
      </c>
      <c r="B211" s="159"/>
      <c r="C211" s="881" t="str">
        <f>IF(O209="","",IF(LEN(O209)&lt;=135,O209,IF(LEN(O209)&lt;=260,LEFT(O209,SEARCH(" ",O209,125)),LEFT(O209,SEARCH(" ",O209,130)))))</f>
        <v/>
      </c>
      <c r="D211" s="513"/>
      <c r="E211" s="513"/>
      <c r="F211" s="513"/>
      <c r="G211" s="513"/>
      <c r="H211" s="513"/>
      <c r="I211" s="513"/>
      <c r="J211" s="513"/>
      <c r="K211" s="85"/>
      <c r="L211" s="981" t="s">
        <v>533</v>
      </c>
      <c r="M211" s="101"/>
      <c r="N211" s="187" t="s">
        <v>151</v>
      </c>
      <c r="O211" s="1564"/>
      <c r="P211" s="586"/>
      <c r="Q211" s="982" t="str">
        <f>IF(OR(AB320=0,AB320=""),"",AB320)</f>
        <v/>
      </c>
      <c r="R211" s="61"/>
      <c r="S211" s="61"/>
      <c r="T211" s="61"/>
      <c r="U211" s="61"/>
      <c r="V211" s="61"/>
      <c r="W211" s="444"/>
      <c r="X211" s="962" t="s">
        <v>533</v>
      </c>
      <c r="Y211" s="974"/>
      <c r="Z211" s="785"/>
      <c r="AA211" s="789" t="s">
        <v>590</v>
      </c>
      <c r="AB211" s="1483">
        <v>49.203357696533203</v>
      </c>
      <c r="AC211" s="797" t="str">
        <f t="shared" si="27"/>
        <v>Change</v>
      </c>
      <c r="AD211" s="1513" t="str">
        <f t="shared" ref="AD211:AD216" si="28">IF(P1414="","",P1414)</f>
        <v/>
      </c>
      <c r="AE211" s="785" t="s">
        <v>932</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533</v>
      </c>
      <c r="M212" s="451"/>
      <c r="N212" s="876" t="s">
        <v>373</v>
      </c>
      <c r="O212" s="1565"/>
      <c r="P212" s="877">
        <f>LEN(O211)</f>
        <v>0</v>
      </c>
      <c r="Q212" s="984"/>
      <c r="R212" s="987">
        <f>LEN(Q211)</f>
        <v>0</v>
      </c>
      <c r="S212" s="73"/>
      <c r="T212" s="73"/>
      <c r="U212" s="73"/>
      <c r="V212" s="73"/>
      <c r="W212" s="447"/>
      <c r="X212" s="962" t="s">
        <v>533</v>
      </c>
      <c r="Y212" s="974"/>
      <c r="Z212" s="785"/>
      <c r="AA212" s="785"/>
      <c r="AB212" s="1483">
        <v>70.373207092285156</v>
      </c>
      <c r="AC212" s="797" t="str">
        <f t="shared" si="27"/>
        <v>Change</v>
      </c>
      <c r="AD212" s="1513" t="str">
        <f t="shared" si="28"/>
        <v/>
      </c>
      <c r="AE212" s="785" t="s">
        <v>933</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8">
        <v>15</v>
      </c>
      <c r="B213" s="159"/>
      <c r="C213" s="881" t="str">
        <f>IF(LEN(O209)&lt;=265,"",RIGHT(O209,LEN(O209)-SEARCH(" ",O209,255)))</f>
        <v/>
      </c>
      <c r="D213" s="513"/>
      <c r="E213" s="513"/>
      <c r="F213" s="513"/>
      <c r="G213" s="513"/>
      <c r="H213" s="513"/>
      <c r="I213" s="513"/>
      <c r="J213" s="513"/>
      <c r="K213" s="85"/>
      <c r="L213" s="981" t="s">
        <v>533</v>
      </c>
      <c r="M213" s="143"/>
      <c r="N213" s="187" t="s">
        <v>151</v>
      </c>
      <c r="O213" s="1564"/>
      <c r="P213" s="586"/>
      <c r="Q213" s="982" t="str">
        <f>IF(OR(AB322=0,AB322=""),"",AB322)</f>
        <v/>
      </c>
      <c r="R213" s="61"/>
      <c r="S213" s="61"/>
      <c r="T213" s="61"/>
      <c r="U213" s="61"/>
      <c r="V213" s="61"/>
      <c r="W213" s="444"/>
      <c r="X213" s="962" t="s">
        <v>533</v>
      </c>
      <c r="Y213" s="974"/>
      <c r="Z213" s="785"/>
      <c r="AA213" s="785"/>
      <c r="AB213" s="1483">
        <v>89.425773620605469</v>
      </c>
      <c r="AC213" s="797" t="str">
        <f t="shared" si="27"/>
        <v>Change</v>
      </c>
      <c r="AD213" s="1513" t="str">
        <f t="shared" si="28"/>
        <v/>
      </c>
      <c r="AE213" s="785" t="s">
        <v>934</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8">
        <v>16</v>
      </c>
      <c r="B214" s="159"/>
      <c r="C214" s="881" t="str">
        <f>IF(O211="","",IF(LEN(O211)&lt;=135,O211,IF(LEN(O211)&lt;=260,LEFT(O211,SEARCH(" ",O211,125)),LEFT(O211,SEARCH(" ",O211,130)))))</f>
        <v/>
      </c>
      <c r="D214" s="513"/>
      <c r="E214" s="513"/>
      <c r="F214" s="513"/>
      <c r="G214" s="513"/>
      <c r="H214" s="513"/>
      <c r="I214" s="513"/>
      <c r="J214" s="513"/>
      <c r="K214" s="85"/>
      <c r="L214" s="981" t="s">
        <v>533</v>
      </c>
      <c r="M214" s="101"/>
      <c r="N214" s="876" t="s">
        <v>373</v>
      </c>
      <c r="O214" s="1565"/>
      <c r="P214" s="877">
        <f>LEN(O213)</f>
        <v>0</v>
      </c>
      <c r="Q214" s="984"/>
      <c r="R214" s="987">
        <f>LEN(Q213)</f>
        <v>0</v>
      </c>
      <c r="S214" s="61"/>
      <c r="T214" s="61"/>
      <c r="U214" s="61"/>
      <c r="V214" s="61"/>
      <c r="W214" s="444"/>
      <c r="X214" s="962" t="s">
        <v>533</v>
      </c>
      <c r="Y214" s="974"/>
      <c r="Z214" s="785"/>
      <c r="AA214" s="785"/>
      <c r="AB214" s="1483">
        <v>108.46017456054688</v>
      </c>
      <c r="AC214" s="797" t="str">
        <f t="shared" si="27"/>
        <v>Change</v>
      </c>
      <c r="AD214" s="1513" t="str">
        <f t="shared" si="28"/>
        <v/>
      </c>
      <c r="AE214" s="785" t="s">
        <v>935</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533</v>
      </c>
      <c r="M215" s="451"/>
      <c r="N215" s="187" t="s">
        <v>151</v>
      </c>
      <c r="O215" s="1564"/>
      <c r="P215" s="586"/>
      <c r="Q215" s="982" t="str">
        <f>IF(OR(AB324=0,AB324=""),"",AB324)</f>
        <v/>
      </c>
      <c r="R215" s="61"/>
      <c r="S215" s="73"/>
      <c r="T215" s="73"/>
      <c r="U215" s="73"/>
      <c r="V215" s="73"/>
      <c r="W215" s="447"/>
      <c r="X215" s="962" t="s">
        <v>533</v>
      </c>
      <c r="Y215" s="974"/>
      <c r="Z215" s="785"/>
      <c r="AA215" s="785"/>
      <c r="AB215" s="1483">
        <v>128.53912353515625</v>
      </c>
      <c r="AC215" s="797" t="str">
        <f t="shared" si="27"/>
        <v>Change</v>
      </c>
      <c r="AD215" s="1513" t="str">
        <f t="shared" si="28"/>
        <v/>
      </c>
      <c r="AE215" s="785" t="s">
        <v>936</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8">
        <v>18</v>
      </c>
      <c r="B216" s="159"/>
      <c r="C216" s="881" t="str">
        <f>IF(LEN(O211)&lt;=265,"",RIGHT(O211,LEN(O211)-SEARCH(" ",O211,255)))</f>
        <v/>
      </c>
      <c r="D216" s="513"/>
      <c r="E216" s="513"/>
      <c r="F216" s="513"/>
      <c r="G216" s="513"/>
      <c r="H216" s="513"/>
      <c r="I216" s="513"/>
      <c r="J216" s="513"/>
      <c r="K216" s="85"/>
      <c r="L216" s="981" t="s">
        <v>533</v>
      </c>
      <c r="M216" s="143"/>
      <c r="N216" s="876" t="s">
        <v>373</v>
      </c>
      <c r="O216" s="1565"/>
      <c r="P216" s="877">
        <f>LEN(O215)</f>
        <v>0</v>
      </c>
      <c r="Q216" s="984"/>
      <c r="R216" s="987">
        <f>LEN(Q215)</f>
        <v>0</v>
      </c>
      <c r="S216" s="61"/>
      <c r="T216" s="61"/>
      <c r="U216" s="61"/>
      <c r="V216" s="61"/>
      <c r="W216" s="444"/>
      <c r="X216" s="962" t="s">
        <v>533</v>
      </c>
      <c r="Y216" s="974"/>
      <c r="Z216" s="785"/>
      <c r="AA216" s="785"/>
      <c r="AB216" s="1483">
        <v>128.53912353515625</v>
      </c>
      <c r="AC216" s="797" t="str">
        <f t="shared" si="27"/>
        <v>Change</v>
      </c>
      <c r="AD216" s="1513" t="str">
        <f t="shared" si="28"/>
        <v/>
      </c>
      <c r="AE216" s="785" t="s">
        <v>937</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8">
        <v>19</v>
      </c>
      <c r="B217" s="159"/>
      <c r="C217" s="881" t="str">
        <f>IF(O213="","",IF(LEN(O213)&lt;=135,O213,IF(LEN(O213)&lt;=260,LEFT(O213,SEARCH(" ",O213,125)),LEFT(O213,SEARCH(" ",O213,130)))))</f>
        <v/>
      </c>
      <c r="D217" s="513"/>
      <c r="E217" s="513"/>
      <c r="F217" s="513"/>
      <c r="G217" s="513"/>
      <c r="H217" s="513"/>
      <c r="I217" s="513"/>
      <c r="J217" s="513"/>
      <c r="K217" s="85"/>
      <c r="L217" s="981" t="s">
        <v>533</v>
      </c>
      <c r="M217" s="101"/>
      <c r="N217" s="187" t="s">
        <v>151</v>
      </c>
      <c r="O217" s="1564"/>
      <c r="P217" s="586"/>
      <c r="Q217" s="982" t="str">
        <f>IF(OR(AB326=0,AB326=""),"",AB326)</f>
        <v/>
      </c>
      <c r="R217" s="61"/>
      <c r="S217" s="61"/>
      <c r="T217" s="61"/>
      <c r="U217" s="61"/>
      <c r="V217" s="61"/>
      <c r="W217" s="444"/>
      <c r="X217" s="962" t="s">
        <v>533</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533</v>
      </c>
      <c r="M218" s="451"/>
      <c r="N218" s="876" t="s">
        <v>373</v>
      </c>
      <c r="O218" s="1565"/>
      <c r="P218" s="877">
        <f>LEN(O217)</f>
        <v>0</v>
      </c>
      <c r="Q218" s="984"/>
      <c r="R218" s="987">
        <f>LEN(Q217)</f>
        <v>0</v>
      </c>
      <c r="S218" s="73"/>
      <c r="T218" s="73"/>
      <c r="U218" s="73"/>
      <c r="V218" s="73"/>
      <c r="W218" s="447"/>
      <c r="X218" s="962" t="s">
        <v>533</v>
      </c>
      <c r="Y218" s="974"/>
      <c r="Z218" s="785"/>
      <c r="AA218" s="789" t="s">
        <v>1229</v>
      </c>
      <c r="AB218" s="1484">
        <v>1.6093626327114051E-2</v>
      </c>
      <c r="AC218" s="797" t="str">
        <f t="shared" si="27"/>
        <v>Change</v>
      </c>
      <c r="AD218" s="1631" t="str">
        <f t="shared" ref="AD218:AD223" si="29">IF(R1414="","",R1414)</f>
        <v/>
      </c>
      <c r="AE218" s="785" t="s">
        <v>938</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8">
        <v>21</v>
      </c>
      <c r="B219" s="159"/>
      <c r="C219" s="881" t="str">
        <f>IF(LEN(O213)&lt;=265,"",RIGHT(O213,LEN(O213)-SEARCH(" ",O213,255)))</f>
        <v/>
      </c>
      <c r="D219" s="513"/>
      <c r="E219" s="513"/>
      <c r="F219" s="513"/>
      <c r="G219" s="513"/>
      <c r="H219" s="513"/>
      <c r="I219" s="513"/>
      <c r="J219" s="513"/>
      <c r="K219" s="85"/>
      <c r="L219" s="981" t="s">
        <v>533</v>
      </c>
      <c r="M219" s="143"/>
      <c r="N219" s="187" t="s">
        <v>151</v>
      </c>
      <c r="O219" s="1564"/>
      <c r="P219" s="586"/>
      <c r="Q219" s="982" t="str">
        <f>IF(OR(AB328=0,AB328=""),"",AB328)</f>
        <v/>
      </c>
      <c r="R219" s="61"/>
      <c r="S219" s="61"/>
      <c r="T219" s="61"/>
      <c r="U219" s="61"/>
      <c r="V219" s="61"/>
      <c r="W219" s="444"/>
      <c r="X219" s="962" t="s">
        <v>533</v>
      </c>
      <c r="Y219" s="974"/>
      <c r="Z219" s="785"/>
      <c r="AA219" s="789" t="str">
        <f>"@ "&amp;AD209&amp;" in."</f>
        <v>@ 23.6220472440945 in.</v>
      </c>
      <c r="AB219" s="1484">
        <v>3.6237211127307357E-2</v>
      </c>
      <c r="AC219" s="797" t="str">
        <f t="shared" si="27"/>
        <v>Change</v>
      </c>
      <c r="AD219" s="1631" t="str">
        <f t="shared" si="29"/>
        <v/>
      </c>
      <c r="AE219" s="785" t="s">
        <v>939</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8">
        <v>22</v>
      </c>
      <c r="B220" s="159"/>
      <c r="C220" s="881" t="str">
        <f>IF(O215="","",IF(LEN(O215)&lt;=135,O215,IF(LEN(O215)&lt;=260,LEFT(O215,SEARCH(" ",O215,125)),LEFT(O215,SEARCH(" ",O215,130)))))</f>
        <v/>
      </c>
      <c r="D220" s="513"/>
      <c r="E220" s="513"/>
      <c r="F220" s="513"/>
      <c r="G220" s="513"/>
      <c r="H220" s="513"/>
      <c r="I220" s="513"/>
      <c r="J220" s="513"/>
      <c r="K220" s="85"/>
      <c r="L220" s="981" t="s">
        <v>533</v>
      </c>
      <c r="M220" s="101"/>
      <c r="N220" s="876" t="s">
        <v>373</v>
      </c>
      <c r="O220" s="1565"/>
      <c r="P220" s="877">
        <f>LEN(O219)</f>
        <v>0</v>
      </c>
      <c r="Q220" s="984"/>
      <c r="R220" s="987">
        <f>LEN(Q219)</f>
        <v>0</v>
      </c>
      <c r="S220" s="61"/>
      <c r="T220" s="61"/>
      <c r="U220" s="61"/>
      <c r="V220" s="61"/>
      <c r="W220" s="444"/>
      <c r="X220" s="962" t="s">
        <v>533</v>
      </c>
      <c r="Y220" s="974"/>
      <c r="Z220" s="785"/>
      <c r="AA220" s="785"/>
      <c r="AB220" s="1484">
        <v>6.0385781549879579E-2</v>
      </c>
      <c r="AC220" s="797" t="str">
        <f t="shared" si="27"/>
        <v>Change</v>
      </c>
      <c r="AD220" s="1631" t="str">
        <f t="shared" si="29"/>
        <v/>
      </c>
      <c r="AE220" s="785" t="s">
        <v>940</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533</v>
      </c>
      <c r="M221" s="451"/>
      <c r="N221" s="187" t="s">
        <v>151</v>
      </c>
      <c r="O221" s="1564"/>
      <c r="P221" s="586"/>
      <c r="Q221" s="982" t="str">
        <f>IF(OR(AB330=0,AB330=""),"",AB330)</f>
        <v/>
      </c>
      <c r="R221" s="61"/>
      <c r="S221" s="73"/>
      <c r="T221" s="73"/>
      <c r="U221" s="73"/>
      <c r="V221" s="73"/>
      <c r="W221" s="447"/>
      <c r="X221" s="962" t="s">
        <v>533</v>
      </c>
      <c r="Y221" s="974"/>
      <c r="Z221" s="785"/>
      <c r="AA221" s="785"/>
      <c r="AB221" s="1484">
        <v>8.6907075314962889E-2</v>
      </c>
      <c r="AC221" s="797" t="str">
        <f t="shared" si="27"/>
        <v>Change</v>
      </c>
      <c r="AD221" s="1631" t="str">
        <f t="shared" si="29"/>
        <v/>
      </c>
      <c r="AE221" s="785" t="s">
        <v>941</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8">
        <v>24</v>
      </c>
      <c r="B222" s="159"/>
      <c r="C222" s="881" t="str">
        <f>IF(LEN(O215)&lt;=265,"",RIGHT(O215,LEN(O215)-SEARCH(" ",O215,255)))</f>
        <v/>
      </c>
      <c r="D222" s="513"/>
      <c r="E222" s="513"/>
      <c r="F222" s="513"/>
      <c r="G222" s="513"/>
      <c r="H222" s="513"/>
      <c r="I222" s="513"/>
      <c r="J222" s="513"/>
      <c r="K222" s="85"/>
      <c r="L222" s="981" t="s">
        <v>533</v>
      </c>
      <c r="M222" s="143"/>
      <c r="N222" s="876" t="s">
        <v>373</v>
      </c>
      <c r="O222" s="1565"/>
      <c r="P222" s="877">
        <f>LEN(O221)</f>
        <v>0</v>
      </c>
      <c r="Q222" s="984"/>
      <c r="R222" s="987">
        <f>LEN(Q221)</f>
        <v>0</v>
      </c>
      <c r="S222" s="61"/>
      <c r="T222" s="61"/>
      <c r="U222" s="61"/>
      <c r="V222" s="61"/>
      <c r="W222" s="444"/>
      <c r="X222" s="962" t="s">
        <v>533</v>
      </c>
      <c r="Y222" s="974"/>
      <c r="Z222" s="785"/>
      <c r="AA222" s="785"/>
      <c r="AB222" s="1484">
        <v>0.11829707339368149</v>
      </c>
      <c r="AC222" s="797" t="str">
        <f t="shared" si="27"/>
        <v>Change</v>
      </c>
      <c r="AD222" s="1631" t="str">
        <f t="shared" si="29"/>
        <v/>
      </c>
      <c r="AE222" s="785" t="s">
        <v>942</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8">
        <v>25</v>
      </c>
      <c r="B223" s="159"/>
      <c r="C223" s="881" t="str">
        <f>IF(O217="","",IF(LEN(O217)&lt;=135,O217,IF(LEN(O217)&lt;=260,LEFT(O217,SEARCH(" ",O217,125)),LEFT(O217,SEARCH(" ",O217,130)))))</f>
        <v/>
      </c>
      <c r="D223" s="513"/>
      <c r="E223" s="513"/>
      <c r="F223" s="513"/>
      <c r="G223" s="513"/>
      <c r="H223" s="513"/>
      <c r="I223" s="513"/>
      <c r="J223" s="513"/>
      <c r="K223" s="85"/>
      <c r="L223" s="981" t="s">
        <v>533</v>
      </c>
      <c r="M223" s="101"/>
      <c r="N223" s="187" t="s">
        <v>151</v>
      </c>
      <c r="O223" s="1564"/>
      <c r="P223" s="586"/>
      <c r="Q223" s="982" t="str">
        <f>IF(OR(AB332=0,AB332=""),"",AB332)</f>
        <v/>
      </c>
      <c r="R223" s="61"/>
      <c r="S223" s="61"/>
      <c r="T223" s="61"/>
      <c r="U223" s="61"/>
      <c r="V223" s="61"/>
      <c r="W223" s="444"/>
      <c r="X223" s="962" t="s">
        <v>533</v>
      </c>
      <c r="Y223" s="974"/>
      <c r="Z223" s="785"/>
      <c r="AA223" s="785"/>
      <c r="AB223" s="1484">
        <v>0.11829707339368149</v>
      </c>
      <c r="AC223" s="797" t="str">
        <f t="shared" si="27"/>
        <v>Change</v>
      </c>
      <c r="AD223" s="1631" t="str">
        <f t="shared" si="29"/>
        <v/>
      </c>
      <c r="AE223" s="785" t="s">
        <v>943</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533</v>
      </c>
      <c r="M224" s="451"/>
      <c r="N224" s="876" t="s">
        <v>373</v>
      </c>
      <c r="O224" s="1565"/>
      <c r="P224" s="877">
        <f>LEN(O223)</f>
        <v>0</v>
      </c>
      <c r="Q224" s="984"/>
      <c r="R224" s="987">
        <f>LEN(Q223)</f>
        <v>0</v>
      </c>
      <c r="S224" s="73"/>
      <c r="T224" s="73"/>
      <c r="U224" s="73"/>
      <c r="V224" s="73"/>
      <c r="W224" s="447"/>
      <c r="X224" s="962" t="s">
        <v>533</v>
      </c>
      <c r="Y224" s="974"/>
      <c r="Z224" s="785"/>
      <c r="AA224" s="791" t="s">
        <v>1232</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8">
        <v>27</v>
      </c>
      <c r="B225" s="159"/>
      <c r="C225" s="881" t="str">
        <f>IF(LEN(O217)&lt;=265,"",RIGHT(O217,LEN(O217)-SEARCH(" ",O217,255)))</f>
        <v/>
      </c>
      <c r="D225" s="513"/>
      <c r="E225" s="513"/>
      <c r="F225" s="513"/>
      <c r="G225" s="513"/>
      <c r="H225" s="513"/>
      <c r="I225" s="513"/>
      <c r="J225" s="513"/>
      <c r="K225" s="85"/>
      <c r="L225" s="981" t="s">
        <v>533</v>
      </c>
      <c r="M225" s="143"/>
      <c r="N225" s="187" t="s">
        <v>151</v>
      </c>
      <c r="O225" s="1564"/>
      <c r="P225" s="586"/>
      <c r="Q225" s="982" t="str">
        <f>IF(OR(AB334=0,AB334=""),"",AB334)</f>
        <v/>
      </c>
      <c r="R225" s="61"/>
      <c r="S225" s="61"/>
      <c r="T225" s="61"/>
      <c r="U225" s="61"/>
      <c r="V225" s="61"/>
      <c r="W225" s="444"/>
      <c r="X225" s="962" t="s">
        <v>533</v>
      </c>
      <c r="Y225" s="974"/>
      <c r="Z225" s="785"/>
      <c r="AA225" s="784" t="s">
        <v>73</v>
      </c>
      <c r="AB225" s="1524">
        <v>2.3947908059367452E-2</v>
      </c>
      <c r="AC225" s="797" t="str">
        <f t="shared" ref="AC225:AC232" si="30">IF(AND(OR(AB225="",AB225=0),OR(AD225="",AD225=0)),"",IF(AB225&lt;&gt;AD225,"Change",""))</f>
        <v>Change</v>
      </c>
      <c r="AD225" s="1514"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8">
        <v>28</v>
      </c>
      <c r="B226" s="159"/>
      <c r="C226" s="881" t="str">
        <f>IF(O219="","",IF(LEN(O219)&lt;=135,O219,IF(LEN(O219)&lt;=260,LEFT(O219,SEARCH(" ",O219,125)),LEFT(O219,SEARCH(" ",O219,130)))))</f>
        <v/>
      </c>
      <c r="D226" s="513"/>
      <c r="E226" s="513"/>
      <c r="F226" s="513"/>
      <c r="G226" s="513"/>
      <c r="H226" s="513"/>
      <c r="I226" s="513"/>
      <c r="J226" s="513"/>
      <c r="K226" s="85"/>
      <c r="L226" s="981" t="s">
        <v>533</v>
      </c>
      <c r="M226" s="101"/>
      <c r="N226" s="876" t="s">
        <v>373</v>
      </c>
      <c r="O226" s="1565"/>
      <c r="P226" s="877">
        <f>LEN(O225)</f>
        <v>0</v>
      </c>
      <c r="Q226" s="984"/>
      <c r="R226" s="987">
        <f>LEN(Q225)</f>
        <v>0</v>
      </c>
      <c r="S226" s="61"/>
      <c r="T226" s="61"/>
      <c r="U226" s="61"/>
      <c r="V226" s="61"/>
      <c r="W226" s="444"/>
      <c r="X226" s="962" t="s">
        <v>533</v>
      </c>
      <c r="Y226" s="974"/>
      <c r="Z226" s="785"/>
      <c r="AA226" s="784" t="s">
        <v>74</v>
      </c>
      <c r="AB226" s="1524">
        <v>6.8357695581775556E-3</v>
      </c>
      <c r="AC226" s="797" t="str">
        <f t="shared" si="30"/>
        <v>Change</v>
      </c>
      <c r="AD226" s="1514"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533</v>
      </c>
      <c r="M227" s="451"/>
      <c r="N227" s="187" t="s">
        <v>151</v>
      </c>
      <c r="O227" s="1564"/>
      <c r="P227" s="586"/>
      <c r="Q227" s="982" t="str">
        <f>IF(OR(AB336=0,AB336=""),"",AB336)</f>
        <v/>
      </c>
      <c r="R227" s="61"/>
      <c r="S227" s="73"/>
      <c r="T227" s="73"/>
      <c r="U227" s="73"/>
      <c r="V227" s="73"/>
      <c r="W227" s="447"/>
      <c r="X227" s="962" t="s">
        <v>533</v>
      </c>
      <c r="Y227" s="974"/>
      <c r="Z227" s="785"/>
      <c r="AA227" s="784" t="s">
        <v>75</v>
      </c>
      <c r="AB227" s="1524">
        <v>-1.8458107612929799E-2</v>
      </c>
      <c r="AC227" s="797" t="str">
        <f t="shared" si="30"/>
        <v>Change</v>
      </c>
      <c r="AD227" s="1514"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8">
        <v>30</v>
      </c>
      <c r="B228" s="159"/>
      <c r="C228" s="881" t="str">
        <f>IF(LEN(O219)&lt;=265,"",RIGHT(O219,LEN(O219)-SEARCH(" ",O219,255)))</f>
        <v/>
      </c>
      <c r="D228" s="513"/>
      <c r="E228" s="513"/>
      <c r="F228" s="513"/>
      <c r="G228" s="513"/>
      <c r="H228" s="513"/>
      <c r="I228" s="513"/>
      <c r="J228" s="513"/>
      <c r="K228" s="85"/>
      <c r="L228" s="981" t="s">
        <v>533</v>
      </c>
      <c r="M228" s="143"/>
      <c r="N228" s="876" t="s">
        <v>373</v>
      </c>
      <c r="O228" s="1565"/>
      <c r="P228" s="877">
        <f>LEN(O227)</f>
        <v>0</v>
      </c>
      <c r="Q228" s="984"/>
      <c r="R228" s="987">
        <f>LEN(Q227)</f>
        <v>0</v>
      </c>
      <c r="S228" s="61"/>
      <c r="T228" s="61"/>
      <c r="U228" s="61"/>
      <c r="V228" s="61"/>
      <c r="W228" s="444"/>
      <c r="X228" s="962" t="s">
        <v>533</v>
      </c>
      <c r="Y228" s="974"/>
      <c r="Z228" s="785"/>
      <c r="AA228" s="784" t="s">
        <v>76</v>
      </c>
      <c r="AB228" s="1524">
        <v>3.9136493145644435E-2</v>
      </c>
      <c r="AC228" s="797" t="str">
        <f t="shared" si="30"/>
        <v>Change</v>
      </c>
      <c r="AD228" s="1514"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8">
        <v>31</v>
      </c>
      <c r="B229" s="159"/>
      <c r="C229" s="881" t="str">
        <f>IF(O221="","",IF(LEN(O221)&lt;=135,O221,IF(LEN(O221)&lt;=260,LEFT(O221,SEARCH(" ",O221,125)),LEFT(O221,SEARCH(" ",O221,130)))))</f>
        <v/>
      </c>
      <c r="D229" s="513"/>
      <c r="E229" s="513"/>
      <c r="F229" s="513"/>
      <c r="G229" s="513"/>
      <c r="H229" s="513"/>
      <c r="I229" s="513"/>
      <c r="J229" s="513"/>
      <c r="K229" s="85"/>
      <c r="L229" s="981" t="s">
        <v>533</v>
      </c>
      <c r="M229" s="101"/>
      <c r="N229" s="187" t="s">
        <v>151</v>
      </c>
      <c r="O229" s="1564"/>
      <c r="P229" s="586"/>
      <c r="Q229" s="982" t="str">
        <f>IF(OR(AB338=0,AB338=""),"",AB338)</f>
        <v/>
      </c>
      <c r="R229" s="61"/>
      <c r="S229" s="61"/>
      <c r="T229" s="61"/>
      <c r="U229" s="61"/>
      <c r="V229" s="61"/>
      <c r="W229" s="444"/>
      <c r="X229" s="962" t="s">
        <v>533</v>
      </c>
      <c r="Y229" s="974"/>
      <c r="Z229" s="785"/>
      <c r="AA229" s="784" t="s">
        <v>77</v>
      </c>
      <c r="AB229" s="1524">
        <v>1.0364414104073221E-2</v>
      </c>
      <c r="AC229" s="797" t="str">
        <f t="shared" si="30"/>
        <v>Change</v>
      </c>
      <c r="AD229" s="1514"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533</v>
      </c>
      <c r="M230" s="451"/>
      <c r="N230" s="876" t="s">
        <v>373</v>
      </c>
      <c r="O230" s="1565"/>
      <c r="P230" s="877">
        <f>LEN(O229)</f>
        <v>0</v>
      </c>
      <c r="Q230" s="984"/>
      <c r="R230" s="987">
        <f>LEN(Q229)</f>
        <v>0</v>
      </c>
      <c r="S230" s="73"/>
      <c r="T230" s="73"/>
      <c r="U230" s="73"/>
      <c r="V230" s="73"/>
      <c r="W230" s="447"/>
      <c r="X230" s="962" t="s">
        <v>533</v>
      </c>
      <c r="Y230" s="974"/>
      <c r="Z230" s="785"/>
      <c r="AA230" s="784" t="s">
        <v>78</v>
      </c>
      <c r="AB230" s="1524">
        <v>-6.7419441880275849E-2</v>
      </c>
      <c r="AC230" s="797" t="str">
        <f t="shared" si="30"/>
        <v>Change</v>
      </c>
      <c r="AD230" s="1514"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8">
        <v>33</v>
      </c>
      <c r="B231" s="159"/>
      <c r="C231" s="881" t="str">
        <f>IF(LEN(O221)&lt;=265,"",RIGHT(O221,LEN(O221)-SEARCH(" ",O221,255)))</f>
        <v/>
      </c>
      <c r="D231" s="513"/>
      <c r="E231" s="513"/>
      <c r="F231" s="513"/>
      <c r="G231" s="513"/>
      <c r="H231" s="513"/>
      <c r="I231" s="513"/>
      <c r="J231" s="513"/>
      <c r="K231" s="85"/>
      <c r="L231" s="981" t="s">
        <v>533</v>
      </c>
      <c r="M231" s="159"/>
      <c r="N231" s="187" t="s">
        <v>151</v>
      </c>
      <c r="O231" s="1564"/>
      <c r="P231" s="586"/>
      <c r="Q231" s="982" t="str">
        <f>IF(OR(AB340=0,AB340=""),"",AB340)</f>
        <v/>
      </c>
      <c r="R231" s="61"/>
      <c r="S231" s="73"/>
      <c r="T231" s="73"/>
      <c r="U231" s="73"/>
      <c r="V231" s="73"/>
      <c r="W231" s="85"/>
      <c r="X231" s="962" t="s">
        <v>533</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8">
        <v>34</v>
      </c>
      <c r="B232" s="159"/>
      <c r="C232" s="881" t="str">
        <f>IF(O223="","",IF(LEN(O223)&lt;=135,O223,IF(LEN(O223)&lt;=260,LEFT(O223,SEARCH(" ",O223,125)),LEFT(O223,SEARCH(" ",O223,130)))))</f>
        <v/>
      </c>
      <c r="D232" s="513"/>
      <c r="E232" s="513"/>
      <c r="F232" s="513"/>
      <c r="G232" s="513"/>
      <c r="H232" s="513"/>
      <c r="I232" s="513"/>
      <c r="J232" s="513"/>
      <c r="K232" s="85"/>
      <c r="L232" s="981" t="s">
        <v>533</v>
      </c>
      <c r="M232" s="159"/>
      <c r="N232" s="876" t="s">
        <v>373</v>
      </c>
      <c r="O232" s="1565"/>
      <c r="P232" s="877">
        <f>LEN(O231)</f>
        <v>0</v>
      </c>
      <c r="Q232" s="984"/>
      <c r="R232" s="987">
        <f>LEN(Q231)</f>
        <v>0</v>
      </c>
      <c r="S232" s="61"/>
      <c r="T232" s="61"/>
      <c r="U232" s="61"/>
      <c r="V232" s="61"/>
      <c r="W232" s="85"/>
      <c r="X232" s="962" t="s">
        <v>533</v>
      </c>
      <c r="Y232" s="974"/>
      <c r="Z232" s="785"/>
      <c r="AA232" s="791" t="s">
        <v>682</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533</v>
      </c>
      <c r="M233" s="159"/>
      <c r="N233" s="187" t="s">
        <v>151</v>
      </c>
      <c r="O233" s="1564"/>
      <c r="P233" s="586"/>
      <c r="Q233" s="982" t="str">
        <f>IF(OR(AB342=0,AB342=""),"",AB342)</f>
        <v/>
      </c>
      <c r="R233" s="61"/>
      <c r="S233" s="73"/>
      <c r="T233" s="73"/>
      <c r="U233" s="73"/>
      <c r="V233" s="73"/>
      <c r="W233" s="85"/>
      <c r="X233" s="962" t="s">
        <v>533</v>
      </c>
      <c r="Y233" s="974"/>
      <c r="Z233" s="785"/>
      <c r="AA233" s="784" t="s">
        <v>683</v>
      </c>
      <c r="AB233" s="1482">
        <v>4.7</v>
      </c>
      <c r="AC233" s="797" t="str">
        <f t="shared" ref="AC233:AC271" si="31">IF(AND(OR(AB233="",AB233=0),OR(AD233="",AD233=0)),"",IF(AB233&lt;&gt;AD233,"Change",""))</f>
        <v/>
      </c>
      <c r="AD233" s="1509">
        <f>M1456</f>
        <v>4.7</v>
      </c>
      <c r="AE233" s="785" t="s">
        <v>377</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8">
        <v>36</v>
      </c>
      <c r="B234" s="159"/>
      <c r="C234" s="881" t="str">
        <f>IF(LEN(O223)&lt;=265,"",RIGHT(O223,LEN(O223)-SEARCH(" ",O223,255)))</f>
        <v/>
      </c>
      <c r="D234" s="513"/>
      <c r="E234" s="513"/>
      <c r="F234" s="513"/>
      <c r="G234" s="513"/>
      <c r="H234" s="513"/>
      <c r="I234" s="513"/>
      <c r="J234" s="513"/>
      <c r="K234" s="85"/>
      <c r="L234" s="981" t="s">
        <v>533</v>
      </c>
      <c r="M234" s="159"/>
      <c r="N234" s="876" t="s">
        <v>373</v>
      </c>
      <c r="O234" s="1565"/>
      <c r="P234" s="877">
        <f>LEN(O233)</f>
        <v>0</v>
      </c>
      <c r="Q234" s="984"/>
      <c r="R234" s="987">
        <f>LEN(Q233)</f>
        <v>0</v>
      </c>
      <c r="S234" s="73"/>
      <c r="T234" s="73"/>
      <c r="U234" s="73"/>
      <c r="V234" s="73"/>
      <c r="W234" s="85"/>
      <c r="X234" s="962" t="s">
        <v>533</v>
      </c>
      <c r="Y234" s="974"/>
      <c r="Z234" s="785"/>
      <c r="AA234" s="785" t="s">
        <v>684</v>
      </c>
      <c r="AB234" s="1482">
        <v>400</v>
      </c>
      <c r="AC234" s="797" t="str">
        <f t="shared" si="31"/>
        <v/>
      </c>
      <c r="AD234" s="1505">
        <f>M1457</f>
        <v>400</v>
      </c>
      <c r="AE234" s="785" t="s">
        <v>379</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8">
        <v>37</v>
      </c>
      <c r="B235" s="159"/>
      <c r="C235" s="881" t="str">
        <f>IF(O225="","",IF(LEN(O225)&lt;=135,O225,IF(LEN(O225)&lt;=260,LEFT(O225,SEARCH(" ",O225,125)),LEFT(O225,SEARCH(" ",O225,130)))))</f>
        <v/>
      </c>
      <c r="D235" s="513"/>
      <c r="E235" s="513"/>
      <c r="F235" s="513"/>
      <c r="G235" s="513"/>
      <c r="H235" s="513"/>
      <c r="I235" s="513"/>
      <c r="J235" s="513"/>
      <c r="K235" s="85"/>
      <c r="L235" s="981" t="s">
        <v>533</v>
      </c>
      <c r="M235" s="159"/>
      <c r="N235" s="187" t="s">
        <v>151</v>
      </c>
      <c r="O235" s="1564"/>
      <c r="P235" s="586"/>
      <c r="Q235" s="982" t="str">
        <f>IF(OR(AB344=0,AB344=""),"",AB344)</f>
        <v/>
      </c>
      <c r="R235" s="61"/>
      <c r="S235" s="61"/>
      <c r="T235" s="61"/>
      <c r="U235" s="61"/>
      <c r="V235" s="61"/>
      <c r="W235" s="85"/>
      <c r="X235" s="962" t="s">
        <v>533</v>
      </c>
      <c r="Y235" s="974"/>
      <c r="Z235" s="785"/>
      <c r="AA235" s="785" t="s">
        <v>685</v>
      </c>
      <c r="AB235" s="1482">
        <v>200</v>
      </c>
      <c r="AC235" s="797" t="str">
        <f t="shared" si="31"/>
        <v/>
      </c>
      <c r="AD235" s="1505">
        <f>M1458</f>
        <v>200</v>
      </c>
      <c r="AE235" s="785" t="s">
        <v>380</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533</v>
      </c>
      <c r="M236" s="159"/>
      <c r="N236" s="876" t="s">
        <v>373</v>
      </c>
      <c r="O236" s="1565"/>
      <c r="P236" s="877">
        <f>LEN(O235)</f>
        <v>0</v>
      </c>
      <c r="Q236" s="984"/>
      <c r="R236" s="987">
        <f>LEN(Q235)</f>
        <v>0</v>
      </c>
      <c r="S236" s="73"/>
      <c r="T236" s="73"/>
      <c r="U236" s="73"/>
      <c r="V236" s="73"/>
      <c r="W236" s="85"/>
      <c r="X236" s="962" t="s">
        <v>533</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8">
        <v>39</v>
      </c>
      <c r="B237" s="159"/>
      <c r="C237" s="881" t="str">
        <f>IF(LEN(O225)&lt;=265,"",RIGHT(O225,LEN(O225)-SEARCH(" ",O225,255)))</f>
        <v/>
      </c>
      <c r="D237" s="513"/>
      <c r="E237" s="513"/>
      <c r="F237" s="513"/>
      <c r="G237" s="513"/>
      <c r="H237" s="513"/>
      <c r="I237" s="513"/>
      <c r="J237" s="513"/>
      <c r="K237" s="85"/>
      <c r="L237" s="981" t="s">
        <v>533</v>
      </c>
      <c r="M237" s="159"/>
      <c r="N237" s="187" t="s">
        <v>151</v>
      </c>
      <c r="O237" s="1564"/>
      <c r="P237" s="586"/>
      <c r="Q237" s="982" t="str">
        <f>IF(OR(AB346=0,AB346=""),"",AB346)</f>
        <v/>
      </c>
      <c r="R237" s="61"/>
      <c r="S237" s="73"/>
      <c r="T237" s="73"/>
      <c r="U237" s="73"/>
      <c r="V237" s="73"/>
      <c r="W237" s="85"/>
      <c r="X237" s="962" t="s">
        <v>533</v>
      </c>
      <c r="Y237" s="974"/>
      <c r="Z237" s="785"/>
      <c r="AA237" s="791" t="s">
        <v>676</v>
      </c>
      <c r="AB237" s="1482" t="s">
        <v>27</v>
      </c>
      <c r="AC237" s="797" t="str">
        <f t="shared" si="31"/>
        <v/>
      </c>
      <c r="AD237" s="1510" t="str">
        <f t="shared" ref="AD237:AD246" si="32">M1464</f>
        <v>CXR</v>
      </c>
      <c r="AE237" s="785" t="s">
        <v>944</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8">
        <v>40</v>
      </c>
      <c r="B238" s="159"/>
      <c r="C238" s="881" t="str">
        <f>IF(O227="","",IF(LEN(O227)&lt;=135,O227,IF(LEN(O227)&lt;=260,LEFT(O227,SEARCH(" ",O227,125)),LEFT(O227,SEARCH(" ",O227,130)))))</f>
        <v/>
      </c>
      <c r="D238" s="513"/>
      <c r="E238" s="513"/>
      <c r="F238" s="513"/>
      <c r="G238" s="513"/>
      <c r="H238" s="513"/>
      <c r="I238" s="513"/>
      <c r="J238" s="513"/>
      <c r="K238" s="85"/>
      <c r="L238" s="981" t="s">
        <v>533</v>
      </c>
      <c r="M238" s="159"/>
      <c r="N238" s="876" t="s">
        <v>373</v>
      </c>
      <c r="O238" s="1565"/>
      <c r="P238" s="877">
        <f>LEN(O237)</f>
        <v>0</v>
      </c>
      <c r="Q238" s="984"/>
      <c r="R238" s="987">
        <f>LEN(Q237)</f>
        <v>0</v>
      </c>
      <c r="S238" s="61"/>
      <c r="T238" s="61"/>
      <c r="U238" s="61"/>
      <c r="V238" s="61"/>
      <c r="W238" s="85"/>
      <c r="X238" s="962" t="s">
        <v>533</v>
      </c>
      <c r="Y238" s="974"/>
      <c r="Z238" s="785"/>
      <c r="AA238" s="785"/>
      <c r="AB238" s="1482" t="s">
        <v>43</v>
      </c>
      <c r="AC238" s="797" t="str">
        <f t="shared" si="31"/>
        <v/>
      </c>
      <c r="AD238" s="1510" t="str">
        <f t="shared" si="32"/>
        <v>Abdomen AP</v>
      </c>
      <c r="AE238" s="785" t="s">
        <v>945</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533</v>
      </c>
      <c r="M239" s="159"/>
      <c r="N239" s="187" t="s">
        <v>151</v>
      </c>
      <c r="O239" s="1564"/>
      <c r="P239" s="586"/>
      <c r="Q239" s="982" t="str">
        <f>IF(OR(AB348=0,AB348=""),"",AB348)</f>
        <v/>
      </c>
      <c r="R239" s="61"/>
      <c r="S239" s="73"/>
      <c r="T239" s="73"/>
      <c r="U239" s="73"/>
      <c r="V239" s="73"/>
      <c r="W239" s="85"/>
      <c r="X239" s="962" t="s">
        <v>533</v>
      </c>
      <c r="Y239" s="974"/>
      <c r="Z239" s="785"/>
      <c r="AA239" s="785"/>
      <c r="AB239" s="1482" t="s">
        <v>31</v>
      </c>
      <c r="AC239" s="797" t="str">
        <f t="shared" si="31"/>
        <v/>
      </c>
      <c r="AD239" s="1510" t="str">
        <f t="shared" si="32"/>
        <v>Ribs</v>
      </c>
      <c r="AE239" s="785" t="s">
        <v>946</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8">
        <v>42</v>
      </c>
      <c r="B240" s="159"/>
      <c r="C240" s="881" t="str">
        <f>IF(LEN(O227)&lt;=265,"",RIGHT(O227,LEN(O227)-SEARCH(" ",O227,255)))</f>
        <v/>
      </c>
      <c r="D240" s="513"/>
      <c r="E240" s="513"/>
      <c r="F240" s="513"/>
      <c r="G240" s="513"/>
      <c r="H240" s="513"/>
      <c r="I240" s="513"/>
      <c r="J240" s="513"/>
      <c r="K240" s="85"/>
      <c r="L240" s="981" t="s">
        <v>533</v>
      </c>
      <c r="M240" s="159"/>
      <c r="N240" s="876" t="s">
        <v>373</v>
      </c>
      <c r="O240" s="1565"/>
      <c r="P240" s="877">
        <f>LEN(O239)</f>
        <v>0</v>
      </c>
      <c r="Q240" s="984"/>
      <c r="R240" s="987">
        <f>LEN(Q239)</f>
        <v>0</v>
      </c>
      <c r="S240" s="73"/>
      <c r="T240" s="73"/>
      <c r="U240" s="73"/>
      <c r="V240" s="73"/>
      <c r="W240" s="85"/>
      <c r="X240" s="962" t="s">
        <v>533</v>
      </c>
      <c r="Y240" s="974"/>
      <c r="Z240" s="785"/>
      <c r="AA240" s="785"/>
      <c r="AB240" s="1482" t="s">
        <v>42</v>
      </c>
      <c r="AC240" s="797" t="str">
        <f t="shared" si="31"/>
        <v/>
      </c>
      <c r="AD240" s="1510" t="str">
        <f t="shared" si="32"/>
        <v>C-Spine AP</v>
      </c>
      <c r="AE240" s="785" t="s">
        <v>947</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8">
        <v>43</v>
      </c>
      <c r="B241" s="159"/>
      <c r="C241" s="881" t="str">
        <f>IF(O229="","",IF(LEN(O229)&lt;=135,O229,IF(LEN(O229)&lt;=260,LEFT(O229,SEARCH(" ",O229,125)),LEFT(O229,SEARCH(" ",O229,130)))))</f>
        <v/>
      </c>
      <c r="D241" s="513"/>
      <c r="E241" s="513"/>
      <c r="F241" s="513"/>
      <c r="G241" s="513"/>
      <c r="H241" s="513"/>
      <c r="I241" s="513"/>
      <c r="J241" s="513"/>
      <c r="K241" s="85"/>
      <c r="L241" s="981" t="s">
        <v>533</v>
      </c>
      <c r="M241" s="159"/>
      <c r="N241" s="187" t="s">
        <v>151</v>
      </c>
      <c r="O241" s="1564"/>
      <c r="P241" s="586"/>
      <c r="Q241" s="982" t="str">
        <f>IF(OR(AB350=0,AB350=""),"",AB350)</f>
        <v/>
      </c>
      <c r="R241" s="61"/>
      <c r="S241" s="61"/>
      <c r="T241" s="61"/>
      <c r="U241" s="61"/>
      <c r="V241" s="61"/>
      <c r="W241" s="85"/>
      <c r="X241" s="962" t="s">
        <v>533</v>
      </c>
      <c r="Y241" s="974"/>
      <c r="Z241" s="785"/>
      <c r="AA241" s="785"/>
      <c r="AB241" s="1482" t="s">
        <v>56</v>
      </c>
      <c r="AC241" s="797" t="str">
        <f t="shared" si="31"/>
        <v/>
      </c>
      <c r="AD241" s="1510" t="str">
        <f t="shared" si="32"/>
        <v>Skull</v>
      </c>
      <c r="AE241" s="785" t="s">
        <v>948</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533</v>
      </c>
      <c r="M242" s="159"/>
      <c r="N242" s="876" t="s">
        <v>373</v>
      </c>
      <c r="O242" s="877"/>
      <c r="P242" s="877">
        <f>LEN(O241)</f>
        <v>0</v>
      </c>
      <c r="Q242" s="984"/>
      <c r="R242" s="987">
        <f>LEN(Q241)</f>
        <v>0</v>
      </c>
      <c r="S242" s="73"/>
      <c r="T242" s="73"/>
      <c r="U242" s="73"/>
      <c r="V242" s="73"/>
      <c r="W242" s="85"/>
      <c r="X242" s="962" t="s">
        <v>533</v>
      </c>
      <c r="Y242" s="974"/>
      <c r="Z242" s="785"/>
      <c r="AA242" s="785"/>
      <c r="AB242" s="1482" t="s">
        <v>38</v>
      </c>
      <c r="AC242" s="797" t="str">
        <f t="shared" si="31"/>
        <v/>
      </c>
      <c r="AD242" s="1510" t="str">
        <f t="shared" si="32"/>
        <v>Foot</v>
      </c>
      <c r="AE242" s="785" t="s">
        <v>949</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8">
        <v>45</v>
      </c>
      <c r="B243" s="159"/>
      <c r="C243" s="881" t="str">
        <f>IF(LEN(O229)&lt;=265,"",RIGHT(O229,LEN(O229)-SEARCH(" ",O229,255)))</f>
        <v/>
      </c>
      <c r="D243" s="513"/>
      <c r="E243" s="513"/>
      <c r="F243" s="513"/>
      <c r="G243" s="513"/>
      <c r="H243" s="513"/>
      <c r="I243" s="513"/>
      <c r="J243" s="513"/>
      <c r="K243" s="85"/>
      <c r="L243" s="981" t="s">
        <v>533</v>
      </c>
      <c r="M243" s="159"/>
      <c r="N243" s="734"/>
      <c r="O243" s="734"/>
      <c r="P243" s="734"/>
      <c r="Q243" s="731"/>
      <c r="R243" s="731"/>
      <c r="S243" s="731"/>
      <c r="T243" s="731"/>
      <c r="U243" s="731"/>
      <c r="V243" s="731"/>
      <c r="W243" s="85"/>
      <c r="X243" s="962" t="s">
        <v>533</v>
      </c>
      <c r="Y243" s="974"/>
      <c r="Z243" s="785"/>
      <c r="AA243" s="785"/>
      <c r="AB243" s="1482" t="s">
        <v>39</v>
      </c>
      <c r="AC243" s="797" t="str">
        <f t="shared" si="31"/>
        <v/>
      </c>
      <c r="AD243" s="1510" t="str">
        <f t="shared" si="32"/>
        <v>Knee</v>
      </c>
      <c r="AE243" s="785" t="s">
        <v>950</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8">
        <v>46</v>
      </c>
      <c r="B244" s="159"/>
      <c r="C244" s="881" t="str">
        <f>IF(O231="","",IF(LEN(O231)&lt;=135,O231,IF(LEN(O231)&lt;=260,LEFT(O231,SEARCH(" ",O231,125)),LEFT(O231,SEARCH(" ",O231,130)))))</f>
        <v/>
      </c>
      <c r="D244" s="513"/>
      <c r="E244" s="513"/>
      <c r="F244" s="513"/>
      <c r="G244" s="513"/>
      <c r="H244" s="513"/>
      <c r="I244" s="513"/>
      <c r="J244" s="513"/>
      <c r="K244" s="85"/>
      <c r="L244" s="981" t="s">
        <v>533</v>
      </c>
      <c r="M244" s="159"/>
      <c r="N244" s="729"/>
      <c r="O244" s="729"/>
      <c r="P244" s="729"/>
      <c r="Q244" s="730"/>
      <c r="R244" s="730"/>
      <c r="S244" s="730"/>
      <c r="T244" s="730"/>
      <c r="U244" s="730"/>
      <c r="V244" s="730"/>
      <c r="W244" s="85"/>
      <c r="X244" s="962" t="s">
        <v>533</v>
      </c>
      <c r="Y244" s="974"/>
      <c r="Z244" s="785"/>
      <c r="AA244" s="785"/>
      <c r="AB244" s="1482" t="s">
        <v>44</v>
      </c>
      <c r="AC244" s="797" t="str">
        <f t="shared" si="31"/>
        <v/>
      </c>
      <c r="AD244" s="1510" t="str">
        <f t="shared" si="32"/>
        <v>Pelvis AP</v>
      </c>
      <c r="AE244" s="785" t="s">
        <v>951</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533</v>
      </c>
      <c r="M245" s="159"/>
      <c r="N245" s="729"/>
      <c r="O245" s="729"/>
      <c r="P245" s="729"/>
      <c r="Q245" s="730"/>
      <c r="R245" s="730"/>
      <c r="S245" s="730"/>
      <c r="T245" s="730"/>
      <c r="U245" s="730"/>
      <c r="V245" s="730"/>
      <c r="W245" s="85"/>
      <c r="X245" s="962" t="s">
        <v>533</v>
      </c>
      <c r="Y245" s="974"/>
      <c r="Z245" s="785"/>
      <c r="AA245" s="785"/>
      <c r="AB245" s="1482" t="s">
        <v>45</v>
      </c>
      <c r="AC245" s="797" t="str">
        <f t="shared" si="31"/>
        <v/>
      </c>
      <c r="AD245" s="1510" t="str">
        <f t="shared" si="32"/>
        <v>Shoulder</v>
      </c>
      <c r="AE245" s="785" t="s">
        <v>952</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8">
        <v>48</v>
      </c>
      <c r="B246" s="159"/>
      <c r="C246" s="881" t="str">
        <f>IF(LEN(O231)&lt;=265,"",RIGHT(O231,LEN(O231)-SEARCH(" ",O231,255)))</f>
        <v/>
      </c>
      <c r="D246" s="513"/>
      <c r="E246" s="513"/>
      <c r="F246" s="513"/>
      <c r="G246" s="513"/>
      <c r="H246" s="513"/>
      <c r="I246" s="513"/>
      <c r="J246" s="513"/>
      <c r="K246" s="85"/>
      <c r="L246" s="981" t="s">
        <v>533</v>
      </c>
      <c r="M246" s="159"/>
      <c r="N246" s="729"/>
      <c r="O246" s="729"/>
      <c r="P246" s="729"/>
      <c r="Q246" s="730"/>
      <c r="R246" s="730"/>
      <c r="S246" s="730"/>
      <c r="T246" s="730"/>
      <c r="U246" s="730"/>
      <c r="V246" s="730"/>
      <c r="W246" s="85"/>
      <c r="X246" s="962" t="s">
        <v>533</v>
      </c>
      <c r="Y246" s="974"/>
      <c r="Z246" s="785"/>
      <c r="AA246" s="785"/>
      <c r="AB246" s="1482" t="s">
        <v>46</v>
      </c>
      <c r="AC246" s="797" t="str">
        <f t="shared" si="31"/>
        <v/>
      </c>
      <c r="AD246" s="1510" t="str">
        <f t="shared" si="32"/>
        <v>LS Spine AP</v>
      </c>
      <c r="AE246" s="785" t="s">
        <v>953</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8">
        <v>49</v>
      </c>
      <c r="B247" s="159"/>
      <c r="C247" s="881" t="str">
        <f>IF(O233="","",IF(LEN(O233)&lt;=135,O233,IF(LEN(O233)&lt;=260,LEFT(O233,SEARCH(" ",O233,125)),LEFT(O233,SEARCH(" ",O233,130)))))</f>
        <v/>
      </c>
      <c r="D247" s="513"/>
      <c r="E247" s="513"/>
      <c r="F247" s="513"/>
      <c r="G247" s="513"/>
      <c r="H247" s="513"/>
      <c r="I247" s="513"/>
      <c r="J247" s="513"/>
      <c r="K247" s="85"/>
      <c r="L247" s="981" t="s">
        <v>533</v>
      </c>
      <c r="M247" s="159"/>
      <c r="N247" s="729"/>
      <c r="O247" s="729"/>
      <c r="P247" s="729"/>
      <c r="Q247" s="728" t="s">
        <v>356</v>
      </c>
      <c r="R247" s="122"/>
      <c r="S247" s="122"/>
      <c r="T247" s="729"/>
      <c r="U247" s="730"/>
      <c r="V247" s="730"/>
      <c r="W247" s="85"/>
      <c r="X247" s="962" t="s">
        <v>533</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533</v>
      </c>
      <c r="M248" s="159"/>
      <c r="N248" s="729"/>
      <c r="O248" s="729"/>
      <c r="P248" s="729"/>
      <c r="Q248" s="730"/>
      <c r="R248" s="729"/>
      <c r="S248" s="730"/>
      <c r="T248" s="729"/>
      <c r="U248" s="730"/>
      <c r="V248" s="730"/>
      <c r="W248" s="85"/>
      <c r="X248" s="962" t="s">
        <v>533</v>
      </c>
      <c r="Y248" s="974"/>
      <c r="Z248" s="785"/>
      <c r="AA248" s="791" t="s">
        <v>677</v>
      </c>
      <c r="AB248" s="1482" t="s">
        <v>26</v>
      </c>
      <c r="AC248" s="797" t="str">
        <f t="shared" si="31"/>
        <v/>
      </c>
      <c r="AD248" s="1510" t="str">
        <f t="shared" ref="AD248:AD257" si="33">N1464</f>
        <v>Yes</v>
      </c>
      <c r="AE248" s="785" t="s">
        <v>954</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8">
        <v>51</v>
      </c>
      <c r="B249" s="159"/>
      <c r="C249" s="881" t="str">
        <f>IF(LEN(O233)&lt;=265,"",RIGHT(O233,LEN(O233)-SEARCH(" ",O233,255)))</f>
        <v/>
      </c>
      <c r="D249" s="513"/>
      <c r="E249" s="513"/>
      <c r="F249" s="513"/>
      <c r="G249" s="513"/>
      <c r="H249" s="513"/>
      <c r="I249" s="513"/>
      <c r="J249" s="513"/>
      <c r="K249" s="85"/>
      <c r="L249" s="981" t="s">
        <v>533</v>
      </c>
      <c r="M249" s="159"/>
      <c r="N249" s="729"/>
      <c r="O249" s="729"/>
      <c r="P249" s="729"/>
      <c r="Q249" s="730"/>
      <c r="R249" s="729"/>
      <c r="S249" s="730"/>
      <c r="T249" s="729"/>
      <c r="U249" s="730"/>
      <c r="V249" s="730"/>
      <c r="W249" s="85"/>
      <c r="X249" s="962" t="s">
        <v>533</v>
      </c>
      <c r="Y249" s="974"/>
      <c r="Z249" s="785"/>
      <c r="AA249" s="785"/>
      <c r="AB249" s="1482" t="s">
        <v>26</v>
      </c>
      <c r="AC249" s="797" t="str">
        <f t="shared" si="31"/>
        <v/>
      </c>
      <c r="AD249" s="1510" t="str">
        <f t="shared" si="33"/>
        <v>Yes</v>
      </c>
      <c r="AE249" s="785" t="s">
        <v>955</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8">
        <v>52</v>
      </c>
      <c r="B250" s="159"/>
      <c r="C250" s="881" t="str">
        <f>IF(O235="","",IF(LEN(O235)&lt;=135,O235,IF(LEN(O235)&lt;=260,LEFT(O235,SEARCH(" ",O235,125)),LEFT(O235,SEARCH(" ",O235,130)))))</f>
        <v/>
      </c>
      <c r="D250" s="513"/>
      <c r="E250" s="513"/>
      <c r="F250" s="513"/>
      <c r="G250" s="513"/>
      <c r="H250" s="513"/>
      <c r="I250" s="513"/>
      <c r="J250" s="513"/>
      <c r="K250" s="85"/>
      <c r="L250" s="981" t="s">
        <v>533</v>
      </c>
      <c r="M250" s="159"/>
      <c r="N250" s="729"/>
      <c r="O250" s="729"/>
      <c r="P250" s="729"/>
      <c r="Q250" s="730"/>
      <c r="R250" s="729"/>
      <c r="S250" s="730"/>
      <c r="T250" s="729"/>
      <c r="U250" s="730"/>
      <c r="V250" s="730"/>
      <c r="W250" s="85"/>
      <c r="X250" s="962" t="s">
        <v>533</v>
      </c>
      <c r="Y250" s="974"/>
      <c r="Z250" s="785"/>
      <c r="AA250" s="785"/>
      <c r="AB250" s="1482" t="s">
        <v>26</v>
      </c>
      <c r="AC250" s="797" t="str">
        <f t="shared" si="31"/>
        <v/>
      </c>
      <c r="AD250" s="1510" t="str">
        <f t="shared" si="33"/>
        <v>Yes</v>
      </c>
      <c r="AE250" s="785" t="s">
        <v>956</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533</v>
      </c>
      <c r="M251" s="159"/>
      <c r="N251" s="729"/>
      <c r="O251" s="729"/>
      <c r="P251" s="729"/>
      <c r="Q251" s="730"/>
      <c r="R251" s="729"/>
      <c r="S251" s="730"/>
      <c r="T251" s="729"/>
      <c r="U251" s="730"/>
      <c r="V251" s="730"/>
      <c r="W251" s="85"/>
      <c r="X251" s="962" t="s">
        <v>533</v>
      </c>
      <c r="Y251" s="974"/>
      <c r="Z251" s="785"/>
      <c r="AA251" s="785"/>
      <c r="AB251" s="1482" t="s">
        <v>26</v>
      </c>
      <c r="AC251" s="797" t="str">
        <f t="shared" si="31"/>
        <v/>
      </c>
      <c r="AD251" s="1510" t="str">
        <f t="shared" si="33"/>
        <v>Yes</v>
      </c>
      <c r="AE251" s="785" t="s">
        <v>957</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8">
        <v>54</v>
      </c>
      <c r="B252" s="159"/>
      <c r="C252" s="881" t="str">
        <f>IF(LEN(O235)&lt;=265,"",RIGHT(O235,LEN(O235)-SEARCH(" ",O235,255)))</f>
        <v/>
      </c>
      <c r="D252" s="513"/>
      <c r="E252" s="513"/>
      <c r="F252" s="513"/>
      <c r="G252" s="513"/>
      <c r="H252" s="513"/>
      <c r="I252" s="513"/>
      <c r="J252" s="513"/>
      <c r="K252" s="85"/>
      <c r="L252" s="981" t="s">
        <v>533</v>
      </c>
      <c r="M252" s="159"/>
      <c r="N252" s="729"/>
      <c r="O252" s="729"/>
      <c r="P252" s="729"/>
      <c r="Q252" s="730"/>
      <c r="R252" s="729"/>
      <c r="S252" s="730"/>
      <c r="T252" s="729"/>
      <c r="U252" s="730"/>
      <c r="V252" s="730"/>
      <c r="W252" s="85"/>
      <c r="X252" s="962" t="s">
        <v>533</v>
      </c>
      <c r="Y252" s="974"/>
      <c r="Z252" s="785"/>
      <c r="AA252" s="785"/>
      <c r="AB252" s="1482" t="s">
        <v>26</v>
      </c>
      <c r="AC252" s="797" t="str">
        <f t="shared" si="31"/>
        <v/>
      </c>
      <c r="AD252" s="1510" t="str">
        <f t="shared" si="33"/>
        <v>Yes</v>
      </c>
      <c r="AE252" s="785" t="s">
        <v>958</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8">
        <v>55</v>
      </c>
      <c r="B253" s="159"/>
      <c r="C253" s="881" t="str">
        <f>IF(O237="","",IF(LEN(O237)&lt;=135,O237,IF(LEN(O237)&lt;=260,LEFT(O237,SEARCH(" ",O237,125)),LEFT(O237,SEARCH(" ",O237,130)))))</f>
        <v/>
      </c>
      <c r="D253" s="513"/>
      <c r="E253" s="513"/>
      <c r="F253" s="513"/>
      <c r="G253" s="513"/>
      <c r="H253" s="513"/>
      <c r="I253" s="513"/>
      <c r="J253" s="513"/>
      <c r="K253" s="85"/>
      <c r="L253" s="981" t="s">
        <v>533</v>
      </c>
      <c r="M253" s="159"/>
      <c r="N253" s="729"/>
      <c r="O253" s="729"/>
      <c r="P253" s="729"/>
      <c r="Q253" s="730"/>
      <c r="R253" s="729"/>
      <c r="S253" s="730"/>
      <c r="T253" s="729"/>
      <c r="U253" s="730"/>
      <c r="V253" s="730"/>
      <c r="W253" s="85"/>
      <c r="X253" s="962" t="s">
        <v>533</v>
      </c>
      <c r="Y253" s="974"/>
      <c r="Z253" s="785"/>
      <c r="AA253" s="785"/>
      <c r="AB253" s="1482" t="s">
        <v>33</v>
      </c>
      <c r="AC253" s="797" t="str">
        <f t="shared" si="31"/>
        <v/>
      </c>
      <c r="AD253" s="1510" t="str">
        <f t="shared" si="33"/>
        <v>No</v>
      </c>
      <c r="AE253" s="785" t="s">
        <v>959</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533</v>
      </c>
      <c r="M254" s="159"/>
      <c r="N254" s="729"/>
      <c r="O254" s="729"/>
      <c r="P254" s="729"/>
      <c r="Q254" s="730"/>
      <c r="R254" s="729"/>
      <c r="S254" s="730"/>
      <c r="T254" s="729"/>
      <c r="U254" s="730"/>
      <c r="V254" s="730"/>
      <c r="W254" s="85"/>
      <c r="X254" s="962" t="s">
        <v>533</v>
      </c>
      <c r="Y254" s="974"/>
      <c r="Z254" s="785"/>
      <c r="AA254" s="785"/>
      <c r="AB254" s="1482" t="s">
        <v>33</v>
      </c>
      <c r="AC254" s="797" t="str">
        <f t="shared" si="31"/>
        <v/>
      </c>
      <c r="AD254" s="1510" t="str">
        <f t="shared" si="33"/>
        <v>No</v>
      </c>
      <c r="AE254" s="785" t="s">
        <v>960</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8">
        <v>57</v>
      </c>
      <c r="B255" s="159"/>
      <c r="C255" s="881" t="str">
        <f>IF(LEN(O237)&lt;=265,"",RIGHT(O237,LEN(O237)-SEARCH(" ",O237,255)))</f>
        <v/>
      </c>
      <c r="D255" s="513"/>
      <c r="E255" s="513"/>
      <c r="F255" s="513"/>
      <c r="G255" s="513"/>
      <c r="H255" s="513"/>
      <c r="I255" s="513"/>
      <c r="J255" s="513"/>
      <c r="K255" s="85"/>
      <c r="L255" s="981" t="s">
        <v>533</v>
      </c>
      <c r="M255" s="159"/>
      <c r="N255" s="729"/>
      <c r="O255" s="729"/>
      <c r="P255" s="729"/>
      <c r="Q255" s="730"/>
      <c r="R255" s="729"/>
      <c r="S255" s="730"/>
      <c r="T255" s="729"/>
      <c r="U255" s="730"/>
      <c r="V255" s="730"/>
      <c r="W255" s="85"/>
      <c r="X255" s="962" t="s">
        <v>533</v>
      </c>
      <c r="Y255" s="974"/>
      <c r="Z255" s="785"/>
      <c r="AA255" s="785"/>
      <c r="AB255" s="1482" t="s">
        <v>26</v>
      </c>
      <c r="AC255" s="797" t="str">
        <f t="shared" si="31"/>
        <v/>
      </c>
      <c r="AD255" s="1510" t="str">
        <f t="shared" si="33"/>
        <v>Yes</v>
      </c>
      <c r="AE255" s="785" t="s">
        <v>961</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8">
        <v>58</v>
      </c>
      <c r="B256" s="159"/>
      <c r="C256" s="881" t="str">
        <f>IF(O239="","",IF(LEN(O239)&lt;=135,O239,IF(LEN(O239)&lt;=260,LEFT(O239,SEARCH(" ",O239,125)),LEFT(O239,SEARCH(" ",O239,130)))))</f>
        <v/>
      </c>
      <c r="D256" s="513"/>
      <c r="E256" s="513"/>
      <c r="F256" s="513"/>
      <c r="G256" s="513"/>
      <c r="H256" s="513"/>
      <c r="I256" s="513"/>
      <c r="J256" s="513"/>
      <c r="K256" s="85"/>
      <c r="L256" s="981" t="s">
        <v>533</v>
      </c>
      <c r="M256" s="159"/>
      <c r="N256" s="729"/>
      <c r="O256" s="729"/>
      <c r="P256" s="729"/>
      <c r="Q256" s="730"/>
      <c r="R256" s="729"/>
      <c r="S256" s="730"/>
      <c r="T256" s="729"/>
      <c r="U256" s="730"/>
      <c r="V256" s="730"/>
      <c r="W256" s="85"/>
      <c r="X256" s="962" t="s">
        <v>533</v>
      </c>
      <c r="Y256" s="974"/>
      <c r="Z256" s="785"/>
      <c r="AA256" s="785"/>
      <c r="AB256" s="1482" t="s">
        <v>26</v>
      </c>
      <c r="AC256" s="797" t="str">
        <f t="shared" si="31"/>
        <v/>
      </c>
      <c r="AD256" s="1510" t="str">
        <f t="shared" si="33"/>
        <v>Yes</v>
      </c>
      <c r="AE256" s="785" t="s">
        <v>962</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533</v>
      </c>
      <c r="M257" s="159"/>
      <c r="N257" s="729"/>
      <c r="O257" s="729"/>
      <c r="P257" s="729"/>
      <c r="Q257" s="730"/>
      <c r="R257" s="729"/>
      <c r="S257" s="730"/>
      <c r="T257" s="729"/>
      <c r="U257" s="730"/>
      <c r="V257" s="730"/>
      <c r="W257" s="85"/>
      <c r="X257" s="962" t="s">
        <v>533</v>
      </c>
      <c r="Y257" s="974"/>
      <c r="Z257" s="785"/>
      <c r="AA257" s="785"/>
      <c r="AB257" s="1482" t="s">
        <v>26</v>
      </c>
      <c r="AC257" s="797" t="str">
        <f t="shared" si="31"/>
        <v/>
      </c>
      <c r="AD257" s="1510" t="str">
        <f t="shared" si="33"/>
        <v>Yes</v>
      </c>
      <c r="AE257" s="785" t="s">
        <v>963</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8">
        <v>60</v>
      </c>
      <c r="B258" s="159"/>
      <c r="C258" s="881" t="str">
        <f>IF(LEN(O239)&lt;=265,"",RIGHT(O239,LEN(O239)-SEARCH(" ",O239,255)))</f>
        <v/>
      </c>
      <c r="D258" s="513"/>
      <c r="E258" s="513"/>
      <c r="F258" s="513"/>
      <c r="G258" s="513"/>
      <c r="H258" s="513"/>
      <c r="I258" s="513"/>
      <c r="J258" s="513"/>
      <c r="K258" s="85"/>
      <c r="L258" s="981" t="s">
        <v>533</v>
      </c>
      <c r="M258" s="159"/>
      <c r="N258" s="729"/>
      <c r="O258" s="729"/>
      <c r="P258" s="729"/>
      <c r="Q258" s="730"/>
      <c r="R258" s="729"/>
      <c r="S258" s="730"/>
      <c r="T258" s="729"/>
      <c r="U258" s="730"/>
      <c r="V258" s="730"/>
      <c r="W258" s="85"/>
      <c r="X258" s="962" t="s">
        <v>533</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8">
        <v>61</v>
      </c>
      <c r="B259" s="159"/>
      <c r="C259" s="881" t="str">
        <f>IF(O241="","",IF(LEN(O241)&lt;=135,O241,IF(LEN(O241)&lt;=260,LEFT(O241,SEARCH(" ",O241,125)),LEFT(O241,SEARCH(" ",O241,130)))))</f>
        <v/>
      </c>
      <c r="D259" s="513"/>
      <c r="E259" s="513"/>
      <c r="F259" s="513"/>
      <c r="G259" s="513"/>
      <c r="H259" s="513"/>
      <c r="I259" s="513"/>
      <c r="J259" s="513"/>
      <c r="K259" s="85"/>
      <c r="L259" s="981" t="s">
        <v>533</v>
      </c>
      <c r="M259" s="159"/>
      <c r="N259" s="729"/>
      <c r="O259" s="729"/>
      <c r="P259" s="729"/>
      <c r="Q259" s="730"/>
      <c r="R259" s="729"/>
      <c r="S259" s="730"/>
      <c r="T259" s="729"/>
      <c r="U259" s="730"/>
      <c r="V259" s="730"/>
      <c r="W259" s="85"/>
      <c r="X259" s="962" t="s">
        <v>533</v>
      </c>
      <c r="Y259" s="974"/>
      <c r="Z259" s="785"/>
      <c r="AA259" s="791" t="s">
        <v>686</v>
      </c>
      <c r="AB259" s="1482">
        <v>72</v>
      </c>
      <c r="AC259" s="797" t="str">
        <f t="shared" si="31"/>
        <v/>
      </c>
      <c r="AD259" s="1510">
        <f t="shared" ref="AD259:AD268" si="34">O1464</f>
        <v>72</v>
      </c>
      <c r="AE259" s="785" t="s">
        <v>964</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533</v>
      </c>
      <c r="M260" s="159"/>
      <c r="N260" s="729"/>
      <c r="O260" s="729"/>
      <c r="P260" s="729"/>
      <c r="Q260" s="730"/>
      <c r="R260" s="729"/>
      <c r="S260" s="730"/>
      <c r="T260" s="729"/>
      <c r="U260" s="730"/>
      <c r="V260" s="730"/>
      <c r="W260" s="85"/>
      <c r="X260" s="962" t="s">
        <v>533</v>
      </c>
      <c r="Y260" s="974"/>
      <c r="Z260" s="785"/>
      <c r="AA260" s="785"/>
      <c r="AB260" s="1482">
        <v>40</v>
      </c>
      <c r="AC260" s="797" t="str">
        <f t="shared" si="31"/>
        <v/>
      </c>
      <c r="AD260" s="1510">
        <f t="shared" si="34"/>
        <v>40</v>
      </c>
      <c r="AE260" s="785" t="s">
        <v>965</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8">
        <v>63</v>
      </c>
      <c r="B261" s="159"/>
      <c r="C261" s="881" t="str">
        <f>IF(LEN(O241)&lt;=265,"",RIGHT(O241,LEN(O241)-SEARCH(" ",O241,255)))</f>
        <v/>
      </c>
      <c r="D261" s="513"/>
      <c r="E261" s="513"/>
      <c r="F261" s="513"/>
      <c r="G261" s="513"/>
      <c r="H261" s="513"/>
      <c r="I261" s="513"/>
      <c r="J261" s="513"/>
      <c r="K261" s="85"/>
      <c r="L261" s="981" t="s">
        <v>533</v>
      </c>
      <c r="M261" s="159"/>
      <c r="N261" s="733"/>
      <c r="O261" s="835"/>
      <c r="P261" s="733"/>
      <c r="Q261" s="732"/>
      <c r="R261" s="733"/>
      <c r="S261" s="732"/>
      <c r="T261" s="733"/>
      <c r="U261" s="732"/>
      <c r="V261" s="732"/>
      <c r="W261" s="85"/>
      <c r="X261" s="962" t="s">
        <v>533</v>
      </c>
      <c r="Y261" s="974"/>
      <c r="Z261" s="785"/>
      <c r="AA261" s="785"/>
      <c r="AB261" s="1482">
        <v>40</v>
      </c>
      <c r="AC261" s="797" t="str">
        <f t="shared" si="31"/>
        <v/>
      </c>
      <c r="AD261" s="1510">
        <f t="shared" si="34"/>
        <v>40</v>
      </c>
      <c r="AE261" s="785" t="s">
        <v>966</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8">
        <v>64</v>
      </c>
      <c r="B262" s="116"/>
      <c r="C262" s="98"/>
      <c r="D262" s="98"/>
      <c r="E262" s="98"/>
      <c r="F262" s="98"/>
      <c r="G262" s="98"/>
      <c r="H262" s="98"/>
      <c r="I262" s="98"/>
      <c r="J262" s="98"/>
      <c r="K262" s="103"/>
      <c r="L262" s="981" t="s">
        <v>533</v>
      </c>
      <c r="M262" s="446"/>
      <c r="N262" s="186"/>
      <c r="O262" s="836"/>
      <c r="P262" s="587"/>
      <c r="Q262" s="186"/>
      <c r="R262" s="186"/>
      <c r="S262" s="186"/>
      <c r="T262" s="186"/>
      <c r="U262" s="186"/>
      <c r="V262" s="186"/>
      <c r="W262" s="448"/>
      <c r="X262" s="962" t="s">
        <v>533</v>
      </c>
      <c r="Y262" s="974"/>
      <c r="Z262" s="785"/>
      <c r="AA262" s="785"/>
      <c r="AB262" s="1482">
        <v>40</v>
      </c>
      <c r="AC262" s="797" t="str">
        <f t="shared" si="31"/>
        <v/>
      </c>
      <c r="AD262" s="1510">
        <f t="shared" si="34"/>
        <v>40</v>
      </c>
      <c r="AE262" s="785" t="s">
        <v>967</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8">
        <v>65</v>
      </c>
      <c r="B263" s="64" t="str">
        <f t="array" ref="B263:C264">$B$65:$C$66</f>
        <v>Date:</v>
      </c>
      <c r="C263" s="1467">
        <v>43039</v>
      </c>
      <c r="E263" s="63"/>
      <c r="F263" s="63"/>
      <c r="G263" s="63"/>
      <c r="H263" s="63"/>
      <c r="I263" s="64" t="str">
        <f t="array" ref="I263:J264">$I$65:$J$66</f>
        <v>Inspector:</v>
      </c>
      <c r="J263" s="1476" t="str">
        <v>Eugene Mah</v>
      </c>
      <c r="L263" s="981" t="s">
        <v>533</v>
      </c>
      <c r="O263" s="831"/>
      <c r="P263" s="588"/>
      <c r="X263" s="962" t="s">
        <v>533</v>
      </c>
      <c r="Y263" s="974"/>
      <c r="Z263" s="785"/>
      <c r="AA263" s="785"/>
      <c r="AB263" s="1482">
        <v>40</v>
      </c>
      <c r="AC263" s="797" t="str">
        <f t="shared" si="31"/>
        <v/>
      </c>
      <c r="AD263" s="1510">
        <f t="shared" si="34"/>
        <v>40</v>
      </c>
      <c r="AE263" s="785" t="s">
        <v>968</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8">
        <v>66</v>
      </c>
      <c r="B264" s="64" t="str">
        <v>Room Number:</v>
      </c>
      <c r="C264" s="508" t="str">
        <v>Room 04 RT 127M - Tube 1</v>
      </c>
      <c r="E264" s="63"/>
      <c r="F264" s="63"/>
      <c r="G264" s="63"/>
      <c r="H264" s="63"/>
      <c r="I264" s="64" t="str">
        <v>Survey ID:</v>
      </c>
      <c r="J264" s="1475">
        <v>1976</v>
      </c>
      <c r="L264" s="981" t="s">
        <v>533</v>
      </c>
      <c r="O264" s="831"/>
      <c r="P264" s="588"/>
      <c r="X264" s="962" t="s">
        <v>533</v>
      </c>
      <c r="Y264" s="974"/>
      <c r="Z264" s="785"/>
      <c r="AA264" s="785"/>
      <c r="AB264" s="1482">
        <v>40</v>
      </c>
      <c r="AC264" s="797" t="str">
        <f t="shared" si="31"/>
        <v/>
      </c>
      <c r="AD264" s="1510">
        <f t="shared" si="34"/>
        <v>40</v>
      </c>
      <c r="AE264" s="785" t="s">
        <v>969</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8">
        <v>1</v>
      </c>
      <c r="B265" s="1"/>
      <c r="C265" s="1"/>
      <c r="D265" s="1"/>
      <c r="E265" s="1"/>
      <c r="F265" s="1"/>
      <c r="G265" s="1"/>
      <c r="H265" s="1"/>
      <c r="I265" s="1"/>
      <c r="J265" s="1"/>
      <c r="K265" s="165" t="str">
        <f>$F$2</f>
        <v>Medical University of South Carolina</v>
      </c>
      <c r="L265" s="981" t="s">
        <v>533</v>
      </c>
      <c r="M265" s="1"/>
      <c r="N265" s="1"/>
      <c r="O265" s="837"/>
      <c r="P265" s="588"/>
      <c r="Q265" s="1"/>
      <c r="R265" s="1"/>
      <c r="S265" s="1"/>
      <c r="T265" s="1"/>
      <c r="U265" s="1"/>
      <c r="V265" s="1"/>
      <c r="W265" s="165" t="str">
        <f>$F$2</f>
        <v>Medical University of South Carolina</v>
      </c>
      <c r="X265" s="962" t="s">
        <v>533</v>
      </c>
      <c r="Y265" s="974"/>
      <c r="Z265" s="785"/>
      <c r="AA265" s="785"/>
      <c r="AB265" s="1482">
        <v>40</v>
      </c>
      <c r="AC265" s="797" t="str">
        <f t="shared" si="31"/>
        <v/>
      </c>
      <c r="AD265" s="1510">
        <f t="shared" si="34"/>
        <v>40</v>
      </c>
      <c r="AE265" s="785" t="s">
        <v>970</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8">
        <v>2</v>
      </c>
      <c r="B266" s="1"/>
      <c r="C266" s="1"/>
      <c r="D266" s="1"/>
      <c r="E266" s="1"/>
      <c r="F266" s="344" t="str">
        <f>$F$464</f>
        <v>Measurement Data</v>
      </c>
      <c r="G266" s="1"/>
      <c r="H266" s="1"/>
      <c r="I266" s="1"/>
      <c r="J266" s="1"/>
      <c r="K266" s="166" t="str">
        <f>$F$5</f>
        <v>Radiographic System Compliance Inspection</v>
      </c>
      <c r="L266" s="981" t="s">
        <v>533</v>
      </c>
      <c r="M266" s="1"/>
      <c r="N266" s="1"/>
      <c r="O266" s="837"/>
      <c r="P266" s="588"/>
      <c r="Q266" s="1"/>
      <c r="R266" s="1"/>
      <c r="S266" s="1"/>
      <c r="T266" s="1"/>
      <c r="U266" s="1"/>
      <c r="V266" s="1"/>
      <c r="W266" s="166" t="str">
        <f>$F$5</f>
        <v>Radiographic System Compliance Inspection</v>
      </c>
      <c r="X266" s="962" t="s">
        <v>533</v>
      </c>
      <c r="Y266" s="974"/>
      <c r="Z266" s="785"/>
      <c r="AA266" s="785"/>
      <c r="AB266" s="1482">
        <v>40</v>
      </c>
      <c r="AC266" s="797" t="str">
        <f t="shared" si="31"/>
        <v/>
      </c>
      <c r="AD266" s="1510">
        <f t="shared" si="34"/>
        <v>40</v>
      </c>
      <c r="AE266" s="785" t="s">
        <v>971</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8">
        <v>3</v>
      </c>
      <c r="L267" s="981" t="s">
        <v>533</v>
      </c>
      <c r="M267" s="1"/>
      <c r="N267" s="1"/>
      <c r="O267" s="837"/>
      <c r="P267" s="588"/>
      <c r="Q267" s="1"/>
      <c r="R267" s="1"/>
      <c r="S267" s="1"/>
      <c r="T267" s="1"/>
      <c r="U267" s="1"/>
      <c r="V267" s="1"/>
      <c r="W267" s="1"/>
      <c r="X267" s="962" t="s">
        <v>533</v>
      </c>
      <c r="Y267" s="974"/>
      <c r="Z267" s="785"/>
      <c r="AA267" s="785"/>
      <c r="AB267" s="1482">
        <v>40</v>
      </c>
      <c r="AC267" s="797" t="str">
        <f t="shared" si="31"/>
        <v/>
      </c>
      <c r="AD267" s="1510">
        <f t="shared" si="34"/>
        <v>40</v>
      </c>
      <c r="AE267" s="785" t="s">
        <v>972</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8">
        <v>4</v>
      </c>
      <c r="F268" s="248" t="str">
        <f>$R$268</f>
        <v>COMMENTS PAGE 2</v>
      </c>
      <c r="L268" s="981" t="s">
        <v>533</v>
      </c>
      <c r="M268" s="204"/>
      <c r="N268" s="204"/>
      <c r="O268" s="838"/>
      <c r="P268" s="589"/>
      <c r="Q268" s="204"/>
      <c r="R268" s="248" t="str">
        <f>"COMMENTS"&amp;IF(OR($O$205=0,$O$205="")," PAGE 2"," PAGE 3")</f>
        <v>COMMENTS PAGE 2</v>
      </c>
      <c r="S268" s="204"/>
      <c r="T268" s="204"/>
      <c r="U268" s="204"/>
      <c r="V268" s="204"/>
      <c r="W268" s="204"/>
      <c r="X268" s="962" t="s">
        <v>533</v>
      </c>
      <c r="Y268" s="974"/>
      <c r="Z268" s="785"/>
      <c r="AA268" s="785"/>
      <c r="AB268" s="1482">
        <v>40</v>
      </c>
      <c r="AC268" s="797" t="str">
        <f t="shared" si="31"/>
        <v/>
      </c>
      <c r="AD268" s="1510">
        <f t="shared" si="34"/>
        <v>40</v>
      </c>
      <c r="AE268" s="785" t="s">
        <v>973</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8">
        <v>5</v>
      </c>
      <c r="L269" s="981" t="s">
        <v>533</v>
      </c>
      <c r="M269" s="204"/>
      <c r="N269" s="204"/>
      <c r="O269" s="838"/>
      <c r="P269" s="589"/>
      <c r="Q269" s="204"/>
      <c r="R269" s="204"/>
      <c r="S269" s="204"/>
      <c r="T269" s="204"/>
      <c r="U269" s="204"/>
      <c r="V269" s="204"/>
      <c r="W269" s="204"/>
      <c r="X269" s="962" t="s">
        <v>533</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8">
        <v>6</v>
      </c>
      <c r="B270" s="93"/>
      <c r="C270" s="76"/>
      <c r="D270" s="76"/>
      <c r="E270" s="76"/>
      <c r="F270" s="76"/>
      <c r="G270" s="76"/>
      <c r="H270" s="76"/>
      <c r="I270" s="76"/>
      <c r="J270" s="76"/>
      <c r="K270" s="94"/>
      <c r="L270" s="981" t="s">
        <v>533</v>
      </c>
      <c r="M270" s="436"/>
      <c r="N270" s="437"/>
      <c r="O270" s="839"/>
      <c r="P270" s="585"/>
      <c r="Q270" s="988" t="s">
        <v>479</v>
      </c>
      <c r="R270" s="437"/>
      <c r="S270" s="437"/>
      <c r="T270" s="437"/>
      <c r="U270" s="437"/>
      <c r="V270" s="437"/>
      <c r="W270" s="438"/>
      <c r="X270" s="962" t="s">
        <v>533</v>
      </c>
      <c r="Y270" s="974"/>
      <c r="Z270" s="785"/>
      <c r="AA270" s="791" t="s">
        <v>687</v>
      </c>
      <c r="AB270" s="1482">
        <v>23</v>
      </c>
      <c r="AC270" s="797" t="str">
        <f t="shared" si="31"/>
        <v/>
      </c>
      <c r="AD270" s="1511">
        <f t="shared" ref="AD270:AD279" si="35">P1464</f>
        <v>23</v>
      </c>
      <c r="AE270" s="785" t="s">
        <v>974</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8">
        <v>7</v>
      </c>
      <c r="B271" s="124" t="s">
        <v>681</v>
      </c>
      <c r="C271" s="881" t="str">
        <f>IF(O271="","",IF(LEN(O271)&lt;=135,O271,IF(LEN(O271)&lt;=260,LEFT(O271,SEARCH(" ",O271,125)),LEFT(O271,SEARCH(" ",O271,130)))))</f>
        <v/>
      </c>
      <c r="D271" s="513"/>
      <c r="E271" s="513"/>
      <c r="F271" s="513"/>
      <c r="G271" s="513"/>
      <c r="H271" s="513"/>
      <c r="I271" s="513"/>
      <c r="J271" s="513"/>
      <c r="K271" s="85"/>
      <c r="L271" s="981" t="s">
        <v>533</v>
      </c>
      <c r="M271" s="442"/>
      <c r="N271" s="187" t="s">
        <v>681</v>
      </c>
      <c r="O271" s="1564"/>
      <c r="P271" s="586"/>
      <c r="Q271" s="982" t="str">
        <f>IF(OR(AB352=0,AB352=""),"",AB352)</f>
        <v>OPERATIONAL NOTES</v>
      </c>
      <c r="R271" s="61"/>
      <c r="S271" s="61"/>
      <c r="T271" s="61"/>
      <c r="U271" s="61"/>
      <c r="V271" s="61"/>
      <c r="W271" s="444"/>
      <c r="X271" s="962" t="s">
        <v>533</v>
      </c>
      <c r="Y271" s="974"/>
      <c r="Z271" s="785"/>
      <c r="AA271" s="785"/>
      <c r="AB271" s="1482">
        <v>23</v>
      </c>
      <c r="AC271" s="797" t="str">
        <f t="shared" si="31"/>
        <v/>
      </c>
      <c r="AD271" s="1511">
        <f t="shared" si="35"/>
        <v>23</v>
      </c>
      <c r="AE271" s="785" t="s">
        <v>975</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533</v>
      </c>
      <c r="M272" s="101"/>
      <c r="N272" s="876" t="s">
        <v>373</v>
      </c>
      <c r="O272" s="1565"/>
      <c r="P272" s="877">
        <f>LEN(O271)</f>
        <v>0</v>
      </c>
      <c r="Q272" s="984"/>
      <c r="R272" s="987">
        <f>LEN(Q271)</f>
        <v>17</v>
      </c>
      <c r="S272" s="73"/>
      <c r="T272" s="73"/>
      <c r="U272" s="73"/>
      <c r="V272" s="73"/>
      <c r="W272" s="447"/>
      <c r="X272" s="962" t="s">
        <v>533</v>
      </c>
      <c r="Y272" s="974"/>
      <c r="Z272" s="785"/>
      <c r="AA272" s="785"/>
      <c r="AB272" s="1482">
        <v>20</v>
      </c>
      <c r="AC272" s="797" t="str">
        <f t="shared" ref="AC272:AC335" si="36">IF(AND(OR(AB272="",AB272=0),OR(AD272="",AD272=0)),"",IF(AB272&lt;&gt;AD272,"Change",""))</f>
        <v/>
      </c>
      <c r="AD272" s="1511">
        <f t="shared" si="35"/>
        <v>20</v>
      </c>
      <c r="AE272" s="785" t="s">
        <v>976</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8">
        <v>9</v>
      </c>
      <c r="B273" s="101"/>
      <c r="C273" s="881" t="str">
        <f>IF(LEN(O271)&lt;=265,"",RIGHT(O271,LEN(O271)-SEARCH(" ",O271,255)))</f>
        <v/>
      </c>
      <c r="D273" s="513"/>
      <c r="E273" s="513"/>
      <c r="F273" s="513"/>
      <c r="G273" s="513"/>
      <c r="H273" s="513"/>
      <c r="I273" s="513"/>
      <c r="J273" s="513"/>
      <c r="K273" s="85"/>
      <c r="L273" s="981" t="s">
        <v>533</v>
      </c>
      <c r="M273" s="143"/>
      <c r="N273" s="187" t="s">
        <v>151</v>
      </c>
      <c r="O273" s="1564"/>
      <c r="P273" s="586"/>
      <c r="Q273" s="982" t="str">
        <f>IF(OR(AB354=0,AB354=""),"",AB354)</f>
        <v>To make table top exposures, select a Cassette APR</v>
      </c>
      <c r="R273" s="61"/>
      <c r="S273" s="61"/>
      <c r="T273" s="61"/>
      <c r="U273" s="61"/>
      <c r="V273" s="61"/>
      <c r="W273" s="444"/>
      <c r="X273" s="962" t="s">
        <v>533</v>
      </c>
      <c r="Y273" s="974"/>
      <c r="Z273" s="785"/>
      <c r="AA273" s="785"/>
      <c r="AB273" s="1482">
        <v>13</v>
      </c>
      <c r="AC273" s="797" t="str">
        <f t="shared" si="36"/>
        <v/>
      </c>
      <c r="AD273" s="1511">
        <f t="shared" si="35"/>
        <v>13</v>
      </c>
      <c r="AE273" s="785" t="s">
        <v>977</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8">
        <v>10</v>
      </c>
      <c r="B274" s="159"/>
      <c r="C274" s="881" t="str">
        <f>IF(O273="","",IF(LEN(O273)&lt;=135,O273,IF(LEN(O273)&lt;=260,LEFT(O273,SEARCH(" ",O273,125)),LEFT(O273,SEARCH(" ",O273,130)))))</f>
        <v/>
      </c>
      <c r="D274" s="513"/>
      <c r="E274" s="513"/>
      <c r="F274" s="513"/>
      <c r="G274" s="513"/>
      <c r="H274" s="513"/>
      <c r="I274" s="513"/>
      <c r="J274" s="513"/>
      <c r="K274" s="85"/>
      <c r="L274" s="981" t="s">
        <v>533</v>
      </c>
      <c r="M274" s="101"/>
      <c r="N274" s="876" t="s">
        <v>373</v>
      </c>
      <c r="O274" s="1565"/>
      <c r="P274" s="877">
        <f>LEN(O273)</f>
        <v>0</v>
      </c>
      <c r="Q274" s="984"/>
      <c r="R274" s="987">
        <f>LEN(Q273)</f>
        <v>50</v>
      </c>
      <c r="S274" s="61"/>
      <c r="T274" s="61"/>
      <c r="U274" s="61"/>
      <c r="V274" s="61"/>
      <c r="W274" s="444"/>
      <c r="X274" s="962" t="s">
        <v>533</v>
      </c>
      <c r="Y274" s="974"/>
      <c r="Z274" s="785"/>
      <c r="AA274" s="785"/>
      <c r="AB274" s="1482">
        <v>15</v>
      </c>
      <c r="AC274" s="797" t="str">
        <f t="shared" si="36"/>
        <v/>
      </c>
      <c r="AD274" s="1511">
        <f t="shared" si="35"/>
        <v>15</v>
      </c>
      <c r="AE274" s="785" t="s">
        <v>978</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533</v>
      </c>
      <c r="M275" s="451"/>
      <c r="N275" s="187" t="s">
        <v>151</v>
      </c>
      <c r="O275" s="1564"/>
      <c r="P275" s="586"/>
      <c r="Q275" s="982" t="str">
        <f>IF(OR(AB356=0,AB356=""),"",AB356)</f>
        <v>Clinical EXI is the exposure index</v>
      </c>
      <c r="R275" s="61"/>
      <c r="S275" s="73"/>
      <c r="T275" s="73"/>
      <c r="U275" s="73"/>
      <c r="V275" s="73"/>
      <c r="W275" s="447"/>
      <c r="X275" s="962" t="s">
        <v>533</v>
      </c>
      <c r="Y275" s="974"/>
      <c r="Z275" s="785"/>
      <c r="AA275" s="785"/>
      <c r="AB275" s="1482">
        <v>8</v>
      </c>
      <c r="AC275" s="797" t="str">
        <f t="shared" si="36"/>
        <v/>
      </c>
      <c r="AD275" s="1511">
        <f t="shared" si="35"/>
        <v>8</v>
      </c>
      <c r="AE275" s="785" t="s">
        <v>979</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8">
        <v>12</v>
      </c>
      <c r="B276" s="159"/>
      <c r="C276" s="881" t="str">
        <f>IF(LEN(O273)&lt;=265,"",RIGHT(O273,LEN(O273)-SEARCH(" ",O273,255)))</f>
        <v/>
      </c>
      <c r="D276" s="513"/>
      <c r="E276" s="513"/>
      <c r="F276" s="513"/>
      <c r="G276" s="513"/>
      <c r="H276" s="513"/>
      <c r="I276" s="513"/>
      <c r="J276" s="513"/>
      <c r="K276" s="85"/>
      <c r="L276" s="981" t="s">
        <v>533</v>
      </c>
      <c r="M276" s="143"/>
      <c r="N276" s="876" t="s">
        <v>373</v>
      </c>
      <c r="O276" s="1565"/>
      <c r="P276" s="877">
        <f>LEN(O275)</f>
        <v>0</v>
      </c>
      <c r="Q276" s="984"/>
      <c r="R276" s="987">
        <f>LEN(Q275)</f>
        <v>34</v>
      </c>
      <c r="S276" s="61"/>
      <c r="T276" s="61"/>
      <c r="U276" s="61"/>
      <c r="V276" s="61"/>
      <c r="W276" s="444"/>
      <c r="X276" s="962" t="s">
        <v>533</v>
      </c>
      <c r="Y276" s="974"/>
      <c r="Z276" s="785"/>
      <c r="AA276" s="785"/>
      <c r="AB276" s="1482">
        <v>12</v>
      </c>
      <c r="AC276" s="797" t="str">
        <f t="shared" si="36"/>
        <v/>
      </c>
      <c r="AD276" s="1511">
        <f t="shared" si="35"/>
        <v>12</v>
      </c>
      <c r="AE276" s="785" t="s">
        <v>980</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8">
        <v>13</v>
      </c>
      <c r="B277" s="159"/>
      <c r="C277" s="881" t="str">
        <f>IF(O275="","",IF(LEN(O275)&lt;=135,O275,IF(LEN(O275)&lt;=260,LEFT(O275,SEARCH(" ",O275,125)),LEFT(O275,SEARCH(" ",O275,130)))))</f>
        <v/>
      </c>
      <c r="D277" s="513"/>
      <c r="E277" s="513"/>
      <c r="F277" s="513"/>
      <c r="G277" s="513"/>
      <c r="H277" s="513"/>
      <c r="I277" s="513"/>
      <c r="J277" s="513"/>
      <c r="K277" s="85"/>
      <c r="L277" s="981" t="s">
        <v>533</v>
      </c>
      <c r="M277" s="101"/>
      <c r="N277" s="187" t="s">
        <v>151</v>
      </c>
      <c r="O277" s="1564"/>
      <c r="P277" s="586"/>
      <c r="Q277" s="982" t="str">
        <f>IF(OR(AB358=0,AB358=""),"",AB358)</f>
        <v/>
      </c>
      <c r="R277" s="61"/>
      <c r="S277" s="61"/>
      <c r="T277" s="61"/>
      <c r="U277" s="61"/>
      <c r="V277" s="61"/>
      <c r="W277" s="444"/>
      <c r="X277" s="962" t="s">
        <v>533</v>
      </c>
      <c r="Y277" s="974"/>
      <c r="Z277" s="785"/>
      <c r="AA277" s="785"/>
      <c r="AB277" s="1482">
        <v>20</v>
      </c>
      <c r="AC277" s="797" t="str">
        <f t="shared" si="36"/>
        <v/>
      </c>
      <c r="AD277" s="1511">
        <f t="shared" si="35"/>
        <v>20</v>
      </c>
      <c r="AE277" s="785" t="s">
        <v>981</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533</v>
      </c>
      <c r="M278" s="451"/>
      <c r="N278" s="876" t="s">
        <v>373</v>
      </c>
      <c r="O278" s="1565"/>
      <c r="P278" s="877">
        <f>LEN(O277)</f>
        <v>0</v>
      </c>
      <c r="Q278" s="984"/>
      <c r="R278" s="987">
        <f>LEN(Q277)</f>
        <v>0</v>
      </c>
      <c r="S278" s="73"/>
      <c r="T278" s="73"/>
      <c r="U278" s="73"/>
      <c r="V278" s="73"/>
      <c r="W278" s="447"/>
      <c r="X278" s="962" t="s">
        <v>533</v>
      </c>
      <c r="Y278" s="974"/>
      <c r="Z278" s="785"/>
      <c r="AA278" s="785"/>
      <c r="AB278" s="1482">
        <v>15</v>
      </c>
      <c r="AC278" s="797" t="str">
        <f t="shared" si="36"/>
        <v/>
      </c>
      <c r="AD278" s="1511">
        <f t="shared" si="35"/>
        <v>15</v>
      </c>
      <c r="AE278" s="785" t="s">
        <v>982</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8">
        <v>15</v>
      </c>
      <c r="B279" s="159"/>
      <c r="C279" s="881" t="str">
        <f>IF(LEN(O275)&lt;=265,"",RIGHT(O275,LEN(O275)-SEARCH(" ",O275,255)))</f>
        <v/>
      </c>
      <c r="D279" s="513"/>
      <c r="E279" s="513"/>
      <c r="F279" s="513"/>
      <c r="G279" s="513"/>
      <c r="H279" s="513"/>
      <c r="I279" s="513"/>
      <c r="J279" s="513"/>
      <c r="K279" s="85"/>
      <c r="L279" s="981" t="s">
        <v>533</v>
      </c>
      <c r="M279" s="143"/>
      <c r="N279" s="187" t="s">
        <v>151</v>
      </c>
      <c r="O279" s="1564"/>
      <c r="P279" s="586"/>
      <c r="Q279" s="982" t="str">
        <f>IF(OR(AB360=0,AB360=""),"",AB360)</f>
        <v/>
      </c>
      <c r="R279" s="61"/>
      <c r="S279" s="61"/>
      <c r="T279" s="61"/>
      <c r="U279" s="61"/>
      <c r="V279" s="61"/>
      <c r="W279" s="444"/>
      <c r="X279" s="962" t="s">
        <v>533</v>
      </c>
      <c r="Y279" s="974"/>
      <c r="Z279" s="785"/>
      <c r="AA279" s="785"/>
      <c r="AB279" s="1482">
        <v>23</v>
      </c>
      <c r="AC279" s="797" t="str">
        <f t="shared" si="36"/>
        <v/>
      </c>
      <c r="AD279" s="1511">
        <f t="shared" si="35"/>
        <v>23</v>
      </c>
      <c r="AE279" s="785" t="s">
        <v>983</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8">
        <v>16</v>
      </c>
      <c r="B280" s="159"/>
      <c r="C280" s="881" t="str">
        <f>IF(O277="","",IF(LEN(O277)&lt;=135,O277,IF(LEN(O277)&lt;=260,LEFT(O277,SEARCH(" ",O277,125)),LEFT(O277,SEARCH(" ",O277,130)))))</f>
        <v/>
      </c>
      <c r="D280" s="513"/>
      <c r="E280" s="513"/>
      <c r="F280" s="513"/>
      <c r="G280" s="513"/>
      <c r="H280" s="513"/>
      <c r="I280" s="513"/>
      <c r="J280" s="513"/>
      <c r="K280" s="85"/>
      <c r="L280" s="981" t="s">
        <v>533</v>
      </c>
      <c r="M280" s="101"/>
      <c r="N280" s="876" t="s">
        <v>373</v>
      </c>
      <c r="O280" s="1565"/>
      <c r="P280" s="877">
        <f>LEN(O279)</f>
        <v>0</v>
      </c>
      <c r="Q280" s="984"/>
      <c r="R280" s="987">
        <f>LEN(Q279)</f>
        <v>0</v>
      </c>
      <c r="S280" s="61"/>
      <c r="T280" s="61"/>
      <c r="U280" s="61"/>
      <c r="V280" s="61"/>
      <c r="W280" s="444"/>
      <c r="X280" s="962" t="s">
        <v>533</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533</v>
      </c>
      <c r="M281" s="451"/>
      <c r="N281" s="187" t="s">
        <v>151</v>
      </c>
      <c r="O281" s="1564"/>
      <c r="P281" s="586"/>
      <c r="Q281" s="982" t="str">
        <f>IF(OR(AB362=0,AB362=""),"",AB362)</f>
        <v/>
      </c>
      <c r="R281" s="61"/>
      <c r="S281" s="73"/>
      <c r="T281" s="73"/>
      <c r="U281" s="73"/>
      <c r="V281" s="73"/>
      <c r="W281" s="447"/>
      <c r="X281" s="962" t="s">
        <v>533</v>
      </c>
      <c r="Y281" s="974"/>
      <c r="Z281" s="785"/>
      <c r="AA281" s="791" t="s">
        <v>690</v>
      </c>
      <c r="AB281" s="1482" t="s">
        <v>28</v>
      </c>
      <c r="AC281" s="797" t="str">
        <f t="shared" si="36"/>
        <v/>
      </c>
      <c r="AD281" s="1510" t="str">
        <f t="shared" ref="AD281:AD290" si="37">Q1464</f>
        <v>14x17</v>
      </c>
      <c r="AE281" s="785" t="s">
        <v>984</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8">
        <v>18</v>
      </c>
      <c r="B282" s="159"/>
      <c r="C282" s="881" t="str">
        <f>IF(LEN(O277)&lt;=265,"",RIGHT(O277,LEN(O277)-SEARCH(" ",O277,255)))</f>
        <v/>
      </c>
      <c r="D282" s="513"/>
      <c r="E282" s="513"/>
      <c r="F282" s="513"/>
      <c r="G282" s="513"/>
      <c r="H282" s="513"/>
      <c r="I282" s="513"/>
      <c r="J282" s="513"/>
      <c r="K282" s="85"/>
      <c r="L282" s="981" t="s">
        <v>533</v>
      </c>
      <c r="M282" s="143"/>
      <c r="N282" s="876" t="s">
        <v>373</v>
      </c>
      <c r="O282" s="1565"/>
      <c r="P282" s="877">
        <f>LEN(O281)</f>
        <v>0</v>
      </c>
      <c r="Q282" s="984"/>
      <c r="R282" s="987">
        <f>LEN(Q281)</f>
        <v>0</v>
      </c>
      <c r="S282" s="61"/>
      <c r="T282" s="61"/>
      <c r="U282" s="61"/>
      <c r="V282" s="61"/>
      <c r="W282" s="444"/>
      <c r="X282" s="962" t="s">
        <v>533</v>
      </c>
      <c r="Y282" s="974"/>
      <c r="Z282" s="785"/>
      <c r="AA282" s="785"/>
      <c r="AB282" s="1482" t="s">
        <v>28</v>
      </c>
      <c r="AC282" s="797" t="str">
        <f t="shared" si="36"/>
        <v/>
      </c>
      <c r="AD282" s="1510" t="str">
        <f t="shared" si="37"/>
        <v>14x17</v>
      </c>
      <c r="AE282" s="785" t="s">
        <v>985</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8">
        <v>19</v>
      </c>
      <c r="B283" s="159"/>
      <c r="C283" s="881" t="str">
        <f>IF(O279="","",IF(LEN(O279)&lt;=135,O279,IF(LEN(O279)&lt;=260,LEFT(O279,SEARCH(" ",O279,125)),LEFT(O279,SEARCH(" ",O279,130)))))</f>
        <v/>
      </c>
      <c r="D283" s="513"/>
      <c r="E283" s="513"/>
      <c r="F283" s="513"/>
      <c r="G283" s="513"/>
      <c r="H283" s="513"/>
      <c r="I283" s="513"/>
      <c r="J283" s="513"/>
      <c r="K283" s="85"/>
      <c r="L283" s="981" t="s">
        <v>533</v>
      </c>
      <c r="M283" s="101"/>
      <c r="N283" s="187" t="s">
        <v>151</v>
      </c>
      <c r="O283" s="1564"/>
      <c r="P283" s="586"/>
      <c r="Q283" s="982" t="str">
        <f>IF(OR(AB364=0,AB364=""),"",AB364)</f>
        <v/>
      </c>
      <c r="R283" s="61"/>
      <c r="S283" s="61"/>
      <c r="T283" s="61"/>
      <c r="U283" s="61"/>
      <c r="V283" s="61"/>
      <c r="W283" s="444"/>
      <c r="X283" s="962" t="s">
        <v>533</v>
      </c>
      <c r="Y283" s="974"/>
      <c r="Z283" s="785"/>
      <c r="AA283" s="785"/>
      <c r="AB283" s="1482" t="s">
        <v>28</v>
      </c>
      <c r="AC283" s="797" t="str">
        <f t="shared" si="36"/>
        <v/>
      </c>
      <c r="AD283" s="1510" t="str">
        <f t="shared" si="37"/>
        <v>14x17</v>
      </c>
      <c r="AE283" s="785" t="s">
        <v>986</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533</v>
      </c>
      <c r="M284" s="451"/>
      <c r="N284" s="876" t="s">
        <v>373</v>
      </c>
      <c r="O284" s="1565"/>
      <c r="P284" s="877">
        <f>LEN(O283)</f>
        <v>0</v>
      </c>
      <c r="Q284" s="984"/>
      <c r="R284" s="987">
        <f>LEN(Q283)</f>
        <v>0</v>
      </c>
      <c r="S284" s="73"/>
      <c r="T284" s="73"/>
      <c r="U284" s="73"/>
      <c r="V284" s="73"/>
      <c r="W284" s="447"/>
      <c r="X284" s="962" t="s">
        <v>533</v>
      </c>
      <c r="Y284" s="974"/>
      <c r="Z284" s="785"/>
      <c r="AA284" s="785"/>
      <c r="AB284" s="1482" t="s">
        <v>32</v>
      </c>
      <c r="AC284" s="797" t="str">
        <f t="shared" si="36"/>
        <v/>
      </c>
      <c r="AD284" s="1510" t="str">
        <f t="shared" si="37"/>
        <v>10x12</v>
      </c>
      <c r="AE284" s="785" t="s">
        <v>987</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8">
        <v>21</v>
      </c>
      <c r="B285" s="159"/>
      <c r="C285" s="881" t="str">
        <f>IF(LEN(O279)&lt;=265,"",RIGHT(O279,LEN(O279)-SEARCH(" ",O279,255)))</f>
        <v/>
      </c>
      <c r="D285" s="513"/>
      <c r="E285" s="513"/>
      <c r="F285" s="513"/>
      <c r="G285" s="513"/>
      <c r="H285" s="513"/>
      <c r="I285" s="513"/>
      <c r="J285" s="513"/>
      <c r="K285" s="85"/>
      <c r="L285" s="981" t="s">
        <v>533</v>
      </c>
      <c r="M285" s="143"/>
      <c r="N285" s="187" t="s">
        <v>151</v>
      </c>
      <c r="O285" s="1564"/>
      <c r="P285" s="586"/>
      <c r="Q285" s="982" t="str">
        <f>IF(OR(AB366=0,AB366=""),"",AB366)</f>
        <v/>
      </c>
      <c r="R285" s="61"/>
      <c r="S285" s="61"/>
      <c r="T285" s="61"/>
      <c r="U285" s="61"/>
      <c r="V285" s="61"/>
      <c r="W285" s="444"/>
      <c r="X285" s="962" t="s">
        <v>533</v>
      </c>
      <c r="Y285" s="974"/>
      <c r="Z285" s="785"/>
      <c r="AA285" s="785"/>
      <c r="AB285" s="1482" t="s">
        <v>47</v>
      </c>
      <c r="AC285" s="797" t="str">
        <f t="shared" si="36"/>
        <v/>
      </c>
      <c r="AD285" s="1510" t="str">
        <f t="shared" si="37"/>
        <v>8x10</v>
      </c>
      <c r="AE285" s="785" t="s">
        <v>988</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8">
        <v>22</v>
      </c>
      <c r="B286" s="159"/>
      <c r="C286" s="881" t="str">
        <f>IF(O281="","",IF(LEN(O281)&lt;=135,O281,IF(LEN(O281)&lt;=260,LEFT(O281,SEARCH(" ",O281,125)),LEFT(O281,SEARCH(" ",O281,130)))))</f>
        <v/>
      </c>
      <c r="D286" s="513"/>
      <c r="E286" s="513"/>
      <c r="F286" s="513"/>
      <c r="G286" s="513"/>
      <c r="H286" s="513"/>
      <c r="I286" s="513"/>
      <c r="J286" s="513"/>
      <c r="K286" s="85"/>
      <c r="L286" s="981" t="s">
        <v>533</v>
      </c>
      <c r="M286" s="101"/>
      <c r="N286" s="876" t="s">
        <v>373</v>
      </c>
      <c r="O286" s="1565"/>
      <c r="P286" s="877">
        <f>LEN(O285)</f>
        <v>0</v>
      </c>
      <c r="Q286" s="984"/>
      <c r="R286" s="987">
        <f>LEN(Q285)</f>
        <v>0</v>
      </c>
      <c r="S286" s="61"/>
      <c r="T286" s="61"/>
      <c r="U286" s="61"/>
      <c r="V286" s="61"/>
      <c r="W286" s="444"/>
      <c r="X286" s="962" t="s">
        <v>533</v>
      </c>
      <c r="Y286" s="974"/>
      <c r="Z286" s="785"/>
      <c r="AA286" s="785"/>
      <c r="AB286" s="1482" t="s">
        <v>47</v>
      </c>
      <c r="AC286" s="797" t="str">
        <f t="shared" si="36"/>
        <v/>
      </c>
      <c r="AD286" s="1510" t="str">
        <f t="shared" si="37"/>
        <v>8x10</v>
      </c>
      <c r="AE286" s="785" t="s">
        <v>989</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533</v>
      </c>
      <c r="M287" s="451"/>
      <c r="N287" s="187" t="s">
        <v>151</v>
      </c>
      <c r="O287" s="1564"/>
      <c r="P287" s="586"/>
      <c r="Q287" s="982" t="str">
        <f>IF(OR(AB368=0,AB368=""),"",AB368)</f>
        <v/>
      </c>
      <c r="R287" s="61"/>
      <c r="S287" s="73"/>
      <c r="T287" s="73"/>
      <c r="U287" s="73"/>
      <c r="V287" s="73"/>
      <c r="W287" s="447"/>
      <c r="X287" s="962" t="s">
        <v>533</v>
      </c>
      <c r="Y287" s="974"/>
      <c r="Z287" s="785"/>
      <c r="AA287" s="785"/>
      <c r="AB287" s="1482" t="s">
        <v>32</v>
      </c>
      <c r="AC287" s="797" t="str">
        <f t="shared" si="36"/>
        <v/>
      </c>
      <c r="AD287" s="1510" t="str">
        <f t="shared" si="37"/>
        <v>10x12</v>
      </c>
      <c r="AE287" s="785" t="s">
        <v>990</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8">
        <v>24</v>
      </c>
      <c r="B288" s="159"/>
      <c r="C288" s="881" t="str">
        <f>IF(LEN(O281)&lt;=265,"",RIGHT(O281,LEN(O281)-SEARCH(" ",O281,255)))</f>
        <v/>
      </c>
      <c r="D288" s="513"/>
      <c r="E288" s="513"/>
      <c r="F288" s="513"/>
      <c r="G288" s="513"/>
      <c r="H288" s="513"/>
      <c r="I288" s="513"/>
      <c r="J288" s="513"/>
      <c r="K288" s="85"/>
      <c r="L288" s="981" t="s">
        <v>533</v>
      </c>
      <c r="M288" s="143"/>
      <c r="N288" s="876" t="s">
        <v>373</v>
      </c>
      <c r="O288" s="1565"/>
      <c r="P288" s="877">
        <f>LEN(O287)</f>
        <v>0</v>
      </c>
      <c r="Q288" s="984"/>
      <c r="R288" s="987">
        <f>LEN(Q287)</f>
        <v>0</v>
      </c>
      <c r="S288" s="61"/>
      <c r="T288" s="61"/>
      <c r="U288" s="61"/>
      <c r="V288" s="61"/>
      <c r="W288" s="444"/>
      <c r="X288" s="962" t="s">
        <v>533</v>
      </c>
      <c r="Y288" s="974"/>
      <c r="Z288" s="785"/>
      <c r="AA288" s="785"/>
      <c r="AB288" s="1482" t="s">
        <v>28</v>
      </c>
      <c r="AC288" s="797" t="str">
        <f t="shared" si="36"/>
        <v/>
      </c>
      <c r="AD288" s="1510" t="str">
        <f t="shared" si="37"/>
        <v>14x17</v>
      </c>
      <c r="AE288" s="785" t="s">
        <v>991</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8">
        <v>25</v>
      </c>
      <c r="B289" s="159"/>
      <c r="C289" s="881" t="str">
        <f>IF(O283="","",IF(LEN(O283)&lt;=135,O283,IF(LEN(O283)&lt;=260,LEFT(O283,SEARCH(" ",O283,125)),LEFT(O283,SEARCH(" ",O283,130)))))</f>
        <v/>
      </c>
      <c r="D289" s="513"/>
      <c r="E289" s="513"/>
      <c r="F289" s="513"/>
      <c r="G289" s="513"/>
      <c r="H289" s="513"/>
      <c r="I289" s="513"/>
      <c r="J289" s="513"/>
      <c r="K289" s="85"/>
      <c r="L289" s="981" t="s">
        <v>533</v>
      </c>
      <c r="M289" s="101"/>
      <c r="N289" s="187" t="s">
        <v>151</v>
      </c>
      <c r="O289" s="1564"/>
      <c r="P289" s="586"/>
      <c r="Q289" s="982" t="str">
        <f>IF(OR(AB370=0,AB370=""),"",AB370)</f>
        <v/>
      </c>
      <c r="R289" s="61"/>
      <c r="S289" s="61"/>
      <c r="T289" s="61"/>
      <c r="U289" s="61"/>
      <c r="V289" s="61"/>
      <c r="W289" s="444"/>
      <c r="X289" s="962" t="s">
        <v>533</v>
      </c>
      <c r="Y289" s="974"/>
      <c r="Z289" s="785"/>
      <c r="AA289" s="785"/>
      <c r="AB289" s="1482" t="s">
        <v>32</v>
      </c>
      <c r="AC289" s="797" t="str">
        <f t="shared" si="36"/>
        <v/>
      </c>
      <c r="AD289" s="1510" t="str">
        <f t="shared" si="37"/>
        <v>10x12</v>
      </c>
      <c r="AE289" s="785" t="s">
        <v>992</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533</v>
      </c>
      <c r="M290" s="451"/>
      <c r="N290" s="876" t="s">
        <v>373</v>
      </c>
      <c r="O290" s="1565"/>
      <c r="P290" s="877">
        <f>LEN(O289)</f>
        <v>0</v>
      </c>
      <c r="Q290" s="984"/>
      <c r="R290" s="987">
        <f>LEN(Q289)</f>
        <v>0</v>
      </c>
      <c r="S290" s="73"/>
      <c r="T290" s="73"/>
      <c r="U290" s="73"/>
      <c r="V290" s="73"/>
      <c r="W290" s="447"/>
      <c r="X290" s="962" t="s">
        <v>533</v>
      </c>
      <c r="Y290" s="974"/>
      <c r="Z290" s="785"/>
      <c r="AA290" s="785"/>
      <c r="AB290" s="1482" t="s">
        <v>32</v>
      </c>
      <c r="AC290" s="797" t="str">
        <f t="shared" si="36"/>
        <v/>
      </c>
      <c r="AD290" s="1510" t="str">
        <f t="shared" si="37"/>
        <v>10x12</v>
      </c>
      <c r="AE290" s="785" t="s">
        <v>993</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8">
        <v>27</v>
      </c>
      <c r="B291" s="159"/>
      <c r="C291" s="881" t="str">
        <f>IF(LEN(O283)&lt;=265,"",RIGHT(O283,LEN(O283)-SEARCH(" ",O283,255)))</f>
        <v/>
      </c>
      <c r="D291" s="513"/>
      <c r="E291" s="513"/>
      <c r="F291" s="513"/>
      <c r="G291" s="513"/>
      <c r="H291" s="513"/>
      <c r="I291" s="513"/>
      <c r="J291" s="513"/>
      <c r="K291" s="85"/>
      <c r="L291" s="981" t="s">
        <v>533</v>
      </c>
      <c r="M291" s="143"/>
      <c r="N291" s="187" t="s">
        <v>151</v>
      </c>
      <c r="O291" s="1564"/>
      <c r="P291" s="586"/>
      <c r="Q291" s="982" t="str">
        <f>IF(OR(AB372=0,AB372=""),"",AB372)</f>
        <v/>
      </c>
      <c r="R291" s="61"/>
      <c r="S291" s="61"/>
      <c r="T291" s="61"/>
      <c r="U291" s="61"/>
      <c r="V291" s="61"/>
      <c r="W291" s="444"/>
      <c r="X291" s="962" t="s">
        <v>533</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8">
        <v>28</v>
      </c>
      <c r="B292" s="159"/>
      <c r="C292" s="881" t="str">
        <f>IF(O285="","",IF(LEN(O285)&lt;=135,O285,IF(LEN(O285)&lt;=260,LEFT(O285,SEARCH(" ",O285,125)),LEFT(O285,SEARCH(" ",O285,130)))))</f>
        <v/>
      </c>
      <c r="D292" s="513"/>
      <c r="E292" s="513"/>
      <c r="F292" s="513"/>
      <c r="G292" s="513"/>
      <c r="H292" s="513"/>
      <c r="I292" s="513"/>
      <c r="J292" s="513"/>
      <c r="K292" s="85"/>
      <c r="L292" s="981" t="s">
        <v>533</v>
      </c>
      <c r="M292" s="101"/>
      <c r="N292" s="876" t="s">
        <v>373</v>
      </c>
      <c r="O292" s="1565"/>
      <c r="P292" s="877">
        <f>LEN(O291)</f>
        <v>0</v>
      </c>
      <c r="Q292" s="984"/>
      <c r="R292" s="987">
        <f>LEN(Q291)</f>
        <v>0</v>
      </c>
      <c r="S292" s="61"/>
      <c r="T292" s="61"/>
      <c r="U292" s="61"/>
      <c r="V292" s="61"/>
      <c r="W292" s="444"/>
      <c r="X292" s="962" t="s">
        <v>533</v>
      </c>
      <c r="Y292" s="974"/>
      <c r="Z292" s="785"/>
      <c r="AA292" s="791" t="s">
        <v>590</v>
      </c>
      <c r="AB292" s="1482">
        <v>120</v>
      </c>
      <c r="AC292" s="797" t="str">
        <f t="shared" si="36"/>
        <v/>
      </c>
      <c r="AD292" s="1510">
        <f t="shared" ref="AD292:AD301" si="38">R1464</f>
        <v>120</v>
      </c>
      <c r="AE292" s="785" t="s">
        <v>994</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533</v>
      </c>
      <c r="M293" s="451"/>
      <c r="N293" s="187" t="s">
        <v>151</v>
      </c>
      <c r="O293" s="1564"/>
      <c r="P293" s="586"/>
      <c r="Q293" s="982" t="str">
        <f>IF(OR(AB374=0,AB374=""),"",AB374)</f>
        <v/>
      </c>
      <c r="R293" s="61"/>
      <c r="S293" s="73"/>
      <c r="T293" s="73"/>
      <c r="U293" s="73"/>
      <c r="V293" s="73"/>
      <c r="W293" s="447"/>
      <c r="X293" s="962" t="s">
        <v>533</v>
      </c>
      <c r="Y293" s="974"/>
      <c r="Z293" s="785"/>
      <c r="AA293" s="785"/>
      <c r="AB293" s="1482">
        <v>76</v>
      </c>
      <c r="AC293" s="797" t="str">
        <f t="shared" si="36"/>
        <v/>
      </c>
      <c r="AD293" s="1510">
        <f t="shared" si="38"/>
        <v>76</v>
      </c>
      <c r="AE293" s="785" t="s">
        <v>995</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8">
        <v>30</v>
      </c>
      <c r="B294" s="159"/>
      <c r="C294" s="881" t="str">
        <f>IF(LEN(O285)&lt;=265,"",RIGHT(O285,LEN(O285)-SEARCH(" ",O285,255)))</f>
        <v/>
      </c>
      <c r="D294" s="513"/>
      <c r="E294" s="513"/>
      <c r="F294" s="513"/>
      <c r="G294" s="513"/>
      <c r="H294" s="513"/>
      <c r="I294" s="513"/>
      <c r="J294" s="513"/>
      <c r="K294" s="85"/>
      <c r="L294" s="981" t="s">
        <v>533</v>
      </c>
      <c r="M294" s="143"/>
      <c r="N294" s="876" t="s">
        <v>373</v>
      </c>
      <c r="O294" s="1565"/>
      <c r="P294" s="877">
        <f>LEN(O293)</f>
        <v>0</v>
      </c>
      <c r="Q294" s="984"/>
      <c r="R294" s="987">
        <f>LEN(Q293)</f>
        <v>0</v>
      </c>
      <c r="S294" s="61"/>
      <c r="T294" s="61"/>
      <c r="U294" s="61"/>
      <c r="V294" s="61"/>
      <c r="W294" s="444"/>
      <c r="X294" s="962" t="s">
        <v>533</v>
      </c>
      <c r="Y294" s="974"/>
      <c r="Z294" s="785"/>
      <c r="AA294" s="785"/>
      <c r="AB294" s="1482">
        <v>66</v>
      </c>
      <c r="AC294" s="797" t="str">
        <f t="shared" si="36"/>
        <v/>
      </c>
      <c r="AD294" s="1510">
        <f t="shared" si="38"/>
        <v>66</v>
      </c>
      <c r="AE294" s="785" t="s">
        <v>996</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8">
        <v>31</v>
      </c>
      <c r="B295" s="159"/>
      <c r="C295" s="881" t="str">
        <f>IF(O287="","",IF(LEN(O287)&lt;=135,O287,IF(LEN(O287)&lt;=260,LEFT(O287,SEARCH(" ",O287,125)),LEFT(O287,SEARCH(" ",O287,130)))))</f>
        <v/>
      </c>
      <c r="D295" s="513"/>
      <c r="E295" s="513"/>
      <c r="F295" s="513"/>
      <c r="G295" s="513"/>
      <c r="H295" s="513"/>
      <c r="I295" s="513"/>
      <c r="J295" s="513"/>
      <c r="K295" s="85"/>
      <c r="L295" s="981" t="s">
        <v>533</v>
      </c>
      <c r="M295" s="101"/>
      <c r="N295" s="187" t="s">
        <v>151</v>
      </c>
      <c r="O295" s="1564"/>
      <c r="P295" s="586"/>
      <c r="Q295" s="982" t="str">
        <f>IF(OR(AB376=0,AB376=""),"",AB376)</f>
        <v/>
      </c>
      <c r="R295" s="61"/>
      <c r="S295" s="61"/>
      <c r="T295" s="61"/>
      <c r="U295" s="61"/>
      <c r="V295" s="61"/>
      <c r="W295" s="444"/>
      <c r="X295" s="962" t="s">
        <v>533</v>
      </c>
      <c r="Y295" s="974"/>
      <c r="Z295" s="785"/>
      <c r="AA295" s="785"/>
      <c r="AB295" s="1482">
        <v>72</v>
      </c>
      <c r="AC295" s="797" t="str">
        <f t="shared" si="36"/>
        <v/>
      </c>
      <c r="AD295" s="1510">
        <f t="shared" si="38"/>
        <v>72</v>
      </c>
      <c r="AE295" s="785" t="s">
        <v>997</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533</v>
      </c>
      <c r="M296" s="451"/>
      <c r="N296" s="876" t="s">
        <v>373</v>
      </c>
      <c r="O296" s="1565"/>
      <c r="P296" s="877">
        <f>LEN(O295)</f>
        <v>0</v>
      </c>
      <c r="Q296" s="984"/>
      <c r="R296" s="987">
        <f>LEN(Q295)</f>
        <v>0</v>
      </c>
      <c r="S296" s="73"/>
      <c r="T296" s="73"/>
      <c r="U296" s="73"/>
      <c r="V296" s="73"/>
      <c r="W296" s="447"/>
      <c r="X296" s="962" t="s">
        <v>533</v>
      </c>
      <c r="Y296" s="974"/>
      <c r="Z296" s="785"/>
      <c r="AA296" s="785"/>
      <c r="AB296" s="1482">
        <v>72</v>
      </c>
      <c r="AC296" s="797" t="str">
        <f t="shared" si="36"/>
        <v/>
      </c>
      <c r="AD296" s="1510">
        <f t="shared" si="38"/>
        <v>72</v>
      </c>
      <c r="AE296" s="785" t="s">
        <v>998</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8">
        <v>33</v>
      </c>
      <c r="B297" s="159"/>
      <c r="C297" s="881" t="str">
        <f>IF(LEN(O287)&lt;=265,"",RIGHT(O287,LEN(O287)-SEARCH(" ",O287,255)))</f>
        <v/>
      </c>
      <c r="D297" s="513"/>
      <c r="E297" s="513"/>
      <c r="F297" s="513"/>
      <c r="G297" s="513"/>
      <c r="H297" s="513"/>
      <c r="I297" s="513"/>
      <c r="J297" s="513"/>
      <c r="K297" s="85"/>
      <c r="L297" s="981" t="s">
        <v>533</v>
      </c>
      <c r="M297" s="159"/>
      <c r="N297" s="187" t="s">
        <v>151</v>
      </c>
      <c r="O297" s="1564"/>
      <c r="P297" s="586"/>
      <c r="Q297" s="982" t="str">
        <f>IF(OR(AB378=0,AB378=""),"",AB378)</f>
        <v/>
      </c>
      <c r="R297" s="61"/>
      <c r="S297" s="73"/>
      <c r="T297" s="73"/>
      <c r="U297" s="73"/>
      <c r="V297" s="73"/>
      <c r="W297" s="85"/>
      <c r="X297" s="962" t="s">
        <v>533</v>
      </c>
      <c r="Y297" s="974"/>
      <c r="Z297" s="785"/>
      <c r="AA297" s="785"/>
      <c r="AB297" s="1482">
        <v>60</v>
      </c>
      <c r="AC297" s="797" t="str">
        <f t="shared" si="36"/>
        <v/>
      </c>
      <c r="AD297" s="1510">
        <f t="shared" si="38"/>
        <v>60</v>
      </c>
      <c r="AE297" s="785" t="s">
        <v>999</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8">
        <v>34</v>
      </c>
      <c r="B298" s="159"/>
      <c r="C298" s="881" t="str">
        <f>IF(O289="","",IF(LEN(O289)&lt;=135,O289,IF(LEN(O289)&lt;=260,LEFT(O289,SEARCH(" ",O289,125)),LEFT(O289,SEARCH(" ",O289,130)))))</f>
        <v/>
      </c>
      <c r="D298" s="513"/>
      <c r="E298" s="513"/>
      <c r="F298" s="513"/>
      <c r="G298" s="513"/>
      <c r="H298" s="513"/>
      <c r="I298" s="513"/>
      <c r="J298" s="513"/>
      <c r="K298" s="85"/>
      <c r="L298" s="981" t="s">
        <v>533</v>
      </c>
      <c r="M298" s="159"/>
      <c r="N298" s="876" t="s">
        <v>373</v>
      </c>
      <c r="O298" s="1565"/>
      <c r="P298" s="877">
        <f>LEN(O297)</f>
        <v>0</v>
      </c>
      <c r="Q298" s="984"/>
      <c r="R298" s="987">
        <f>LEN(Q297)</f>
        <v>0</v>
      </c>
      <c r="S298" s="61"/>
      <c r="T298" s="61"/>
      <c r="U298" s="61"/>
      <c r="V298" s="61"/>
      <c r="W298" s="85"/>
      <c r="X298" s="962" t="s">
        <v>533</v>
      </c>
      <c r="Y298" s="974"/>
      <c r="Z298" s="785"/>
      <c r="AA298" s="785"/>
      <c r="AB298" s="1482">
        <v>66</v>
      </c>
      <c r="AC298" s="797" t="str">
        <f t="shared" si="36"/>
        <v/>
      </c>
      <c r="AD298" s="1510">
        <f t="shared" si="38"/>
        <v>66</v>
      </c>
      <c r="AE298" s="785" t="s">
        <v>1000</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533</v>
      </c>
      <c r="M299" s="159"/>
      <c r="N299" s="187" t="s">
        <v>151</v>
      </c>
      <c r="O299" s="1564"/>
      <c r="P299" s="586"/>
      <c r="Q299" s="982" t="str">
        <f>IF(OR(AB380=0,AB380=""),"",AB380)</f>
        <v/>
      </c>
      <c r="R299" s="61"/>
      <c r="S299" s="73"/>
      <c r="T299" s="73"/>
      <c r="U299" s="73"/>
      <c r="V299" s="73"/>
      <c r="W299" s="85"/>
      <c r="X299" s="962" t="s">
        <v>533</v>
      </c>
      <c r="Y299" s="974"/>
      <c r="Z299" s="785"/>
      <c r="AA299" s="785"/>
      <c r="AB299" s="1482">
        <v>78</v>
      </c>
      <c r="AC299" s="797" t="str">
        <f t="shared" si="36"/>
        <v/>
      </c>
      <c r="AD299" s="1510">
        <f t="shared" si="38"/>
        <v>78</v>
      </c>
      <c r="AE299" s="785" t="s">
        <v>1001</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8">
        <v>36</v>
      </c>
      <c r="B300" s="159"/>
      <c r="C300" s="881" t="str">
        <f>IF(LEN(O289)&lt;=265,"",RIGHT(O289,LEN(O289)-SEARCH(" ",O289,255)))</f>
        <v/>
      </c>
      <c r="D300" s="513"/>
      <c r="E300" s="513"/>
      <c r="F300" s="513"/>
      <c r="G300" s="513"/>
      <c r="H300" s="513"/>
      <c r="I300" s="513"/>
      <c r="J300" s="513"/>
      <c r="K300" s="85"/>
      <c r="L300" s="981" t="s">
        <v>533</v>
      </c>
      <c r="M300" s="159"/>
      <c r="N300" s="876" t="s">
        <v>373</v>
      </c>
      <c r="O300" s="1565"/>
      <c r="P300" s="877">
        <f>LEN(O299)</f>
        <v>0</v>
      </c>
      <c r="Q300" s="984"/>
      <c r="R300" s="987">
        <f>LEN(Q299)</f>
        <v>0</v>
      </c>
      <c r="S300" s="73"/>
      <c r="T300" s="73"/>
      <c r="U300" s="73"/>
      <c r="V300" s="73"/>
      <c r="W300" s="85"/>
      <c r="X300" s="962" t="s">
        <v>533</v>
      </c>
      <c r="Y300" s="974"/>
      <c r="Z300" s="785"/>
      <c r="AA300" s="785"/>
      <c r="AB300" s="1482">
        <v>74</v>
      </c>
      <c r="AC300" s="797" t="str">
        <f t="shared" si="36"/>
        <v/>
      </c>
      <c r="AD300" s="1510">
        <f t="shared" si="38"/>
        <v>74</v>
      </c>
      <c r="AE300" s="785" t="s">
        <v>1002</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8">
        <v>37</v>
      </c>
      <c r="B301" s="159"/>
      <c r="C301" s="881" t="str">
        <f>IF(O291="","",IF(LEN(O291)&lt;=135,O291,IF(LEN(O291)&lt;=260,LEFT(O291,SEARCH(" ",O291,125)),LEFT(O291,SEARCH(" ",O291,130)))))</f>
        <v/>
      </c>
      <c r="D301" s="513"/>
      <c r="E301" s="513"/>
      <c r="F301" s="513"/>
      <c r="G301" s="513"/>
      <c r="H301" s="513"/>
      <c r="I301" s="513"/>
      <c r="J301" s="513"/>
      <c r="K301" s="85"/>
      <c r="L301" s="981" t="s">
        <v>533</v>
      </c>
      <c r="M301" s="159"/>
      <c r="N301" s="187" t="s">
        <v>151</v>
      </c>
      <c r="O301" s="1564"/>
      <c r="P301" s="586"/>
      <c r="Q301" s="982" t="str">
        <f>IF(OR(AB382=0,AB382=""),"",AB382)</f>
        <v/>
      </c>
      <c r="R301" s="61"/>
      <c r="S301" s="61"/>
      <c r="T301" s="61"/>
      <c r="U301" s="61"/>
      <c r="V301" s="61"/>
      <c r="W301" s="85"/>
      <c r="X301" s="962" t="s">
        <v>533</v>
      </c>
      <c r="Y301" s="974"/>
      <c r="Z301" s="785"/>
      <c r="AA301" s="785"/>
      <c r="AB301" s="1482">
        <v>78</v>
      </c>
      <c r="AC301" s="797" t="str">
        <f t="shared" si="36"/>
        <v/>
      </c>
      <c r="AD301" s="1510">
        <f t="shared" si="38"/>
        <v>78</v>
      </c>
      <c r="AE301" s="785" t="s">
        <v>1003</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533</v>
      </c>
      <c r="M302" s="159"/>
      <c r="N302" s="876" t="s">
        <v>373</v>
      </c>
      <c r="O302" s="1565"/>
      <c r="P302" s="877">
        <f>LEN(O301)</f>
        <v>0</v>
      </c>
      <c r="Q302" s="984"/>
      <c r="R302" s="987">
        <f>LEN(Q301)</f>
        <v>0</v>
      </c>
      <c r="S302" s="73"/>
      <c r="T302" s="73"/>
      <c r="U302" s="73"/>
      <c r="V302" s="73"/>
      <c r="W302" s="85"/>
      <c r="X302" s="962" t="s">
        <v>533</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8">
        <v>39</v>
      </c>
      <c r="B303" s="159"/>
      <c r="C303" s="881" t="str">
        <f>IF(LEN(O291)&lt;=265,"",RIGHT(O291,LEN(O291)-SEARCH(" ",O291,255)))</f>
        <v/>
      </c>
      <c r="D303" s="513"/>
      <c r="E303" s="513"/>
      <c r="F303" s="513"/>
      <c r="G303" s="513"/>
      <c r="H303" s="513"/>
      <c r="I303" s="513"/>
      <c r="J303" s="513"/>
      <c r="K303" s="85"/>
      <c r="L303" s="981" t="s">
        <v>533</v>
      </c>
      <c r="M303" s="159"/>
      <c r="N303" s="187" t="s">
        <v>151</v>
      </c>
      <c r="O303" s="1564"/>
      <c r="P303" s="586"/>
      <c r="Q303" s="982" t="str">
        <f>IF(OR(AB384=0,AB384=""),"",AB384)</f>
        <v/>
      </c>
      <c r="R303" s="61"/>
      <c r="S303" s="73"/>
      <c r="T303" s="73"/>
      <c r="U303" s="73"/>
      <c r="V303" s="73"/>
      <c r="W303" s="85"/>
      <c r="X303" s="962" t="s">
        <v>533</v>
      </c>
      <c r="Y303" s="974"/>
      <c r="Z303" s="785"/>
      <c r="AA303" s="791" t="s">
        <v>704</v>
      </c>
      <c r="AB303" s="1485">
        <v>2</v>
      </c>
      <c r="AC303" s="797" t="str">
        <f t="shared" si="36"/>
        <v/>
      </c>
      <c r="AD303" s="1507">
        <f t="shared" ref="AD303:AD312" si="39">W1464</f>
        <v>2</v>
      </c>
      <c r="AE303" s="785" t="s">
        <v>1004</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8">
        <v>40</v>
      </c>
      <c r="B304" s="159"/>
      <c r="C304" s="881" t="str">
        <f>IF(O293="","",IF(LEN(O293)&lt;=135,O293,IF(LEN(O293)&lt;=260,LEFT(O293,SEARCH(" ",O293,125)),LEFT(O293,SEARCH(" ",O293,130)))))</f>
        <v/>
      </c>
      <c r="D304" s="513"/>
      <c r="E304" s="513"/>
      <c r="F304" s="513"/>
      <c r="G304" s="513"/>
      <c r="H304" s="513"/>
      <c r="I304" s="513"/>
      <c r="J304" s="513"/>
      <c r="K304" s="85"/>
      <c r="L304" s="981" t="s">
        <v>533</v>
      </c>
      <c r="M304" s="159"/>
      <c r="N304" s="876" t="s">
        <v>373</v>
      </c>
      <c r="O304" s="1565"/>
      <c r="P304" s="877">
        <f>LEN(O303)</f>
        <v>0</v>
      </c>
      <c r="Q304" s="984"/>
      <c r="R304" s="987">
        <f>LEN(Q303)</f>
        <v>0</v>
      </c>
      <c r="S304" s="61"/>
      <c r="T304" s="61"/>
      <c r="U304" s="61"/>
      <c r="V304" s="61"/>
      <c r="W304" s="85"/>
      <c r="X304" s="962" t="s">
        <v>533</v>
      </c>
      <c r="Y304" s="974"/>
      <c r="Z304" s="785"/>
      <c r="AA304" s="785"/>
      <c r="AB304" s="1485">
        <v>30</v>
      </c>
      <c r="AC304" s="797" t="str">
        <f t="shared" si="36"/>
        <v/>
      </c>
      <c r="AD304" s="1507">
        <f t="shared" si="39"/>
        <v>30</v>
      </c>
      <c r="AE304" s="785" t="s">
        <v>1005</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533</v>
      </c>
      <c r="M305" s="159"/>
      <c r="N305" s="187" t="s">
        <v>151</v>
      </c>
      <c r="O305" s="1564"/>
      <c r="P305" s="586"/>
      <c r="Q305" s="982" t="str">
        <f>IF(OR(AB386=0,AB386=""),"",AB386)</f>
        <v/>
      </c>
      <c r="R305" s="61"/>
      <c r="S305" s="73"/>
      <c r="T305" s="73"/>
      <c r="U305" s="73"/>
      <c r="V305" s="73"/>
      <c r="W305" s="85"/>
      <c r="X305" s="962" t="s">
        <v>533</v>
      </c>
      <c r="Y305" s="974"/>
      <c r="Z305" s="785"/>
      <c r="AA305" s="785"/>
      <c r="AB305" s="1485">
        <v>12</v>
      </c>
      <c r="AC305" s="797" t="str">
        <f t="shared" si="36"/>
        <v/>
      </c>
      <c r="AD305" s="1507">
        <f t="shared" si="39"/>
        <v>12</v>
      </c>
      <c r="AE305" s="785" t="s">
        <v>1006</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8">
        <v>42</v>
      </c>
      <c r="B306" s="159"/>
      <c r="C306" s="881" t="str">
        <f>IF(LEN(O293)&lt;=265,"",RIGHT(O293,LEN(O293)-SEARCH(" ",O293,255)))</f>
        <v/>
      </c>
      <c r="D306" s="513"/>
      <c r="E306" s="513"/>
      <c r="F306" s="513"/>
      <c r="G306" s="513"/>
      <c r="H306" s="513"/>
      <c r="I306" s="513"/>
      <c r="J306" s="513"/>
      <c r="K306" s="85"/>
      <c r="L306" s="981" t="s">
        <v>533</v>
      </c>
      <c r="M306" s="159"/>
      <c r="N306" s="876" t="s">
        <v>373</v>
      </c>
      <c r="O306" s="1565"/>
      <c r="P306" s="877">
        <f>LEN(O305)</f>
        <v>0</v>
      </c>
      <c r="Q306" s="984"/>
      <c r="R306" s="987">
        <f>LEN(Q305)</f>
        <v>0</v>
      </c>
      <c r="S306" s="73"/>
      <c r="T306" s="73"/>
      <c r="U306" s="73"/>
      <c r="V306" s="73"/>
      <c r="W306" s="85"/>
      <c r="X306" s="962" t="s">
        <v>533</v>
      </c>
      <c r="Y306" s="974"/>
      <c r="Z306" s="785"/>
      <c r="AA306" s="785"/>
      <c r="AB306" s="1485">
        <v>10</v>
      </c>
      <c r="AC306" s="797" t="str">
        <f t="shared" si="36"/>
        <v/>
      </c>
      <c r="AD306" s="1507">
        <f t="shared" si="39"/>
        <v>10</v>
      </c>
      <c r="AE306" s="785" t="s">
        <v>1007</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8">
        <v>43</v>
      </c>
      <c r="B307" s="159"/>
      <c r="C307" s="881" t="str">
        <f>IF(O295="","",IF(LEN(O295)&lt;=135,O295,IF(LEN(O295)&lt;=260,LEFT(O295,SEARCH(" ",O295,125)),LEFT(O295,SEARCH(" ",O295,130)))))</f>
        <v/>
      </c>
      <c r="D307" s="513"/>
      <c r="E307" s="513"/>
      <c r="F307" s="513"/>
      <c r="G307" s="513"/>
      <c r="H307" s="513"/>
      <c r="I307" s="513"/>
      <c r="J307" s="513"/>
      <c r="K307" s="85"/>
      <c r="L307" s="981" t="s">
        <v>533</v>
      </c>
      <c r="M307" s="159"/>
      <c r="N307" s="187" t="s">
        <v>151</v>
      </c>
      <c r="O307" s="1564"/>
      <c r="P307" s="586"/>
      <c r="Q307" s="982" t="str">
        <f>IF(OR(AB388=0,AB388=""),"",AB388)</f>
        <v/>
      </c>
      <c r="R307" s="61"/>
      <c r="S307" s="61"/>
      <c r="T307" s="61"/>
      <c r="U307" s="61"/>
      <c r="V307" s="61"/>
      <c r="W307" s="85"/>
      <c r="X307" s="962" t="s">
        <v>533</v>
      </c>
      <c r="Y307" s="974"/>
      <c r="Z307" s="785"/>
      <c r="AA307" s="785"/>
      <c r="AB307" s="1485">
        <v>10</v>
      </c>
      <c r="AC307" s="797" t="str">
        <f t="shared" si="36"/>
        <v/>
      </c>
      <c r="AD307" s="1507">
        <f t="shared" si="39"/>
        <v>10</v>
      </c>
      <c r="AE307" s="785" t="s">
        <v>1008</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533</v>
      </c>
      <c r="M308" s="159"/>
      <c r="N308" s="876" t="s">
        <v>373</v>
      </c>
      <c r="O308" s="877"/>
      <c r="P308" s="877">
        <f>LEN(O307)</f>
        <v>0</v>
      </c>
      <c r="Q308" s="984"/>
      <c r="R308" s="987">
        <f>LEN(Q307)</f>
        <v>0</v>
      </c>
      <c r="S308" s="73"/>
      <c r="T308" s="73"/>
      <c r="U308" s="73"/>
      <c r="V308" s="73"/>
      <c r="W308" s="85"/>
      <c r="X308" s="962" t="s">
        <v>533</v>
      </c>
      <c r="Y308" s="974"/>
      <c r="Z308" s="785"/>
      <c r="AA308" s="785"/>
      <c r="AB308" s="1485">
        <v>2.5</v>
      </c>
      <c r="AC308" s="797" t="str">
        <f t="shared" si="36"/>
        <v/>
      </c>
      <c r="AD308" s="1507">
        <f t="shared" si="39"/>
        <v>2.5</v>
      </c>
      <c r="AE308" s="785" t="s">
        <v>1009</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8">
        <v>45</v>
      </c>
      <c r="B309" s="159"/>
      <c r="C309" s="881" t="str">
        <f>IF(LEN(O295)&lt;=265,"",RIGHT(O295,LEN(O295)-SEARCH(" ",O295,255)))</f>
        <v/>
      </c>
      <c r="D309" s="513"/>
      <c r="E309" s="513"/>
      <c r="F309" s="513"/>
      <c r="G309" s="513"/>
      <c r="H309" s="513"/>
      <c r="I309" s="513"/>
      <c r="J309" s="513"/>
      <c r="K309" s="85"/>
      <c r="L309" s="981" t="s">
        <v>533</v>
      </c>
      <c r="M309" s="159"/>
      <c r="N309" s="734"/>
      <c r="O309" s="833"/>
      <c r="P309" s="734"/>
      <c r="Q309" s="731"/>
      <c r="R309" s="731"/>
      <c r="S309" s="731"/>
      <c r="T309" s="731"/>
      <c r="U309" s="731"/>
      <c r="V309" s="731"/>
      <c r="W309" s="85"/>
      <c r="X309" s="962" t="s">
        <v>533</v>
      </c>
      <c r="Y309" s="974"/>
      <c r="Z309" s="785"/>
      <c r="AA309" s="785"/>
      <c r="AB309" s="1485">
        <v>8</v>
      </c>
      <c r="AC309" s="797" t="str">
        <f t="shared" si="36"/>
        <v/>
      </c>
      <c r="AD309" s="1507">
        <f t="shared" si="39"/>
        <v>8</v>
      </c>
      <c r="AE309" s="785" t="s">
        <v>1010</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8">
        <v>46</v>
      </c>
      <c r="B310" s="159"/>
      <c r="C310" s="881" t="str">
        <f>IF(O297="","",IF(LEN(O297)&lt;=135,O297,IF(LEN(O297)&lt;=260,LEFT(O297,SEARCH(" ",O297,125)),LEFT(O297,SEARCH(" ",O297,130)))))</f>
        <v/>
      </c>
      <c r="D310" s="513"/>
      <c r="E310" s="513"/>
      <c r="F310" s="513"/>
      <c r="G310" s="513"/>
      <c r="H310" s="513"/>
      <c r="I310" s="513"/>
      <c r="J310" s="513"/>
      <c r="K310" s="85"/>
      <c r="L310" s="981" t="s">
        <v>533</v>
      </c>
      <c r="M310" s="159"/>
      <c r="N310" s="729"/>
      <c r="O310" s="834"/>
      <c r="P310" s="729"/>
      <c r="Q310" s="730"/>
      <c r="R310" s="730"/>
      <c r="S310" s="730"/>
      <c r="T310" s="730"/>
      <c r="U310" s="730"/>
      <c r="V310" s="730"/>
      <c r="W310" s="85"/>
      <c r="X310" s="962" t="s">
        <v>533</v>
      </c>
      <c r="Y310" s="974"/>
      <c r="Z310" s="785"/>
      <c r="AA310" s="785"/>
      <c r="AB310" s="1485">
        <v>30</v>
      </c>
      <c r="AC310" s="797" t="str">
        <f t="shared" si="36"/>
        <v/>
      </c>
      <c r="AD310" s="1507">
        <f t="shared" si="39"/>
        <v>30</v>
      </c>
      <c r="AE310" s="785" t="s">
        <v>1011</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533</v>
      </c>
      <c r="M311" s="159"/>
      <c r="N311" s="729"/>
      <c r="O311" s="834"/>
      <c r="P311" s="729"/>
      <c r="Q311" s="730"/>
      <c r="R311" s="730"/>
      <c r="S311" s="730"/>
      <c r="T311" s="730"/>
      <c r="U311" s="730"/>
      <c r="V311" s="730"/>
      <c r="W311" s="85"/>
      <c r="X311" s="962" t="s">
        <v>533</v>
      </c>
      <c r="Y311" s="974"/>
      <c r="Z311" s="785"/>
      <c r="AA311" s="785"/>
      <c r="AB311" s="1485">
        <v>14</v>
      </c>
      <c r="AC311" s="797" t="str">
        <f t="shared" si="36"/>
        <v/>
      </c>
      <c r="AD311" s="1507">
        <f t="shared" si="39"/>
        <v>14</v>
      </c>
      <c r="AE311" s="785" t="s">
        <v>1012</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8">
        <v>48</v>
      </c>
      <c r="B312" s="159"/>
      <c r="C312" s="881" t="str">
        <f>IF(LEN(O297)&lt;=265,"",RIGHT(O297,LEN(O297)-SEARCH(" ",O297,255)))</f>
        <v/>
      </c>
      <c r="D312" s="513"/>
      <c r="E312" s="513"/>
      <c r="F312" s="513"/>
      <c r="G312" s="513"/>
      <c r="H312" s="513"/>
      <c r="I312" s="513"/>
      <c r="J312" s="513"/>
      <c r="K312" s="85"/>
      <c r="L312" s="981" t="s">
        <v>533</v>
      </c>
      <c r="M312" s="159"/>
      <c r="N312" s="729"/>
      <c r="O312" s="834"/>
      <c r="P312" s="729"/>
      <c r="Q312" s="730"/>
      <c r="R312" s="730"/>
      <c r="S312" s="730"/>
      <c r="T312" s="730"/>
      <c r="U312" s="730"/>
      <c r="V312" s="730"/>
      <c r="W312" s="85"/>
      <c r="X312" s="962" t="s">
        <v>533</v>
      </c>
      <c r="Y312" s="974"/>
      <c r="Z312" s="785"/>
      <c r="AA312" s="785"/>
      <c r="AB312" s="1485">
        <v>25</v>
      </c>
      <c r="AC312" s="797" t="str">
        <f t="shared" si="36"/>
        <v/>
      </c>
      <c r="AD312" s="1507">
        <f t="shared" si="39"/>
        <v>25</v>
      </c>
      <c r="AE312" s="785" t="s">
        <v>1013</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8">
        <v>49</v>
      </c>
      <c r="B313" s="159"/>
      <c r="C313" s="881" t="str">
        <f>IF(O299="","",IF(LEN(O299)&lt;=135,O299,IF(LEN(O299)&lt;=260,LEFT(O299,SEARCH(" ",O299,125)),LEFT(O299,SEARCH(" ",O299,130)))))</f>
        <v/>
      </c>
      <c r="D313" s="513"/>
      <c r="E313" s="513"/>
      <c r="F313" s="513"/>
      <c r="G313" s="513"/>
      <c r="H313" s="513"/>
      <c r="I313" s="513"/>
      <c r="J313" s="513"/>
      <c r="K313" s="85"/>
      <c r="L313" s="981" t="s">
        <v>533</v>
      </c>
      <c r="M313" s="159"/>
      <c r="N313" s="729"/>
      <c r="O313" s="834"/>
      <c r="P313" s="729"/>
      <c r="Q313" s="728" t="s">
        <v>356</v>
      </c>
      <c r="R313" s="122"/>
      <c r="S313" s="122"/>
      <c r="T313" s="729"/>
      <c r="U313" s="730"/>
      <c r="V313" s="730"/>
      <c r="W313" s="85"/>
      <c r="X313" s="962" t="s">
        <v>533</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533</v>
      </c>
      <c r="M314" s="159"/>
      <c r="N314" s="729"/>
      <c r="O314" s="834"/>
      <c r="P314" s="729"/>
      <c r="Q314" s="730"/>
      <c r="R314" s="729"/>
      <c r="S314" s="730"/>
      <c r="T314" s="729"/>
      <c r="U314" s="730"/>
      <c r="V314" s="730"/>
      <c r="W314" s="85"/>
      <c r="X314" s="962" t="s">
        <v>533</v>
      </c>
      <c r="Y314" s="974"/>
      <c r="Z314" s="785"/>
      <c r="AA314" s="791" t="s">
        <v>714</v>
      </c>
      <c r="AB314" s="1481">
        <v>0</v>
      </c>
      <c r="AC314" s="797" t="str">
        <f t="shared" si="36"/>
        <v/>
      </c>
      <c r="AD314" s="1515">
        <f>O205</f>
        <v>0</v>
      </c>
      <c r="AE314" s="828" t="s">
        <v>1014</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8">
        <v>51</v>
      </c>
      <c r="B315" s="159"/>
      <c r="C315" s="881" t="str">
        <f>IF(LEN(O299)&lt;=265,"",RIGHT(O299,LEN(O299)-SEARCH(" ",O299,255)))</f>
        <v/>
      </c>
      <c r="D315" s="513"/>
      <c r="E315" s="513"/>
      <c r="F315" s="513"/>
      <c r="G315" s="513"/>
      <c r="H315" s="513"/>
      <c r="I315" s="513"/>
      <c r="J315" s="513"/>
      <c r="K315" s="85"/>
      <c r="L315" s="981" t="s">
        <v>533</v>
      </c>
      <c r="M315" s="159"/>
      <c r="N315" s="729"/>
      <c r="O315" s="834"/>
      <c r="P315" s="729"/>
      <c r="Q315" s="730"/>
      <c r="R315" s="729"/>
      <c r="S315" s="730"/>
      <c r="T315" s="729"/>
      <c r="U315" s="730"/>
      <c r="V315" s="730"/>
      <c r="W315" s="85"/>
      <c r="X315" s="962" t="s">
        <v>533</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8">
        <v>52</v>
      </c>
      <c r="B316" s="159"/>
      <c r="C316" s="881" t="str">
        <f>IF(O301="","",IF(LEN(O301)&lt;=135,O301,IF(LEN(O301)&lt;=260,LEFT(O301,SEARCH(" ",O301,125)),LEFT(O301,SEARCH(" ",O301,130)))))</f>
        <v/>
      </c>
      <c r="D316" s="513"/>
      <c r="E316" s="513"/>
      <c r="F316" s="513"/>
      <c r="G316" s="513"/>
      <c r="H316" s="513"/>
      <c r="I316" s="513"/>
      <c r="J316" s="513"/>
      <c r="K316" s="85"/>
      <c r="L316" s="981" t="s">
        <v>533</v>
      </c>
      <c r="M316" s="159"/>
      <c r="N316" s="729"/>
      <c r="O316" s="834"/>
      <c r="P316" s="729"/>
      <c r="Q316" s="730"/>
      <c r="R316" s="729"/>
      <c r="S316" s="730"/>
      <c r="T316" s="729"/>
      <c r="U316" s="730"/>
      <c r="V316" s="730"/>
      <c r="W316" s="85"/>
      <c r="X316" s="962" t="s">
        <v>533</v>
      </c>
      <c r="Y316" s="974"/>
      <c r="Z316" s="785"/>
      <c r="AA316" s="785"/>
      <c r="AB316" s="1481">
        <v>0</v>
      </c>
      <c r="AC316" s="797" t="str">
        <f t="shared" si="36"/>
        <v/>
      </c>
      <c r="AD316" s="1515">
        <f>O207</f>
        <v>0</v>
      </c>
      <c r="AE316" s="828" t="s">
        <v>1015</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533</v>
      </c>
      <c r="M317" s="159"/>
      <c r="N317" s="729"/>
      <c r="O317" s="834"/>
      <c r="P317" s="729"/>
      <c r="Q317" s="730"/>
      <c r="R317" s="729"/>
      <c r="S317" s="730"/>
      <c r="T317" s="729"/>
      <c r="U317" s="730"/>
      <c r="V317" s="730"/>
      <c r="W317" s="85"/>
      <c r="X317" s="962" t="s">
        <v>533</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8">
        <v>54</v>
      </c>
      <c r="B318" s="159"/>
      <c r="C318" s="881" t="str">
        <f>IF(LEN(O301)&lt;=265,"",RIGHT(O301,LEN(O301)-SEARCH(" ",O301,255)))</f>
        <v/>
      </c>
      <c r="D318" s="513"/>
      <c r="E318" s="513"/>
      <c r="F318" s="513"/>
      <c r="G318" s="513"/>
      <c r="H318" s="513"/>
      <c r="I318" s="513"/>
      <c r="J318" s="513"/>
      <c r="K318" s="85"/>
      <c r="L318" s="981" t="s">
        <v>533</v>
      </c>
      <c r="M318" s="159"/>
      <c r="N318" s="729"/>
      <c r="O318" s="834"/>
      <c r="P318" s="729"/>
      <c r="Q318" s="730"/>
      <c r="R318" s="729"/>
      <c r="S318" s="730"/>
      <c r="T318" s="729"/>
      <c r="U318" s="730"/>
      <c r="V318" s="730"/>
      <c r="W318" s="85"/>
      <c r="X318" s="962" t="s">
        <v>533</v>
      </c>
      <c r="Y318" s="974"/>
      <c r="Z318" s="785"/>
      <c r="AA318" s="785"/>
      <c r="AB318" s="1481">
        <v>0</v>
      </c>
      <c r="AC318" s="797" t="str">
        <f t="shared" si="36"/>
        <v/>
      </c>
      <c r="AD318" s="1515">
        <f>O209</f>
        <v>0</v>
      </c>
      <c r="AE318" s="828" t="s">
        <v>1016</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8">
        <v>55</v>
      </c>
      <c r="B319" s="159"/>
      <c r="C319" s="881" t="str">
        <f>IF(O303="","",IF(LEN(O303)&lt;=135,O303,IF(LEN(O303)&lt;=260,LEFT(O303,SEARCH(" ",O303,125)),LEFT(O303,SEARCH(" ",O303,130)))))</f>
        <v/>
      </c>
      <c r="D319" s="513"/>
      <c r="E319" s="513"/>
      <c r="F319" s="513"/>
      <c r="G319" s="513"/>
      <c r="H319" s="513"/>
      <c r="I319" s="513"/>
      <c r="J319" s="513"/>
      <c r="K319" s="85"/>
      <c r="L319" s="981" t="s">
        <v>533</v>
      </c>
      <c r="M319" s="159"/>
      <c r="N319" s="729"/>
      <c r="O319" s="834"/>
      <c r="P319" s="729"/>
      <c r="Q319" s="730"/>
      <c r="R319" s="729"/>
      <c r="S319" s="730"/>
      <c r="T319" s="729"/>
      <c r="U319" s="730"/>
      <c r="V319" s="730"/>
      <c r="W319" s="85"/>
      <c r="X319" s="962" t="s">
        <v>533</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533</v>
      </c>
      <c r="M320" s="159"/>
      <c r="N320" s="729"/>
      <c r="O320" s="834"/>
      <c r="P320" s="729"/>
      <c r="Q320" s="730"/>
      <c r="R320" s="729"/>
      <c r="S320" s="730"/>
      <c r="T320" s="729"/>
      <c r="U320" s="730"/>
      <c r="V320" s="730"/>
      <c r="W320" s="85"/>
      <c r="X320" s="962" t="s">
        <v>533</v>
      </c>
      <c r="Y320" s="974"/>
      <c r="Z320" s="785"/>
      <c r="AA320" s="785"/>
      <c r="AB320" s="1481">
        <v>0</v>
      </c>
      <c r="AC320" s="797" t="str">
        <f t="shared" si="36"/>
        <v/>
      </c>
      <c r="AD320" s="1515">
        <f>O211</f>
        <v>0</v>
      </c>
      <c r="AE320" s="828" t="s">
        <v>1017</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8">
        <v>57</v>
      </c>
      <c r="B321" s="159"/>
      <c r="C321" s="881" t="str">
        <f>IF(LEN(O303)&lt;=265,"",RIGHT(O303,LEN(O303)-SEARCH(" ",O303,255)))</f>
        <v/>
      </c>
      <c r="D321" s="513"/>
      <c r="E321" s="513"/>
      <c r="F321" s="513"/>
      <c r="G321" s="513"/>
      <c r="H321" s="513"/>
      <c r="I321" s="513"/>
      <c r="J321" s="513"/>
      <c r="K321" s="85"/>
      <c r="L321" s="981" t="s">
        <v>533</v>
      </c>
      <c r="M321" s="159"/>
      <c r="N321" s="729"/>
      <c r="O321" s="834"/>
      <c r="P321" s="729"/>
      <c r="Q321" s="730"/>
      <c r="R321" s="729"/>
      <c r="S321" s="730"/>
      <c r="T321" s="729"/>
      <c r="U321" s="730"/>
      <c r="V321" s="730"/>
      <c r="W321" s="85"/>
      <c r="X321" s="962" t="s">
        <v>533</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8">
        <v>58</v>
      </c>
      <c r="B322" s="159"/>
      <c r="C322" s="881" t="str">
        <f>IF(O305="","",IF(LEN(O305)&lt;=135,O305,IF(LEN(O305)&lt;=260,LEFT(O305,SEARCH(" ",O305,125)),LEFT(O305,SEARCH(" ",O305,130)))))</f>
        <v/>
      </c>
      <c r="D322" s="513"/>
      <c r="E322" s="513"/>
      <c r="F322" s="513"/>
      <c r="G322" s="513"/>
      <c r="H322" s="513"/>
      <c r="I322" s="513"/>
      <c r="J322" s="513"/>
      <c r="K322" s="85"/>
      <c r="L322" s="981" t="s">
        <v>533</v>
      </c>
      <c r="M322" s="159"/>
      <c r="N322" s="729"/>
      <c r="O322" s="834"/>
      <c r="P322" s="729"/>
      <c r="Q322" s="730"/>
      <c r="R322" s="729"/>
      <c r="S322" s="730"/>
      <c r="T322" s="729"/>
      <c r="U322" s="730"/>
      <c r="V322" s="730"/>
      <c r="W322" s="85"/>
      <c r="X322" s="962" t="s">
        <v>533</v>
      </c>
      <c r="Y322" s="974"/>
      <c r="Z322" s="785"/>
      <c r="AA322" s="785"/>
      <c r="AB322" s="1481">
        <v>0</v>
      </c>
      <c r="AC322" s="797" t="str">
        <f t="shared" si="36"/>
        <v/>
      </c>
      <c r="AD322" s="1515">
        <f>O213</f>
        <v>0</v>
      </c>
      <c r="AE322" s="828" t="s">
        <v>1018</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533</v>
      </c>
      <c r="M323" s="159"/>
      <c r="N323" s="729"/>
      <c r="O323" s="834"/>
      <c r="P323" s="729"/>
      <c r="Q323" s="730"/>
      <c r="R323" s="729"/>
      <c r="S323" s="730"/>
      <c r="T323" s="729"/>
      <c r="U323" s="730"/>
      <c r="V323" s="730"/>
      <c r="W323" s="85"/>
      <c r="X323" s="962" t="s">
        <v>533</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8">
        <v>60</v>
      </c>
      <c r="B324" s="159"/>
      <c r="C324" s="881" t="str">
        <f>IF(LEN(O305)&lt;=265,"",RIGHT(O305,LEN(O305)-SEARCH(" ",O305,255)))</f>
        <v/>
      </c>
      <c r="D324" s="513"/>
      <c r="E324" s="513"/>
      <c r="F324" s="513"/>
      <c r="G324" s="513"/>
      <c r="H324" s="513"/>
      <c r="I324" s="513"/>
      <c r="J324" s="513"/>
      <c r="K324" s="85"/>
      <c r="L324" s="981" t="s">
        <v>533</v>
      </c>
      <c r="M324" s="159"/>
      <c r="N324" s="729"/>
      <c r="O324" s="834"/>
      <c r="P324" s="729"/>
      <c r="Q324" s="730"/>
      <c r="R324" s="729"/>
      <c r="S324" s="730"/>
      <c r="T324" s="729"/>
      <c r="U324" s="730"/>
      <c r="V324" s="730"/>
      <c r="W324" s="85"/>
      <c r="X324" s="962" t="s">
        <v>533</v>
      </c>
      <c r="Y324" s="974"/>
      <c r="Z324" s="785"/>
      <c r="AA324" s="785"/>
      <c r="AB324" s="1481">
        <v>0</v>
      </c>
      <c r="AC324" s="797" t="str">
        <f t="shared" si="36"/>
        <v/>
      </c>
      <c r="AD324" s="1515">
        <f>O215</f>
        <v>0</v>
      </c>
      <c r="AE324" s="828" t="s">
        <v>1019</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8">
        <v>61</v>
      </c>
      <c r="B325" s="159"/>
      <c r="C325" s="881" t="str">
        <f>IF(O307="","",IF(LEN(O307)&lt;=135,O307,IF(LEN(O307)&lt;=260,LEFT(O307,SEARCH(" ",O307,125)),LEFT(O307,SEARCH(" ",O307,130)))))</f>
        <v/>
      </c>
      <c r="D325" s="513"/>
      <c r="E325" s="513"/>
      <c r="F325" s="513"/>
      <c r="G325" s="513"/>
      <c r="H325" s="513"/>
      <c r="I325" s="513"/>
      <c r="J325" s="513"/>
      <c r="K325" s="85"/>
      <c r="L325" s="981" t="s">
        <v>533</v>
      </c>
      <c r="M325" s="159"/>
      <c r="N325" s="729"/>
      <c r="O325" s="834"/>
      <c r="P325" s="729"/>
      <c r="Q325" s="730"/>
      <c r="R325" s="729"/>
      <c r="S325" s="730"/>
      <c r="T325" s="729"/>
      <c r="U325" s="730"/>
      <c r="V325" s="730"/>
      <c r="W325" s="85"/>
      <c r="X325" s="962" t="s">
        <v>533</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533</v>
      </c>
      <c r="M326" s="159"/>
      <c r="N326" s="729"/>
      <c r="O326" s="834"/>
      <c r="P326" s="729"/>
      <c r="Q326" s="730"/>
      <c r="R326" s="729"/>
      <c r="S326" s="730"/>
      <c r="T326" s="729"/>
      <c r="U326" s="730"/>
      <c r="V326" s="730"/>
      <c r="W326" s="85"/>
      <c r="X326" s="962" t="s">
        <v>533</v>
      </c>
      <c r="Y326" s="974"/>
      <c r="Z326" s="785"/>
      <c r="AA326" s="785"/>
      <c r="AB326" s="1481">
        <v>0</v>
      </c>
      <c r="AC326" s="797" t="str">
        <f t="shared" si="36"/>
        <v/>
      </c>
      <c r="AD326" s="1515">
        <f>O217</f>
        <v>0</v>
      </c>
      <c r="AE326" s="828" t="s">
        <v>1020</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8">
        <v>63</v>
      </c>
      <c r="B327" s="159"/>
      <c r="C327" s="881" t="str">
        <f>IF(LEN(O307)&lt;=265,"",RIGHT(O307,LEN(O307)-SEARCH(" ",O307,255)))</f>
        <v/>
      </c>
      <c r="D327" s="513"/>
      <c r="E327" s="513"/>
      <c r="F327" s="513"/>
      <c r="G327" s="513"/>
      <c r="H327" s="513"/>
      <c r="I327" s="513"/>
      <c r="J327" s="513"/>
      <c r="K327" s="85"/>
      <c r="L327" s="981" t="s">
        <v>533</v>
      </c>
      <c r="M327" s="159"/>
      <c r="N327" s="733"/>
      <c r="O327" s="835"/>
      <c r="P327" s="733"/>
      <c r="Q327" s="732"/>
      <c r="R327" s="733"/>
      <c r="S327" s="732"/>
      <c r="T327" s="733"/>
      <c r="U327" s="732"/>
      <c r="V327" s="732"/>
      <c r="W327" s="85"/>
      <c r="X327" s="962" t="s">
        <v>533</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8">
        <v>64</v>
      </c>
      <c r="B328" s="116"/>
      <c r="C328" s="98"/>
      <c r="D328" s="98"/>
      <c r="E328" s="98"/>
      <c r="F328" s="98"/>
      <c r="G328" s="98"/>
      <c r="H328" s="98"/>
      <c r="I328" s="98"/>
      <c r="J328" s="98"/>
      <c r="K328" s="103"/>
      <c r="L328" s="981" t="s">
        <v>533</v>
      </c>
      <c r="M328" s="446"/>
      <c r="N328" s="186"/>
      <c r="O328" s="836"/>
      <c r="P328" s="587"/>
      <c r="Q328" s="186"/>
      <c r="R328" s="186"/>
      <c r="S328" s="186"/>
      <c r="T328" s="186"/>
      <c r="U328" s="186"/>
      <c r="V328" s="186"/>
      <c r="W328" s="448"/>
      <c r="X328" s="962" t="s">
        <v>533</v>
      </c>
      <c r="Y328" s="974"/>
      <c r="Z328" s="785"/>
      <c r="AA328" s="785"/>
      <c r="AB328" s="1481">
        <v>0</v>
      </c>
      <c r="AC328" s="797" t="str">
        <f t="shared" si="36"/>
        <v/>
      </c>
      <c r="AD328" s="1515">
        <f>O219</f>
        <v>0</v>
      </c>
      <c r="AE328" s="828" t="s">
        <v>1021</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8">
        <v>65</v>
      </c>
      <c r="B329" s="64" t="str">
        <f t="array" ref="B329:C330">$B$65:$C$66</f>
        <v>Date:</v>
      </c>
      <c r="C329" s="1467">
        <v>43039</v>
      </c>
      <c r="E329" s="63"/>
      <c r="F329" s="63"/>
      <c r="G329" s="63"/>
      <c r="H329" s="63"/>
      <c r="I329" s="64" t="str">
        <f t="array" ref="I329:J330">$I$65:$J$66</f>
        <v>Inspector:</v>
      </c>
      <c r="J329" s="565" t="str">
        <v>Eugene Mah</v>
      </c>
      <c r="L329" s="981" t="s">
        <v>533</v>
      </c>
      <c r="O329" s="840"/>
      <c r="X329" s="962" t="s">
        <v>533</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8">
        <v>66</v>
      </c>
      <c r="B330" s="64" t="str">
        <v>Room Number:</v>
      </c>
      <c r="C330" s="508" t="str">
        <v>Room 04 RT 127M - Tube 1</v>
      </c>
      <c r="E330" s="63"/>
      <c r="F330" s="63"/>
      <c r="G330" s="63"/>
      <c r="H330" s="63"/>
      <c r="I330" s="64" t="str">
        <v>Survey ID:</v>
      </c>
      <c r="J330" s="1475">
        <v>1976</v>
      </c>
      <c r="L330" s="981" t="s">
        <v>533</v>
      </c>
      <c r="O330" s="840"/>
      <c r="X330" s="962" t="s">
        <v>533</v>
      </c>
      <c r="Y330" s="974"/>
      <c r="Z330" s="785"/>
      <c r="AA330" s="785"/>
      <c r="AB330" s="1481">
        <v>0</v>
      </c>
      <c r="AC330" s="797" t="str">
        <f t="shared" si="36"/>
        <v/>
      </c>
      <c r="AD330" s="1515">
        <f>O221</f>
        <v>0</v>
      </c>
      <c r="AE330" s="828" t="s">
        <v>1022</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8">
        <v>1</v>
      </c>
      <c r="B331" s="1"/>
      <c r="C331" s="1"/>
      <c r="D331" s="1"/>
      <c r="E331" s="1"/>
      <c r="F331" s="1"/>
      <c r="G331" s="1"/>
      <c r="H331" s="1"/>
      <c r="I331" s="1"/>
      <c r="J331" s="1"/>
      <c r="K331" s="165" t="str">
        <f>$F$2</f>
        <v>Medical University of South Carolina</v>
      </c>
      <c r="L331" s="981" t="s">
        <v>533</v>
      </c>
      <c r="M331" s="1"/>
      <c r="N331" s="1"/>
      <c r="O331" s="841"/>
      <c r="P331" s="588"/>
      <c r="Q331" s="1"/>
      <c r="R331" s="1"/>
      <c r="S331" s="1"/>
      <c r="T331" s="1"/>
      <c r="U331" s="1"/>
      <c r="V331" s="1"/>
      <c r="W331" s="165" t="str">
        <f>$F$2</f>
        <v>Medical University of South Carolina</v>
      </c>
      <c r="X331" s="962" t="s">
        <v>533</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8">
        <v>2</v>
      </c>
      <c r="B332" s="1"/>
      <c r="C332" s="1"/>
      <c r="D332" s="1"/>
      <c r="E332" s="1"/>
      <c r="F332" s="344" t="str">
        <f>$F$464</f>
        <v>Measurement Data</v>
      </c>
      <c r="G332" s="1"/>
      <c r="H332" s="1"/>
      <c r="I332" s="1"/>
      <c r="J332" s="1"/>
      <c r="K332" s="166" t="str">
        <f>$F$5</f>
        <v>Radiographic System Compliance Inspection</v>
      </c>
      <c r="L332" s="981" t="s">
        <v>533</v>
      </c>
      <c r="M332" s="1"/>
      <c r="N332" s="1"/>
      <c r="O332" s="841"/>
      <c r="P332" s="588"/>
      <c r="Q332" s="1"/>
      <c r="R332" s="1"/>
      <c r="S332" s="1"/>
      <c r="T332" s="1"/>
      <c r="U332" s="1"/>
      <c r="V332" s="1"/>
      <c r="W332" s="166" t="str">
        <f>$F$5</f>
        <v>Radiographic System Compliance Inspection</v>
      </c>
      <c r="X332" s="962" t="s">
        <v>533</v>
      </c>
      <c r="Y332" s="974"/>
      <c r="Z332" s="785"/>
      <c r="AA332" s="785"/>
      <c r="AB332" s="1481">
        <v>0</v>
      </c>
      <c r="AC332" s="797" t="str">
        <f t="shared" si="36"/>
        <v/>
      </c>
      <c r="AD332" s="1515">
        <f>O223</f>
        <v>0</v>
      </c>
      <c r="AE332" s="828" t="s">
        <v>1023</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8">
        <v>3</v>
      </c>
      <c r="L333" s="981" t="s">
        <v>533</v>
      </c>
      <c r="M333" s="1"/>
      <c r="N333" s="1"/>
      <c r="O333" s="841"/>
      <c r="P333" s="588"/>
      <c r="Q333" s="1"/>
      <c r="R333" s="1"/>
      <c r="S333" s="1"/>
      <c r="T333" s="1"/>
      <c r="U333" s="1"/>
      <c r="V333" s="1"/>
      <c r="W333" s="1"/>
      <c r="X333" s="962" t="s">
        <v>533</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8">
        <v>4</v>
      </c>
      <c r="F334" s="248" t="str">
        <f>$R$334</f>
        <v>COMMENTS PAGE 3</v>
      </c>
      <c r="L334" s="981" t="s">
        <v>533</v>
      </c>
      <c r="M334" s="204"/>
      <c r="N334" s="204"/>
      <c r="O334" s="838"/>
      <c r="P334" s="589"/>
      <c r="Q334" s="204"/>
      <c r="R334" s="248" t="str">
        <f>"COMMENTS"&amp;IF(OR($O$205=0,$O$205="")," PAGE 3"," PAGE 4")</f>
        <v>COMMENTS PAGE 3</v>
      </c>
      <c r="S334" s="204"/>
      <c r="T334" s="204"/>
      <c r="U334" s="204"/>
      <c r="V334" s="204"/>
      <c r="W334" s="204"/>
      <c r="X334" s="962" t="s">
        <v>533</v>
      </c>
      <c r="Y334" s="974"/>
      <c r="Z334" s="785"/>
      <c r="AA334" s="785"/>
      <c r="AB334" s="1481">
        <v>0</v>
      </c>
      <c r="AC334" s="797" t="str">
        <f t="shared" si="36"/>
        <v/>
      </c>
      <c r="AD334" s="1515">
        <f>O225</f>
        <v>0</v>
      </c>
      <c r="AE334" s="828" t="s">
        <v>1024</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8">
        <v>5</v>
      </c>
      <c r="L335" s="981" t="s">
        <v>533</v>
      </c>
      <c r="M335" s="204"/>
      <c r="N335" s="204"/>
      <c r="O335" s="838"/>
      <c r="P335" s="589"/>
      <c r="Q335" s="204"/>
      <c r="R335" s="204"/>
      <c r="S335" s="204"/>
      <c r="T335" s="204"/>
      <c r="U335" s="204"/>
      <c r="V335" s="204"/>
      <c r="W335" s="204"/>
      <c r="X335" s="962" t="s">
        <v>533</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8">
        <v>6</v>
      </c>
      <c r="B336" s="93"/>
      <c r="C336" s="76"/>
      <c r="D336" s="76"/>
      <c r="E336" s="76"/>
      <c r="F336" s="76"/>
      <c r="G336" s="76"/>
      <c r="H336" s="76"/>
      <c r="I336" s="76"/>
      <c r="J336" s="76"/>
      <c r="K336" s="94"/>
      <c r="L336" s="981" t="s">
        <v>533</v>
      </c>
      <c r="M336" s="436"/>
      <c r="N336" s="437"/>
      <c r="O336" s="839"/>
      <c r="P336" s="585"/>
      <c r="Q336" s="988" t="s">
        <v>479</v>
      </c>
      <c r="R336" s="437"/>
      <c r="S336" s="437"/>
      <c r="T336" s="437"/>
      <c r="U336" s="437"/>
      <c r="V336" s="437"/>
      <c r="W336" s="438"/>
      <c r="X336" s="962" t="s">
        <v>533</v>
      </c>
      <c r="Y336" s="974"/>
      <c r="Z336" s="785"/>
      <c r="AA336" s="785"/>
      <c r="AB336" s="1481">
        <v>0</v>
      </c>
      <c r="AC336" s="797" t="str">
        <f t="shared" ref="AC336:AC399" si="40">IF(AND(OR(AB336="",AB336=0),OR(AD336="",AD336=0)),"",IF(AB336&lt;&gt;AD336,"Change",""))</f>
        <v/>
      </c>
      <c r="AD336" s="1515">
        <f>O227</f>
        <v>0</v>
      </c>
      <c r="AE336" s="828" t="s">
        <v>1025</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8">
        <v>7</v>
      </c>
      <c r="B337" s="124" t="s">
        <v>681</v>
      </c>
      <c r="C337" s="881" t="str">
        <f>IF(O337="","",IF(LEN(O337)&lt;=135,O337,IF(LEN(O337)&lt;=260,LEFT(O337,SEARCH(" ",O337,125)),LEFT(O337,SEARCH(" ",O337,130)))))</f>
        <v/>
      </c>
      <c r="D337" s="513"/>
      <c r="E337" s="513"/>
      <c r="F337" s="513"/>
      <c r="G337" s="513"/>
      <c r="H337" s="513"/>
      <c r="I337" s="513"/>
      <c r="J337" s="513"/>
      <c r="K337" s="85"/>
      <c r="L337" s="981" t="s">
        <v>533</v>
      </c>
      <c r="M337" s="442"/>
      <c r="N337" s="187" t="s">
        <v>681</v>
      </c>
      <c r="O337" s="1564"/>
      <c r="P337" s="586"/>
      <c r="Q337" s="983" t="str">
        <f>IF(OR(AB390=0,AB390=""),"",AB390)</f>
        <v/>
      </c>
      <c r="R337" s="61"/>
      <c r="S337" s="61"/>
      <c r="T337" s="61"/>
      <c r="U337" s="61"/>
      <c r="V337" s="61"/>
      <c r="W337" s="444"/>
      <c r="X337" s="962" t="s">
        <v>533</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533</v>
      </c>
      <c r="M338" s="101"/>
      <c r="N338" s="876" t="s">
        <v>373</v>
      </c>
      <c r="O338" s="1565"/>
      <c r="P338" s="877">
        <f>LEN(O337)</f>
        <v>0</v>
      </c>
      <c r="Q338" s="984"/>
      <c r="R338" s="987">
        <f>LEN(Q337)</f>
        <v>0</v>
      </c>
      <c r="S338" s="73"/>
      <c r="T338" s="73"/>
      <c r="U338" s="73"/>
      <c r="V338" s="73"/>
      <c r="W338" s="447"/>
      <c r="X338" s="962" t="s">
        <v>533</v>
      </c>
      <c r="Y338" s="974"/>
      <c r="Z338" s="785"/>
      <c r="AA338" s="785"/>
      <c r="AB338" s="1481">
        <v>0</v>
      </c>
      <c r="AC338" s="797" t="str">
        <f t="shared" si="40"/>
        <v/>
      </c>
      <c r="AD338" s="1515">
        <f>O229</f>
        <v>0</v>
      </c>
      <c r="AE338" s="828" t="s">
        <v>1026</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8">
        <v>9</v>
      </c>
      <c r="B339" s="101"/>
      <c r="C339" s="881" t="str">
        <f>IF(LEN(O337)&lt;=265,"",RIGHT(O337,LEN(O337)-SEARCH(" ",O337,255)))</f>
        <v/>
      </c>
      <c r="D339" s="513"/>
      <c r="E339" s="513"/>
      <c r="F339" s="513"/>
      <c r="G339" s="513"/>
      <c r="H339" s="513"/>
      <c r="I339" s="513"/>
      <c r="J339" s="513"/>
      <c r="K339" s="85"/>
      <c r="L339" s="981" t="s">
        <v>533</v>
      </c>
      <c r="M339" s="143"/>
      <c r="N339" s="187" t="s">
        <v>151</v>
      </c>
      <c r="O339" s="1564"/>
      <c r="P339" s="586"/>
      <c r="Q339" s="983" t="str">
        <f>IF(OR(AB392=0,AB392=""),"",AB392)</f>
        <v/>
      </c>
      <c r="R339" s="61"/>
      <c r="S339" s="61"/>
      <c r="T339" s="61"/>
      <c r="U339" s="61"/>
      <c r="V339" s="61"/>
      <c r="W339" s="444"/>
      <c r="X339" s="962" t="s">
        <v>533</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8">
        <v>10</v>
      </c>
      <c r="B340" s="159"/>
      <c r="C340" s="881" t="str">
        <f>IF(O339="","",IF(LEN(O339)&lt;=135,O339,IF(LEN(O339)&lt;=260,LEFT(O339,SEARCH(" ",O339,125)),LEFT(O339,SEARCH(" ",O339,130)))))</f>
        <v/>
      </c>
      <c r="D340" s="513"/>
      <c r="E340" s="513"/>
      <c r="F340" s="513"/>
      <c r="G340" s="513"/>
      <c r="H340" s="513"/>
      <c r="I340" s="513"/>
      <c r="J340" s="513"/>
      <c r="K340" s="85"/>
      <c r="L340" s="981" t="s">
        <v>533</v>
      </c>
      <c r="M340" s="101"/>
      <c r="N340" s="876" t="s">
        <v>373</v>
      </c>
      <c r="O340" s="1565"/>
      <c r="P340" s="877">
        <f>LEN(O339)</f>
        <v>0</v>
      </c>
      <c r="Q340" s="984"/>
      <c r="R340" s="987">
        <f>LEN(Q339)</f>
        <v>0</v>
      </c>
      <c r="S340" s="61"/>
      <c r="T340" s="61"/>
      <c r="U340" s="61"/>
      <c r="V340" s="61"/>
      <c r="W340" s="444"/>
      <c r="X340" s="962" t="s">
        <v>533</v>
      </c>
      <c r="Y340" s="974"/>
      <c r="Z340" s="785"/>
      <c r="AA340" s="785"/>
      <c r="AB340" s="1481">
        <v>0</v>
      </c>
      <c r="AC340" s="797" t="str">
        <f t="shared" si="40"/>
        <v/>
      </c>
      <c r="AD340" s="1515">
        <f>O231</f>
        <v>0</v>
      </c>
      <c r="AE340" s="828" t="s">
        <v>1027</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533</v>
      </c>
      <c r="M341" s="451"/>
      <c r="N341" s="187" t="s">
        <v>151</v>
      </c>
      <c r="O341" s="1564"/>
      <c r="P341" s="586"/>
      <c r="Q341" s="983" t="str">
        <f>IF(OR(AB394=0,AB394=""),"",AB394)</f>
        <v/>
      </c>
      <c r="R341" s="61"/>
      <c r="S341" s="73"/>
      <c r="T341" s="73"/>
      <c r="U341" s="73"/>
      <c r="V341" s="73"/>
      <c r="W341" s="447"/>
      <c r="X341" s="962" t="s">
        <v>533</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8">
        <v>12</v>
      </c>
      <c r="B342" s="159"/>
      <c r="C342" s="881" t="str">
        <f>IF(LEN(O339)&lt;=265,"",RIGHT(O339,LEN(O339)-SEARCH(" ",O339,255)))</f>
        <v/>
      </c>
      <c r="D342" s="513"/>
      <c r="E342" s="513"/>
      <c r="F342" s="513"/>
      <c r="G342" s="513"/>
      <c r="H342" s="513"/>
      <c r="I342" s="513"/>
      <c r="J342" s="513"/>
      <c r="K342" s="85"/>
      <c r="L342" s="981" t="s">
        <v>533</v>
      </c>
      <c r="M342" s="143"/>
      <c r="N342" s="876" t="s">
        <v>373</v>
      </c>
      <c r="O342" s="1565"/>
      <c r="P342" s="877">
        <f>LEN(O341)</f>
        <v>0</v>
      </c>
      <c r="Q342" s="984"/>
      <c r="R342" s="987">
        <f>LEN(Q341)</f>
        <v>0</v>
      </c>
      <c r="S342" s="61"/>
      <c r="T342" s="61"/>
      <c r="U342" s="61"/>
      <c r="V342" s="61"/>
      <c r="W342" s="444"/>
      <c r="X342" s="962" t="s">
        <v>533</v>
      </c>
      <c r="Y342" s="974"/>
      <c r="AA342" s="785"/>
      <c r="AB342" s="1481">
        <v>0</v>
      </c>
      <c r="AC342" s="797" t="str">
        <f t="shared" si="40"/>
        <v/>
      </c>
      <c r="AD342" s="1515">
        <f>O233</f>
        <v>0</v>
      </c>
      <c r="AE342" s="828" t="s">
        <v>1028</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8">
        <v>13</v>
      </c>
      <c r="B343" s="159"/>
      <c r="C343" s="881" t="str">
        <f>IF(O341="","",IF(LEN(O341)&lt;=135,O341,IF(LEN(O341)&lt;=260,LEFT(O341,SEARCH(" ",O341,125)),LEFT(O341,SEARCH(" ",O341,130)))))</f>
        <v/>
      </c>
      <c r="D343" s="513"/>
      <c r="E343" s="513"/>
      <c r="F343" s="513"/>
      <c r="G343" s="513"/>
      <c r="H343" s="513"/>
      <c r="I343" s="513"/>
      <c r="J343" s="513"/>
      <c r="K343" s="85"/>
      <c r="L343" s="981" t="s">
        <v>533</v>
      </c>
      <c r="M343" s="101"/>
      <c r="N343" s="187" t="s">
        <v>151</v>
      </c>
      <c r="O343" s="1564"/>
      <c r="P343" s="586"/>
      <c r="Q343" s="983" t="str">
        <f>IF(OR(AB396=0,AB396=""),"",AB396)</f>
        <v/>
      </c>
      <c r="R343" s="61"/>
      <c r="S343" s="61"/>
      <c r="T343" s="61"/>
      <c r="U343" s="61"/>
      <c r="V343" s="61"/>
      <c r="W343" s="444"/>
      <c r="X343" s="962" t="s">
        <v>533</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533</v>
      </c>
      <c r="M344" s="451"/>
      <c r="N344" s="876" t="s">
        <v>373</v>
      </c>
      <c r="O344" s="1565"/>
      <c r="P344" s="877">
        <f>LEN(O343)</f>
        <v>0</v>
      </c>
      <c r="Q344" s="984"/>
      <c r="R344" s="987">
        <f>LEN(Q343)</f>
        <v>0</v>
      </c>
      <c r="S344" s="73"/>
      <c r="T344" s="73"/>
      <c r="U344" s="73"/>
      <c r="V344" s="73"/>
      <c r="W344" s="447"/>
      <c r="X344" s="962" t="s">
        <v>533</v>
      </c>
      <c r="Y344" s="974"/>
      <c r="Z344" s="441"/>
      <c r="AA344" s="785"/>
      <c r="AB344" s="1481">
        <v>0</v>
      </c>
      <c r="AC344" s="797" t="str">
        <f t="shared" si="40"/>
        <v/>
      </c>
      <c r="AD344" s="1515">
        <f>O235</f>
        <v>0</v>
      </c>
      <c r="AE344" s="828" t="s">
        <v>1029</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8">
        <v>15</v>
      </c>
      <c r="B345" s="159"/>
      <c r="C345" s="881" t="str">
        <f>IF(LEN(O341)&lt;=265,"",RIGHT(O341,LEN(O341)-SEARCH(" ",O341,255)))</f>
        <v/>
      </c>
      <c r="D345" s="513"/>
      <c r="E345" s="513"/>
      <c r="F345" s="513"/>
      <c r="G345" s="513"/>
      <c r="H345" s="513"/>
      <c r="I345" s="513"/>
      <c r="J345" s="513"/>
      <c r="K345" s="85"/>
      <c r="L345" s="981" t="s">
        <v>533</v>
      </c>
      <c r="M345" s="143"/>
      <c r="N345" s="187" t="s">
        <v>151</v>
      </c>
      <c r="O345" s="1564"/>
      <c r="P345" s="586"/>
      <c r="Q345" s="983" t="str">
        <f>IF(OR(AB398=0,AB398=""),"",AB398)</f>
        <v/>
      </c>
      <c r="R345" s="61"/>
      <c r="S345" s="61"/>
      <c r="T345" s="61"/>
      <c r="U345" s="61"/>
      <c r="V345" s="61"/>
      <c r="W345" s="444"/>
      <c r="X345" s="962" t="s">
        <v>533</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8">
        <v>16</v>
      </c>
      <c r="B346" s="159"/>
      <c r="C346" s="881" t="str">
        <f>IF(O343="","",IF(LEN(O343)&lt;=135,O343,IF(LEN(O343)&lt;=260,LEFT(O343,SEARCH(" ",O343,125)),LEFT(O343,SEARCH(" ",O343,130)))))</f>
        <v/>
      </c>
      <c r="D346" s="513"/>
      <c r="E346" s="513"/>
      <c r="F346" s="513"/>
      <c r="G346" s="513"/>
      <c r="H346" s="513"/>
      <c r="I346" s="513"/>
      <c r="J346" s="513"/>
      <c r="K346" s="85"/>
      <c r="L346" s="981" t="s">
        <v>533</v>
      </c>
      <c r="M346" s="101"/>
      <c r="N346" s="876" t="s">
        <v>373</v>
      </c>
      <c r="O346" s="1565"/>
      <c r="P346" s="877">
        <f>LEN(O345)</f>
        <v>0</v>
      </c>
      <c r="Q346" s="984"/>
      <c r="R346" s="987">
        <f>LEN(Q345)</f>
        <v>0</v>
      </c>
      <c r="S346" s="61"/>
      <c r="T346" s="61"/>
      <c r="U346" s="61"/>
      <c r="V346" s="61"/>
      <c r="W346" s="444"/>
      <c r="X346" s="962" t="s">
        <v>533</v>
      </c>
      <c r="Y346" s="974"/>
      <c r="Z346" s="785"/>
      <c r="AA346" s="785"/>
      <c r="AB346" s="1481">
        <v>0</v>
      </c>
      <c r="AC346" s="797" t="str">
        <f t="shared" si="40"/>
        <v/>
      </c>
      <c r="AD346" s="1515">
        <f>O237</f>
        <v>0</v>
      </c>
      <c r="AE346" s="828" t="s">
        <v>1030</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533</v>
      </c>
      <c r="M347" s="451"/>
      <c r="N347" s="187" t="s">
        <v>151</v>
      </c>
      <c r="O347" s="1564"/>
      <c r="P347" s="586"/>
      <c r="Q347" s="983" t="str">
        <f>IF(OR(AB400=0,AB400=""),"",AB400)</f>
        <v/>
      </c>
      <c r="R347" s="61"/>
      <c r="S347" s="73"/>
      <c r="T347" s="73"/>
      <c r="U347" s="73"/>
      <c r="V347" s="73"/>
      <c r="W347" s="447"/>
      <c r="X347" s="962" t="s">
        <v>533</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8">
        <v>18</v>
      </c>
      <c r="B348" s="159"/>
      <c r="C348" s="881" t="str">
        <f>IF(LEN(O343)&lt;=265,"",RIGHT(O343,LEN(O343)-SEARCH(" ",O343,255)))</f>
        <v/>
      </c>
      <c r="D348" s="513"/>
      <c r="E348" s="513"/>
      <c r="F348" s="513"/>
      <c r="G348" s="513"/>
      <c r="H348" s="513"/>
      <c r="I348" s="513"/>
      <c r="J348" s="513"/>
      <c r="K348" s="85"/>
      <c r="L348" s="981" t="s">
        <v>533</v>
      </c>
      <c r="M348" s="143"/>
      <c r="N348" s="876" t="s">
        <v>373</v>
      </c>
      <c r="O348" s="1565"/>
      <c r="P348" s="877">
        <f>LEN(O347)</f>
        <v>0</v>
      </c>
      <c r="Q348" s="984"/>
      <c r="R348" s="987">
        <f>LEN(Q347)</f>
        <v>0</v>
      </c>
      <c r="S348" s="61"/>
      <c r="T348" s="61"/>
      <c r="U348" s="61"/>
      <c r="V348" s="61"/>
      <c r="W348" s="444"/>
      <c r="X348" s="962" t="s">
        <v>533</v>
      </c>
      <c r="Y348" s="974"/>
      <c r="Z348" s="785"/>
      <c r="AA348" s="441"/>
      <c r="AB348" s="1481">
        <v>0</v>
      </c>
      <c r="AC348" s="797" t="str">
        <f t="shared" si="40"/>
        <v/>
      </c>
      <c r="AD348" s="1515">
        <f>O239</f>
        <v>0</v>
      </c>
      <c r="AE348" s="828" t="s">
        <v>1031</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8">
        <v>19</v>
      </c>
      <c r="B349" s="159"/>
      <c r="C349" s="881" t="str">
        <f>IF(O345="","",IF(LEN(O345)&lt;=135,O345,IF(LEN(O345)&lt;=260,LEFT(O345,SEARCH(" ",O345,125)),LEFT(O345,SEARCH(" ",O345,130)))))</f>
        <v/>
      </c>
      <c r="D349" s="513"/>
      <c r="E349" s="513"/>
      <c r="F349" s="513"/>
      <c r="G349" s="513"/>
      <c r="H349" s="513"/>
      <c r="I349" s="513"/>
      <c r="J349" s="513"/>
      <c r="K349" s="85"/>
      <c r="L349" s="981" t="s">
        <v>533</v>
      </c>
      <c r="M349" s="101"/>
      <c r="N349" s="187" t="s">
        <v>151</v>
      </c>
      <c r="O349" s="1564"/>
      <c r="P349" s="586"/>
      <c r="Q349" s="983" t="str">
        <f>IF(OR(AB402=0,AB402=""),"",AB402)</f>
        <v/>
      </c>
      <c r="R349" s="61"/>
      <c r="S349" s="61"/>
      <c r="T349" s="61"/>
      <c r="U349" s="61"/>
      <c r="V349" s="61"/>
      <c r="W349" s="444"/>
      <c r="X349" s="962" t="s">
        <v>533</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533</v>
      </c>
      <c r="M350" s="451"/>
      <c r="N350" s="876" t="s">
        <v>373</v>
      </c>
      <c r="O350" s="1565"/>
      <c r="P350" s="877">
        <f>LEN(O349)</f>
        <v>0</v>
      </c>
      <c r="Q350" s="984"/>
      <c r="R350" s="987">
        <f>LEN(Q349)</f>
        <v>0</v>
      </c>
      <c r="S350" s="73"/>
      <c r="T350" s="73"/>
      <c r="U350" s="73"/>
      <c r="V350" s="73"/>
      <c r="W350" s="447"/>
      <c r="X350" s="962" t="s">
        <v>533</v>
      </c>
      <c r="Y350" s="974"/>
      <c r="Z350" s="785"/>
      <c r="AA350" s="441"/>
      <c r="AB350" s="1481">
        <v>0</v>
      </c>
      <c r="AC350" s="797" t="str">
        <f t="shared" si="40"/>
        <v/>
      </c>
      <c r="AD350" s="1515">
        <f>O241</f>
        <v>0</v>
      </c>
      <c r="AE350" s="828" t="s">
        <v>1032</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8">
        <v>21</v>
      </c>
      <c r="B351" s="159"/>
      <c r="C351" s="881" t="str">
        <f>IF(LEN(O345)&lt;=265,"",RIGHT(O345,LEN(O345)-SEARCH(" ",O345,255)))</f>
        <v/>
      </c>
      <c r="D351" s="513"/>
      <c r="E351" s="513"/>
      <c r="F351" s="513"/>
      <c r="G351" s="513"/>
      <c r="H351" s="513"/>
      <c r="I351" s="513"/>
      <c r="J351" s="513"/>
      <c r="K351" s="85"/>
      <c r="L351" s="981" t="s">
        <v>533</v>
      </c>
      <c r="M351" s="143"/>
      <c r="N351" s="187" t="s">
        <v>151</v>
      </c>
      <c r="O351" s="1564"/>
      <c r="P351" s="586"/>
      <c r="Q351" s="983" t="str">
        <f>IF(OR(AB404=0,AB404=""),"",AB404)</f>
        <v/>
      </c>
      <c r="R351" s="61"/>
      <c r="S351" s="61"/>
      <c r="T351" s="61"/>
      <c r="U351" s="61"/>
      <c r="V351" s="61"/>
      <c r="W351" s="444"/>
      <c r="X351" s="962" t="s">
        <v>533</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8">
        <v>22</v>
      </c>
      <c r="B352" s="159"/>
      <c r="C352" s="881" t="str">
        <f>IF(O347="","",IF(LEN(O347)&lt;=135,O347,IF(LEN(O347)&lt;=260,LEFT(O347,SEARCH(" ",O347,125)),LEFT(O347,SEARCH(" ",O347,130)))))</f>
        <v/>
      </c>
      <c r="D352" s="513"/>
      <c r="E352" s="513"/>
      <c r="F352" s="513"/>
      <c r="G352" s="513"/>
      <c r="H352" s="513"/>
      <c r="I352" s="513"/>
      <c r="J352" s="513"/>
      <c r="K352" s="85"/>
      <c r="L352" s="981" t="s">
        <v>533</v>
      </c>
      <c r="M352" s="101"/>
      <c r="N352" s="876" t="s">
        <v>373</v>
      </c>
      <c r="O352" s="1565"/>
      <c r="P352" s="877">
        <f>LEN(O351)</f>
        <v>0</v>
      </c>
      <c r="Q352" s="984"/>
      <c r="R352" s="987">
        <f>LEN(Q351)</f>
        <v>0</v>
      </c>
      <c r="S352" s="61"/>
      <c r="T352" s="61"/>
      <c r="U352" s="61"/>
      <c r="V352" s="61"/>
      <c r="W352" s="444"/>
      <c r="X352" s="962" t="s">
        <v>533</v>
      </c>
      <c r="Y352" s="974"/>
      <c r="Z352" s="785"/>
      <c r="AA352" s="791" t="s">
        <v>740</v>
      </c>
      <c r="AB352" s="1481" t="s">
        <v>1288</v>
      </c>
      <c r="AC352" s="797" t="str">
        <f t="shared" si="40"/>
        <v>Change</v>
      </c>
      <c r="AD352" s="1515">
        <f>O271</f>
        <v>0</v>
      </c>
      <c r="AE352" s="828" t="s">
        <v>1033</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533</v>
      </c>
      <c r="M353" s="451"/>
      <c r="N353" s="187" t="s">
        <v>151</v>
      </c>
      <c r="O353" s="1564"/>
      <c r="P353" s="586"/>
      <c r="Q353" s="983" t="str">
        <f>IF(OR(AB406=0,AB406=""),"",AB406)</f>
        <v/>
      </c>
      <c r="R353" s="61"/>
      <c r="S353" s="73"/>
      <c r="T353" s="73"/>
      <c r="U353" s="73"/>
      <c r="V353" s="73"/>
      <c r="W353" s="447"/>
      <c r="X353" s="962" t="s">
        <v>533</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8">
        <v>24</v>
      </c>
      <c r="B354" s="159"/>
      <c r="C354" s="881" t="str">
        <f>IF(LEN(O347)&lt;=265,"",RIGHT(O347,LEN(O347)-SEARCH(" ",O347,255)))</f>
        <v/>
      </c>
      <c r="D354" s="513"/>
      <c r="E354" s="513"/>
      <c r="F354" s="513"/>
      <c r="G354" s="513"/>
      <c r="H354" s="513"/>
      <c r="I354" s="513"/>
      <c r="J354" s="513"/>
      <c r="K354" s="85"/>
      <c r="L354" s="981" t="s">
        <v>533</v>
      </c>
      <c r="M354" s="143"/>
      <c r="N354" s="876" t="s">
        <v>373</v>
      </c>
      <c r="O354" s="1565"/>
      <c r="P354" s="877">
        <f>LEN(O353)</f>
        <v>0</v>
      </c>
      <c r="Q354" s="984"/>
      <c r="R354" s="987">
        <f>LEN(Q353)</f>
        <v>0</v>
      </c>
      <c r="S354" s="61"/>
      <c r="T354" s="61"/>
      <c r="U354" s="61"/>
      <c r="V354" s="61"/>
      <c r="W354" s="444"/>
      <c r="X354" s="962" t="s">
        <v>533</v>
      </c>
      <c r="Y354" s="974"/>
      <c r="Z354" s="785"/>
      <c r="AA354" s="785"/>
      <c r="AB354" s="1481" t="s">
        <v>1289</v>
      </c>
      <c r="AC354" s="797" t="str">
        <f t="shared" si="40"/>
        <v>Change</v>
      </c>
      <c r="AD354" s="1515">
        <f>O273</f>
        <v>0</v>
      </c>
      <c r="AE354" s="828" t="s">
        <v>1034</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8">
        <v>25</v>
      </c>
      <c r="B355" s="159"/>
      <c r="C355" s="881" t="str">
        <f>IF(O349="","",IF(LEN(O349)&lt;=135,O349,IF(LEN(O349)&lt;=260,LEFT(O349,SEARCH(" ",O349,125)),LEFT(O349,SEARCH(" ",O349,130)))))</f>
        <v/>
      </c>
      <c r="D355" s="513"/>
      <c r="E355" s="513"/>
      <c r="F355" s="513"/>
      <c r="G355" s="513"/>
      <c r="H355" s="513"/>
      <c r="I355" s="513"/>
      <c r="J355" s="513"/>
      <c r="K355" s="85"/>
      <c r="L355" s="981" t="s">
        <v>533</v>
      </c>
      <c r="M355" s="101"/>
      <c r="N355" s="187" t="s">
        <v>151</v>
      </c>
      <c r="O355" s="1564"/>
      <c r="P355" s="586"/>
      <c r="Q355" s="983" t="str">
        <f>IF(OR(AB408=0,AB408=""),"",AB408)</f>
        <v/>
      </c>
      <c r="R355" s="61"/>
      <c r="S355" s="61"/>
      <c r="T355" s="61"/>
      <c r="U355" s="61"/>
      <c r="V355" s="61"/>
      <c r="W355" s="444"/>
      <c r="X355" s="962" t="s">
        <v>533</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533</v>
      </c>
      <c r="M356" s="451"/>
      <c r="N356" s="876" t="s">
        <v>373</v>
      </c>
      <c r="O356" s="1565"/>
      <c r="P356" s="877">
        <f>LEN(O355)</f>
        <v>0</v>
      </c>
      <c r="Q356" s="984"/>
      <c r="R356" s="987">
        <f>LEN(Q355)</f>
        <v>0</v>
      </c>
      <c r="S356" s="73"/>
      <c r="T356" s="73"/>
      <c r="U356" s="73"/>
      <c r="V356" s="73"/>
      <c r="W356" s="447"/>
      <c r="X356" s="962" t="s">
        <v>533</v>
      </c>
      <c r="Y356" s="974"/>
      <c r="Z356" s="785"/>
      <c r="AA356" s="785"/>
      <c r="AB356" s="1481" t="s">
        <v>1290</v>
      </c>
      <c r="AC356" s="797" t="str">
        <f t="shared" si="40"/>
        <v>Change</v>
      </c>
      <c r="AD356" s="1515">
        <f>O275</f>
        <v>0</v>
      </c>
      <c r="AE356" s="828" t="s">
        <v>1035</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8">
        <v>27</v>
      </c>
      <c r="B357" s="159"/>
      <c r="C357" s="881" t="str">
        <f>IF(LEN(O349)&lt;=265,"",RIGHT(O349,LEN(O349)-SEARCH(" ",O349,255)))</f>
        <v/>
      </c>
      <c r="D357" s="513"/>
      <c r="E357" s="513"/>
      <c r="F357" s="513"/>
      <c r="G357" s="513"/>
      <c r="H357" s="513"/>
      <c r="I357" s="513"/>
      <c r="J357" s="513"/>
      <c r="K357" s="85"/>
      <c r="L357" s="981" t="s">
        <v>533</v>
      </c>
      <c r="M357" s="143"/>
      <c r="N357" s="187" t="s">
        <v>151</v>
      </c>
      <c r="O357" s="1564"/>
      <c r="P357" s="586"/>
      <c r="Q357" s="983" t="str">
        <f>IF(OR(AB410=0,AB410=""),"",AB410)</f>
        <v/>
      </c>
      <c r="R357" s="61"/>
      <c r="S357" s="61"/>
      <c r="T357" s="61"/>
      <c r="U357" s="61"/>
      <c r="V357" s="61"/>
      <c r="W357" s="444"/>
      <c r="X357" s="962" t="s">
        <v>533</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8">
        <v>28</v>
      </c>
      <c r="B358" s="159"/>
      <c r="C358" s="881" t="str">
        <f>IF(O351="","",IF(LEN(O351)&lt;=135,O351,IF(LEN(O351)&lt;=260,LEFT(O351,SEARCH(" ",O351,125)),LEFT(O351,SEARCH(" ",O351,130)))))</f>
        <v/>
      </c>
      <c r="D358" s="513"/>
      <c r="E358" s="513"/>
      <c r="F358" s="513"/>
      <c r="G358" s="513"/>
      <c r="H358" s="513"/>
      <c r="I358" s="513"/>
      <c r="J358" s="513"/>
      <c r="K358" s="85"/>
      <c r="L358" s="981" t="s">
        <v>533</v>
      </c>
      <c r="M358" s="101"/>
      <c r="N358" s="876" t="s">
        <v>373</v>
      </c>
      <c r="O358" s="1565"/>
      <c r="P358" s="877">
        <f>LEN(O357)</f>
        <v>0</v>
      </c>
      <c r="Q358" s="984"/>
      <c r="R358" s="987">
        <f>LEN(Q357)</f>
        <v>0</v>
      </c>
      <c r="S358" s="61"/>
      <c r="T358" s="61"/>
      <c r="U358" s="61"/>
      <c r="V358" s="61"/>
      <c r="W358" s="444"/>
      <c r="X358" s="962" t="s">
        <v>533</v>
      </c>
      <c r="Y358" s="974"/>
      <c r="Z358" s="785"/>
      <c r="AA358" s="785"/>
      <c r="AB358" s="1481">
        <v>0</v>
      </c>
      <c r="AC358" s="797" t="str">
        <f t="shared" si="40"/>
        <v/>
      </c>
      <c r="AD358" s="1515">
        <f>O277</f>
        <v>0</v>
      </c>
      <c r="AE358" s="828" t="s">
        <v>1036</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533</v>
      </c>
      <c r="M359" s="451"/>
      <c r="N359" s="187" t="s">
        <v>151</v>
      </c>
      <c r="O359" s="1564"/>
      <c r="P359" s="586"/>
      <c r="Q359" s="983" t="str">
        <f>IF(OR(AB412=0,AB412=""),"",AB412)</f>
        <v/>
      </c>
      <c r="R359" s="61"/>
      <c r="S359" s="73"/>
      <c r="T359" s="73"/>
      <c r="U359" s="73"/>
      <c r="V359" s="73"/>
      <c r="W359" s="447"/>
      <c r="X359" s="962" t="s">
        <v>533</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8">
        <v>30</v>
      </c>
      <c r="B360" s="159"/>
      <c r="C360" s="881" t="str">
        <f>IF(LEN(O351)&lt;=265,"",RIGHT(O351,LEN(O351)-SEARCH(" ",O351,255)))</f>
        <v/>
      </c>
      <c r="D360" s="513"/>
      <c r="E360" s="513"/>
      <c r="F360" s="513"/>
      <c r="G360" s="513"/>
      <c r="H360" s="513"/>
      <c r="I360" s="513"/>
      <c r="J360" s="513"/>
      <c r="K360" s="85"/>
      <c r="L360" s="981" t="s">
        <v>533</v>
      </c>
      <c r="M360" s="143"/>
      <c r="N360" s="876" t="s">
        <v>373</v>
      </c>
      <c r="O360" s="1565"/>
      <c r="P360" s="877">
        <f>LEN(O359)</f>
        <v>0</v>
      </c>
      <c r="Q360" s="984"/>
      <c r="R360" s="987">
        <f>LEN(Q359)</f>
        <v>0</v>
      </c>
      <c r="S360" s="61"/>
      <c r="T360" s="61"/>
      <c r="U360" s="61"/>
      <c r="V360" s="61"/>
      <c r="W360" s="444"/>
      <c r="X360" s="962" t="s">
        <v>533</v>
      </c>
      <c r="Y360" s="974"/>
      <c r="Z360" s="785"/>
      <c r="AA360" s="785"/>
      <c r="AB360" s="1481">
        <v>0</v>
      </c>
      <c r="AC360" s="797" t="str">
        <f t="shared" si="40"/>
        <v/>
      </c>
      <c r="AD360" s="1515">
        <f>O279</f>
        <v>0</v>
      </c>
      <c r="AE360" s="828" t="s">
        <v>1037</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8">
        <v>31</v>
      </c>
      <c r="B361" s="159"/>
      <c r="C361" s="881" t="str">
        <f>IF(O353="","",IF(LEN(O353)&lt;=135,O353,IF(LEN(O353)&lt;=260,LEFT(O353,SEARCH(" ",O353,125)),LEFT(O353,SEARCH(" ",O353,130)))))</f>
        <v/>
      </c>
      <c r="D361" s="513"/>
      <c r="E361" s="513"/>
      <c r="F361" s="513"/>
      <c r="G361" s="513"/>
      <c r="H361" s="513"/>
      <c r="I361" s="513"/>
      <c r="J361" s="513"/>
      <c r="K361" s="85"/>
      <c r="L361" s="981" t="s">
        <v>533</v>
      </c>
      <c r="M361" s="101"/>
      <c r="N361" s="187" t="s">
        <v>151</v>
      </c>
      <c r="O361" s="1564"/>
      <c r="P361" s="586"/>
      <c r="Q361" s="983" t="str">
        <f>IF(OR(AB414=0,AB414=""),"",AB414)</f>
        <v/>
      </c>
      <c r="R361" s="61"/>
      <c r="S361" s="61"/>
      <c r="T361" s="61"/>
      <c r="U361" s="61"/>
      <c r="V361" s="61"/>
      <c r="W361" s="444"/>
      <c r="X361" s="962" t="s">
        <v>533</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533</v>
      </c>
      <c r="M362" s="451"/>
      <c r="N362" s="876" t="s">
        <v>373</v>
      </c>
      <c r="O362" s="1565"/>
      <c r="P362" s="877">
        <f>LEN(O361)</f>
        <v>0</v>
      </c>
      <c r="Q362" s="984"/>
      <c r="R362" s="987">
        <f>LEN(Q361)</f>
        <v>0</v>
      </c>
      <c r="S362" s="73"/>
      <c r="T362" s="73"/>
      <c r="U362" s="73"/>
      <c r="V362" s="73"/>
      <c r="W362" s="447"/>
      <c r="X362" s="962" t="s">
        <v>533</v>
      </c>
      <c r="Y362" s="974"/>
      <c r="Z362" s="785"/>
      <c r="AA362" s="785"/>
      <c r="AB362" s="1481">
        <v>0</v>
      </c>
      <c r="AC362" s="797" t="str">
        <f t="shared" si="40"/>
        <v/>
      </c>
      <c r="AD362" s="1515">
        <f>O281</f>
        <v>0</v>
      </c>
      <c r="AE362" s="828" t="s">
        <v>1038</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8">
        <v>33</v>
      </c>
      <c r="B363" s="159"/>
      <c r="C363" s="881" t="str">
        <f>IF(LEN(O353)&lt;=265,"",RIGHT(O353,LEN(O353)-SEARCH(" ",O353,255)))</f>
        <v/>
      </c>
      <c r="D363" s="513"/>
      <c r="E363" s="513"/>
      <c r="F363" s="513"/>
      <c r="G363" s="513"/>
      <c r="H363" s="513"/>
      <c r="I363" s="513"/>
      <c r="J363" s="513"/>
      <c r="K363" s="85"/>
      <c r="L363" s="981" t="s">
        <v>533</v>
      </c>
      <c r="M363" s="159"/>
      <c r="N363" s="187" t="s">
        <v>151</v>
      </c>
      <c r="O363" s="1564"/>
      <c r="P363" s="586"/>
      <c r="Q363" s="983" t="str">
        <f>IF(OR(AB416=0,AB416=""),"",AB416)</f>
        <v/>
      </c>
      <c r="R363" s="61"/>
      <c r="S363" s="73"/>
      <c r="T363" s="73"/>
      <c r="U363" s="73"/>
      <c r="V363" s="73"/>
      <c r="W363" s="85"/>
      <c r="X363" s="962" t="s">
        <v>533</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8">
        <v>34</v>
      </c>
      <c r="B364" s="159"/>
      <c r="C364" s="881" t="str">
        <f>IF(O355="","",IF(LEN(O355)&lt;=135,O355,IF(LEN(O355)&lt;=260,LEFT(O355,SEARCH(" ",O355,125)),LEFT(O355,SEARCH(" ",O355,130)))))</f>
        <v/>
      </c>
      <c r="D364" s="513"/>
      <c r="E364" s="513"/>
      <c r="F364" s="513"/>
      <c r="G364" s="513"/>
      <c r="H364" s="513"/>
      <c r="I364" s="513"/>
      <c r="J364" s="513"/>
      <c r="K364" s="85"/>
      <c r="L364" s="981" t="s">
        <v>533</v>
      </c>
      <c r="M364" s="159"/>
      <c r="N364" s="876" t="s">
        <v>373</v>
      </c>
      <c r="O364" s="1565"/>
      <c r="P364" s="877">
        <f>LEN(O363)</f>
        <v>0</v>
      </c>
      <c r="Q364" s="984"/>
      <c r="R364" s="987">
        <f>LEN(Q363)</f>
        <v>0</v>
      </c>
      <c r="S364" s="61"/>
      <c r="T364" s="61"/>
      <c r="U364" s="61"/>
      <c r="V364" s="61"/>
      <c r="W364" s="85"/>
      <c r="X364" s="962" t="s">
        <v>533</v>
      </c>
      <c r="Y364" s="974"/>
      <c r="Z364" s="785"/>
      <c r="AA364" s="785"/>
      <c r="AB364" s="1481">
        <v>0</v>
      </c>
      <c r="AC364" s="797" t="str">
        <f t="shared" si="40"/>
        <v/>
      </c>
      <c r="AD364" s="1515">
        <f>O283</f>
        <v>0</v>
      </c>
      <c r="AE364" s="828" t="s">
        <v>1039</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533</v>
      </c>
      <c r="M365" s="159"/>
      <c r="N365" s="187" t="s">
        <v>151</v>
      </c>
      <c r="O365" s="1564"/>
      <c r="P365" s="586"/>
      <c r="Q365" s="983" t="str">
        <f>IF(OR(AB418=0,AB418=""),"",AB418)</f>
        <v/>
      </c>
      <c r="R365" s="61"/>
      <c r="S365" s="73"/>
      <c r="T365" s="73"/>
      <c r="U365" s="73"/>
      <c r="V365" s="73"/>
      <c r="W365" s="85"/>
      <c r="X365" s="962" t="s">
        <v>533</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8">
        <v>36</v>
      </c>
      <c r="B366" s="159"/>
      <c r="C366" s="881" t="str">
        <f>IF(LEN(O355)&lt;=265,"",RIGHT(O355,LEN(O355)-SEARCH(" ",O355,255)))</f>
        <v/>
      </c>
      <c r="D366" s="513"/>
      <c r="E366" s="513"/>
      <c r="F366" s="513"/>
      <c r="G366" s="513"/>
      <c r="H366" s="513"/>
      <c r="I366" s="513"/>
      <c r="J366" s="513"/>
      <c r="K366" s="85"/>
      <c r="L366" s="981" t="s">
        <v>533</v>
      </c>
      <c r="M366" s="159"/>
      <c r="N366" s="876" t="s">
        <v>373</v>
      </c>
      <c r="O366" s="1565"/>
      <c r="P366" s="877">
        <f>LEN(O365)</f>
        <v>0</v>
      </c>
      <c r="Q366" s="984"/>
      <c r="R366" s="987">
        <f>LEN(Q365)</f>
        <v>0</v>
      </c>
      <c r="S366" s="73"/>
      <c r="T366" s="73"/>
      <c r="U366" s="73"/>
      <c r="V366" s="73"/>
      <c r="W366" s="85"/>
      <c r="X366" s="962" t="s">
        <v>533</v>
      </c>
      <c r="Y366" s="974"/>
      <c r="Z366" s="785"/>
      <c r="AA366" s="785"/>
      <c r="AB366" s="1481">
        <v>0</v>
      </c>
      <c r="AC366" s="797" t="str">
        <f t="shared" si="40"/>
        <v/>
      </c>
      <c r="AD366" s="1515">
        <f>O285</f>
        <v>0</v>
      </c>
      <c r="AE366" s="828" t="s">
        <v>1040</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8">
        <v>37</v>
      </c>
      <c r="B367" s="159"/>
      <c r="C367" s="881" t="str">
        <f>IF(O357="","",IF(LEN(O357)&lt;=135,O357,IF(LEN(O357)&lt;=260,LEFT(O357,SEARCH(" ",O357,125)),LEFT(O357,SEARCH(" ",O357,130)))))</f>
        <v/>
      </c>
      <c r="D367" s="513"/>
      <c r="E367" s="513"/>
      <c r="F367" s="513"/>
      <c r="G367" s="513"/>
      <c r="H367" s="513"/>
      <c r="I367" s="513"/>
      <c r="J367" s="513"/>
      <c r="K367" s="85"/>
      <c r="L367" s="981" t="s">
        <v>533</v>
      </c>
      <c r="M367" s="159"/>
      <c r="N367" s="187" t="s">
        <v>151</v>
      </c>
      <c r="O367" s="1564"/>
      <c r="P367" s="586"/>
      <c r="Q367" s="983" t="str">
        <f>IF(OR(AB420=0,AB420=""),"",AB420)</f>
        <v/>
      </c>
      <c r="R367" s="61"/>
      <c r="S367" s="61"/>
      <c r="T367" s="61"/>
      <c r="U367" s="61"/>
      <c r="V367" s="61"/>
      <c r="W367" s="85"/>
      <c r="X367" s="962" t="s">
        <v>533</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533</v>
      </c>
      <c r="M368" s="159"/>
      <c r="N368" s="876" t="s">
        <v>373</v>
      </c>
      <c r="O368" s="1565"/>
      <c r="P368" s="877">
        <f>LEN(O367)</f>
        <v>0</v>
      </c>
      <c r="Q368" s="984"/>
      <c r="R368" s="987">
        <f>LEN(Q367)</f>
        <v>0</v>
      </c>
      <c r="S368" s="73"/>
      <c r="T368" s="73"/>
      <c r="U368" s="73"/>
      <c r="V368" s="73"/>
      <c r="W368" s="85"/>
      <c r="X368" s="962" t="s">
        <v>533</v>
      </c>
      <c r="Y368" s="974"/>
      <c r="Z368" s="785"/>
      <c r="AA368" s="785"/>
      <c r="AB368" s="1481">
        <v>0</v>
      </c>
      <c r="AC368" s="797" t="str">
        <f t="shared" si="40"/>
        <v/>
      </c>
      <c r="AD368" s="1515">
        <f>O287</f>
        <v>0</v>
      </c>
      <c r="AE368" s="828" t="s">
        <v>1041</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8">
        <v>39</v>
      </c>
      <c r="B369" s="159"/>
      <c r="C369" s="881" t="str">
        <f>IF(LEN(O357)&lt;=265,"",RIGHT(O357,LEN(O357)-SEARCH(" ",O357,255)))</f>
        <v/>
      </c>
      <c r="D369" s="513"/>
      <c r="E369" s="513"/>
      <c r="F369" s="513"/>
      <c r="G369" s="513"/>
      <c r="H369" s="513"/>
      <c r="I369" s="513"/>
      <c r="J369" s="513"/>
      <c r="K369" s="85"/>
      <c r="L369" s="981" t="s">
        <v>533</v>
      </c>
      <c r="M369" s="159"/>
      <c r="N369" s="187" t="s">
        <v>151</v>
      </c>
      <c r="O369" s="1564"/>
      <c r="P369" s="586"/>
      <c r="Q369" s="983" t="str">
        <f>IF(OR(AB422=0,AB422=""),"",AB422)</f>
        <v/>
      </c>
      <c r="R369" s="61"/>
      <c r="S369" s="73"/>
      <c r="T369" s="73"/>
      <c r="U369" s="73"/>
      <c r="V369" s="73"/>
      <c r="W369" s="85"/>
      <c r="X369" s="962" t="s">
        <v>533</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8">
        <v>40</v>
      </c>
      <c r="B370" s="159"/>
      <c r="C370" s="881" t="str">
        <f>IF(O359="","",IF(LEN(O359)&lt;=135,O359,IF(LEN(O359)&lt;=260,LEFT(O359,SEARCH(" ",O359,125)),LEFT(O359,SEARCH(" ",O359,130)))))</f>
        <v/>
      </c>
      <c r="D370" s="513"/>
      <c r="E370" s="513"/>
      <c r="F370" s="513"/>
      <c r="G370" s="513"/>
      <c r="H370" s="513"/>
      <c r="I370" s="513"/>
      <c r="J370" s="513"/>
      <c r="K370" s="85"/>
      <c r="L370" s="981" t="s">
        <v>533</v>
      </c>
      <c r="M370" s="159"/>
      <c r="N370" s="876" t="s">
        <v>373</v>
      </c>
      <c r="O370" s="1565"/>
      <c r="P370" s="877">
        <f>LEN(O369)</f>
        <v>0</v>
      </c>
      <c r="Q370" s="984"/>
      <c r="R370" s="987">
        <f>LEN(Q369)</f>
        <v>0</v>
      </c>
      <c r="S370" s="61"/>
      <c r="T370" s="61"/>
      <c r="U370" s="61"/>
      <c r="V370" s="61"/>
      <c r="W370" s="85"/>
      <c r="X370" s="962" t="s">
        <v>533</v>
      </c>
      <c r="Y370" s="974"/>
      <c r="Z370" s="785"/>
      <c r="AA370" s="785"/>
      <c r="AB370" s="1481">
        <v>0</v>
      </c>
      <c r="AC370" s="797" t="str">
        <f t="shared" si="40"/>
        <v/>
      </c>
      <c r="AD370" s="1515">
        <f>O289</f>
        <v>0</v>
      </c>
      <c r="AE370" s="828" t="s">
        <v>1042</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533</v>
      </c>
      <c r="M371" s="159"/>
      <c r="N371" s="187" t="s">
        <v>151</v>
      </c>
      <c r="O371" s="1564"/>
      <c r="P371" s="586"/>
      <c r="Q371" s="983" t="str">
        <f>IF(OR(AB424=0,AB424=""),"",AB424)</f>
        <v/>
      </c>
      <c r="R371" s="61"/>
      <c r="S371" s="73"/>
      <c r="T371" s="73"/>
      <c r="U371" s="73"/>
      <c r="V371" s="73"/>
      <c r="W371" s="85"/>
      <c r="X371" s="962" t="s">
        <v>533</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8">
        <v>42</v>
      </c>
      <c r="B372" s="159"/>
      <c r="C372" s="881" t="str">
        <f>IF(LEN(O359)&lt;=265,"",RIGHT(O359,LEN(O359)-SEARCH(" ",O359,255)))</f>
        <v/>
      </c>
      <c r="D372" s="513"/>
      <c r="E372" s="513"/>
      <c r="F372" s="513"/>
      <c r="G372" s="513"/>
      <c r="H372" s="513"/>
      <c r="I372" s="513"/>
      <c r="J372" s="513"/>
      <c r="K372" s="85"/>
      <c r="L372" s="981" t="s">
        <v>533</v>
      </c>
      <c r="M372" s="159"/>
      <c r="N372" s="876" t="s">
        <v>373</v>
      </c>
      <c r="O372" s="1565"/>
      <c r="P372" s="877">
        <f>LEN(O371)</f>
        <v>0</v>
      </c>
      <c r="Q372" s="984"/>
      <c r="R372" s="987">
        <f>LEN(Q371)</f>
        <v>0</v>
      </c>
      <c r="S372" s="73"/>
      <c r="T372" s="73"/>
      <c r="U372" s="73"/>
      <c r="V372" s="73"/>
      <c r="W372" s="85"/>
      <c r="X372" s="962" t="s">
        <v>533</v>
      </c>
      <c r="Y372" s="974"/>
      <c r="Z372" s="785"/>
      <c r="AA372" s="785"/>
      <c r="AB372" s="1481">
        <v>0</v>
      </c>
      <c r="AC372" s="797" t="str">
        <f t="shared" si="40"/>
        <v/>
      </c>
      <c r="AD372" s="1515">
        <f>O291</f>
        <v>0</v>
      </c>
      <c r="AE372" s="828" t="s">
        <v>1043</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8">
        <v>43</v>
      </c>
      <c r="B373" s="159"/>
      <c r="C373" s="881" t="str">
        <f>IF(O361="","",IF(LEN(O361)&lt;=135,O361,IF(LEN(O361)&lt;=260,LEFT(O361,SEARCH(" ",O361,125)),LEFT(O361,SEARCH(" ",O361,130)))))</f>
        <v/>
      </c>
      <c r="D373" s="513"/>
      <c r="E373" s="513"/>
      <c r="F373" s="513"/>
      <c r="G373" s="513"/>
      <c r="H373" s="513"/>
      <c r="I373" s="513"/>
      <c r="J373" s="513"/>
      <c r="K373" s="85"/>
      <c r="L373" s="981" t="s">
        <v>533</v>
      </c>
      <c r="M373" s="159"/>
      <c r="N373" s="187" t="s">
        <v>151</v>
      </c>
      <c r="O373" s="1564"/>
      <c r="P373" s="586"/>
      <c r="Q373" s="983" t="str">
        <f>IF(OR(AB426=0,AB426=""),"",AB426)</f>
        <v/>
      </c>
      <c r="R373" s="61"/>
      <c r="S373" s="61"/>
      <c r="T373" s="61"/>
      <c r="U373" s="61"/>
      <c r="V373" s="61"/>
      <c r="W373" s="85"/>
      <c r="X373" s="962" t="s">
        <v>533</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533</v>
      </c>
      <c r="M374" s="159"/>
      <c r="N374" s="876" t="s">
        <v>373</v>
      </c>
      <c r="O374" s="877"/>
      <c r="P374" s="877">
        <f>LEN(O373)</f>
        <v>0</v>
      </c>
      <c r="Q374" s="984"/>
      <c r="R374" s="987">
        <f>LEN(Q373)</f>
        <v>0</v>
      </c>
      <c r="S374" s="73"/>
      <c r="T374" s="73"/>
      <c r="U374" s="73"/>
      <c r="V374" s="73"/>
      <c r="W374" s="85"/>
      <c r="X374" s="962" t="s">
        <v>533</v>
      </c>
      <c r="Y374" s="974"/>
      <c r="Z374" s="785"/>
      <c r="AA374" s="785"/>
      <c r="AB374" s="1481">
        <v>0</v>
      </c>
      <c r="AC374" s="797" t="str">
        <f t="shared" si="40"/>
        <v/>
      </c>
      <c r="AD374" s="1515">
        <f>O293</f>
        <v>0</v>
      </c>
      <c r="AE374" s="828" t="s">
        <v>1044</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8">
        <v>45</v>
      </c>
      <c r="B375" s="159"/>
      <c r="C375" s="881" t="str">
        <f>IF(LEN(O361)&lt;=265,"",RIGHT(O361,LEN(O361)-SEARCH(" ",O361,255)))</f>
        <v/>
      </c>
      <c r="D375" s="513"/>
      <c r="E375" s="513"/>
      <c r="F375" s="513"/>
      <c r="G375" s="513"/>
      <c r="H375" s="513"/>
      <c r="I375" s="513"/>
      <c r="J375" s="513"/>
      <c r="K375" s="85"/>
      <c r="L375" s="981" t="s">
        <v>533</v>
      </c>
      <c r="M375" s="159"/>
      <c r="N375" s="734"/>
      <c r="O375" s="734"/>
      <c r="P375" s="734"/>
      <c r="Q375" s="731"/>
      <c r="R375" s="731"/>
      <c r="S375" s="731"/>
      <c r="T375" s="731"/>
      <c r="U375" s="731"/>
      <c r="V375" s="731"/>
      <c r="W375" s="85"/>
      <c r="X375" s="962" t="s">
        <v>533</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8">
        <v>46</v>
      </c>
      <c r="B376" s="159"/>
      <c r="C376" s="881" t="str">
        <f>IF(O363="","",IF(LEN(O363)&lt;=135,O363,IF(LEN(O363)&lt;=260,LEFT(O363,SEARCH(" ",O363,125)),LEFT(O363,SEARCH(" ",O363,130)))))</f>
        <v/>
      </c>
      <c r="D376" s="513"/>
      <c r="E376" s="513"/>
      <c r="F376" s="513"/>
      <c r="G376" s="513"/>
      <c r="H376" s="513"/>
      <c r="I376" s="513"/>
      <c r="J376" s="513"/>
      <c r="K376" s="85"/>
      <c r="L376" s="981" t="s">
        <v>533</v>
      </c>
      <c r="M376" s="159"/>
      <c r="N376" s="729"/>
      <c r="O376" s="729"/>
      <c r="P376" s="729"/>
      <c r="Q376" s="730"/>
      <c r="R376" s="730"/>
      <c r="S376" s="730"/>
      <c r="T376" s="730"/>
      <c r="U376" s="730"/>
      <c r="V376" s="730"/>
      <c r="W376" s="85"/>
      <c r="X376" s="962" t="s">
        <v>533</v>
      </c>
      <c r="Y376" s="785"/>
      <c r="Z376" s="785"/>
      <c r="AA376" s="785"/>
      <c r="AB376" s="1481">
        <v>0</v>
      </c>
      <c r="AC376" s="797" t="str">
        <f t="shared" si="40"/>
        <v/>
      </c>
      <c r="AD376" s="1515">
        <f>O295</f>
        <v>0</v>
      </c>
      <c r="AE376" s="828" t="s">
        <v>1045</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533</v>
      </c>
      <c r="M377" s="159"/>
      <c r="N377" s="729"/>
      <c r="O377" s="729"/>
      <c r="P377" s="729"/>
      <c r="Q377" s="730"/>
      <c r="R377" s="730"/>
      <c r="S377" s="730"/>
      <c r="T377" s="730"/>
      <c r="U377" s="730"/>
      <c r="V377" s="730"/>
      <c r="W377" s="85"/>
      <c r="X377" s="962" t="s">
        <v>533</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8">
        <v>48</v>
      </c>
      <c r="B378" s="159"/>
      <c r="C378" s="881" t="str">
        <f>IF(LEN(O363)&lt;=265,"",RIGHT(O363,LEN(O363)-SEARCH(" ",O363,255)))</f>
        <v/>
      </c>
      <c r="D378" s="513"/>
      <c r="E378" s="513"/>
      <c r="F378" s="513"/>
      <c r="G378" s="513"/>
      <c r="H378" s="513"/>
      <c r="I378" s="513"/>
      <c r="J378" s="513"/>
      <c r="K378" s="85"/>
      <c r="L378" s="981" t="s">
        <v>533</v>
      </c>
      <c r="M378" s="159"/>
      <c r="N378" s="729"/>
      <c r="O378" s="729"/>
      <c r="P378" s="729"/>
      <c r="Q378" s="730"/>
      <c r="R378" s="730"/>
      <c r="S378" s="730"/>
      <c r="T378" s="730"/>
      <c r="U378" s="730"/>
      <c r="V378" s="730"/>
      <c r="W378" s="85"/>
      <c r="X378" s="962" t="s">
        <v>533</v>
      </c>
      <c r="Y378" s="785"/>
      <c r="Z378" s="785"/>
      <c r="AA378" s="785"/>
      <c r="AB378" s="1481">
        <v>0</v>
      </c>
      <c r="AC378" s="797" t="str">
        <f t="shared" si="40"/>
        <v/>
      </c>
      <c r="AD378" s="1515">
        <f>O297</f>
        <v>0</v>
      </c>
      <c r="AE378" s="828" t="s">
        <v>1046</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8">
        <v>49</v>
      </c>
      <c r="B379" s="159"/>
      <c r="C379" s="881" t="str">
        <f>IF(O365="","",IF(LEN(O365)&lt;=135,O365,IF(LEN(O365)&lt;=260,LEFT(O365,SEARCH(" ",O365,125)),LEFT(O365,SEARCH(" ",O365,130)))))</f>
        <v/>
      </c>
      <c r="D379" s="513"/>
      <c r="E379" s="513"/>
      <c r="F379" s="513"/>
      <c r="G379" s="513"/>
      <c r="H379" s="513"/>
      <c r="I379" s="513"/>
      <c r="J379" s="513"/>
      <c r="K379" s="85"/>
      <c r="L379" s="981" t="s">
        <v>533</v>
      </c>
      <c r="M379" s="159"/>
      <c r="N379" s="729"/>
      <c r="O379" s="729"/>
      <c r="P379" s="729"/>
      <c r="Q379" s="728" t="s">
        <v>356</v>
      </c>
      <c r="R379" s="122"/>
      <c r="S379" s="122"/>
      <c r="T379" s="729"/>
      <c r="U379" s="730"/>
      <c r="V379" s="730"/>
      <c r="W379" s="85"/>
      <c r="X379" s="962" t="s">
        <v>533</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533</v>
      </c>
      <c r="M380" s="159"/>
      <c r="N380" s="729"/>
      <c r="O380" s="729"/>
      <c r="P380" s="729"/>
      <c r="Q380" s="730"/>
      <c r="R380" s="729"/>
      <c r="S380" s="730"/>
      <c r="T380" s="729"/>
      <c r="U380" s="730"/>
      <c r="V380" s="730"/>
      <c r="W380" s="85"/>
      <c r="X380" s="962" t="s">
        <v>533</v>
      </c>
      <c r="Y380" s="785"/>
      <c r="Z380" s="785"/>
      <c r="AA380" s="785"/>
      <c r="AB380" s="1481">
        <v>0</v>
      </c>
      <c r="AC380" s="797" t="str">
        <f t="shared" si="40"/>
        <v/>
      </c>
      <c r="AD380" s="1515">
        <f>O299</f>
        <v>0</v>
      </c>
      <c r="AE380" s="828" t="s">
        <v>1047</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8">
        <v>51</v>
      </c>
      <c r="B381" s="159"/>
      <c r="C381" s="881" t="str">
        <f>IF(LEN(O365)&lt;=265,"",RIGHT(O365,LEN(O365)-SEARCH(" ",O365,255)))</f>
        <v/>
      </c>
      <c r="D381" s="513"/>
      <c r="E381" s="513"/>
      <c r="F381" s="513"/>
      <c r="G381" s="513"/>
      <c r="H381" s="513"/>
      <c r="I381" s="513"/>
      <c r="J381" s="513"/>
      <c r="K381" s="85"/>
      <c r="L381" s="981" t="s">
        <v>533</v>
      </c>
      <c r="M381" s="159"/>
      <c r="N381" s="729"/>
      <c r="O381" s="729"/>
      <c r="P381" s="729"/>
      <c r="Q381" s="730"/>
      <c r="R381" s="729"/>
      <c r="S381" s="730"/>
      <c r="T381" s="729"/>
      <c r="U381" s="730"/>
      <c r="V381" s="730"/>
      <c r="W381" s="85"/>
      <c r="X381" s="962" t="s">
        <v>533</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8">
        <v>52</v>
      </c>
      <c r="B382" s="159"/>
      <c r="C382" s="881" t="str">
        <f>IF(O367="","",IF(LEN(O367)&lt;=135,O367,IF(LEN(O367)&lt;=260,LEFT(O367,SEARCH(" ",O367,125)),LEFT(O367,SEARCH(" ",O367,130)))))</f>
        <v/>
      </c>
      <c r="D382" s="513"/>
      <c r="E382" s="513"/>
      <c r="F382" s="513"/>
      <c r="G382" s="513"/>
      <c r="H382" s="513"/>
      <c r="I382" s="513"/>
      <c r="J382" s="513"/>
      <c r="K382" s="85"/>
      <c r="L382" s="981" t="s">
        <v>533</v>
      </c>
      <c r="M382" s="159"/>
      <c r="N382" s="729"/>
      <c r="O382" s="729"/>
      <c r="P382" s="729"/>
      <c r="Q382" s="730"/>
      <c r="R382" s="729"/>
      <c r="S382" s="730"/>
      <c r="T382" s="729"/>
      <c r="U382" s="730"/>
      <c r="V382" s="730"/>
      <c r="W382" s="85"/>
      <c r="X382" s="962" t="s">
        <v>533</v>
      </c>
      <c r="Y382" s="785"/>
      <c r="Z382" s="785"/>
      <c r="AA382" s="785"/>
      <c r="AB382" s="1481">
        <v>0</v>
      </c>
      <c r="AC382" s="797" t="str">
        <f t="shared" si="40"/>
        <v/>
      </c>
      <c r="AD382" s="1515">
        <f>O301</f>
        <v>0</v>
      </c>
      <c r="AE382" s="828" t="s">
        <v>1048</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533</v>
      </c>
      <c r="M383" s="159"/>
      <c r="N383" s="729"/>
      <c r="O383" s="729"/>
      <c r="P383" s="729"/>
      <c r="Q383" s="730"/>
      <c r="R383" s="729"/>
      <c r="S383" s="730"/>
      <c r="T383" s="729"/>
      <c r="U383" s="730"/>
      <c r="V383" s="730"/>
      <c r="W383" s="85"/>
      <c r="X383" s="962" t="s">
        <v>533</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8">
        <v>54</v>
      </c>
      <c r="B384" s="159"/>
      <c r="C384" s="881" t="str">
        <f>IF(LEN(O367)&lt;=265,"",RIGHT(O367,LEN(O367)-SEARCH(" ",O367,255)))</f>
        <v/>
      </c>
      <c r="D384" s="513"/>
      <c r="E384" s="513"/>
      <c r="F384" s="513"/>
      <c r="G384" s="513"/>
      <c r="H384" s="513"/>
      <c r="I384" s="513"/>
      <c r="J384" s="513"/>
      <c r="K384" s="85"/>
      <c r="L384" s="981" t="s">
        <v>533</v>
      </c>
      <c r="M384" s="159"/>
      <c r="N384" s="729"/>
      <c r="O384" s="729"/>
      <c r="P384" s="729"/>
      <c r="Q384" s="730"/>
      <c r="R384" s="729"/>
      <c r="S384" s="730"/>
      <c r="T384" s="729"/>
      <c r="U384" s="730"/>
      <c r="V384" s="730"/>
      <c r="W384" s="85"/>
      <c r="X384" s="962" t="s">
        <v>533</v>
      </c>
      <c r="Y384" s="785"/>
      <c r="Z384" s="785"/>
      <c r="AA384" s="785"/>
      <c r="AB384" s="1481">
        <v>0</v>
      </c>
      <c r="AC384" s="797" t="str">
        <f t="shared" si="40"/>
        <v/>
      </c>
      <c r="AD384" s="1515">
        <f>O303</f>
        <v>0</v>
      </c>
      <c r="AE384" s="828" t="s">
        <v>1049</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8">
        <v>55</v>
      </c>
      <c r="B385" s="159"/>
      <c r="C385" s="881" t="str">
        <f>IF(O369="","",IF(LEN(O369)&lt;=135,O369,IF(LEN(O369)&lt;=260,LEFT(O369,SEARCH(" ",O369,125)),LEFT(O369,SEARCH(" ",O369,130)))))</f>
        <v/>
      </c>
      <c r="D385" s="513"/>
      <c r="E385" s="513"/>
      <c r="F385" s="513"/>
      <c r="G385" s="513"/>
      <c r="H385" s="513"/>
      <c r="I385" s="513"/>
      <c r="J385" s="513"/>
      <c r="K385" s="85"/>
      <c r="L385" s="981" t="s">
        <v>533</v>
      </c>
      <c r="M385" s="159"/>
      <c r="N385" s="729"/>
      <c r="O385" s="729"/>
      <c r="P385" s="729"/>
      <c r="Q385" s="730"/>
      <c r="R385" s="729"/>
      <c r="S385" s="730"/>
      <c r="T385" s="729"/>
      <c r="U385" s="730"/>
      <c r="V385" s="730"/>
      <c r="W385" s="85"/>
      <c r="X385" s="962" t="s">
        <v>533</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533</v>
      </c>
      <c r="M386" s="159"/>
      <c r="N386" s="729"/>
      <c r="O386" s="729"/>
      <c r="P386" s="729"/>
      <c r="Q386" s="730"/>
      <c r="R386" s="729"/>
      <c r="S386" s="730"/>
      <c r="T386" s="729"/>
      <c r="U386" s="730"/>
      <c r="V386" s="730"/>
      <c r="W386" s="85"/>
      <c r="X386" s="962" t="s">
        <v>533</v>
      </c>
      <c r="Y386" s="785"/>
      <c r="Z386" s="785"/>
      <c r="AA386" s="441"/>
      <c r="AB386" s="1481">
        <v>0</v>
      </c>
      <c r="AC386" s="797" t="str">
        <f t="shared" si="40"/>
        <v/>
      </c>
      <c r="AD386" s="1515">
        <f>O305</f>
        <v>0</v>
      </c>
      <c r="AE386" s="828" t="s">
        <v>1050</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8">
        <v>57</v>
      </c>
      <c r="B387" s="159"/>
      <c r="C387" s="881" t="str">
        <f>IF(LEN(O369)&lt;=265,"",RIGHT(O369,LEN(O369)-SEARCH(" ",O369,255)))</f>
        <v/>
      </c>
      <c r="D387" s="513"/>
      <c r="E387" s="513"/>
      <c r="F387" s="513"/>
      <c r="G387" s="513"/>
      <c r="H387" s="513"/>
      <c r="I387" s="513"/>
      <c r="J387" s="513"/>
      <c r="K387" s="85"/>
      <c r="L387" s="981" t="s">
        <v>533</v>
      </c>
      <c r="M387" s="159"/>
      <c r="N387" s="729"/>
      <c r="O387" s="729"/>
      <c r="P387" s="729"/>
      <c r="Q387" s="730"/>
      <c r="R387" s="729"/>
      <c r="S387" s="730"/>
      <c r="T387" s="729"/>
      <c r="U387" s="730"/>
      <c r="V387" s="730"/>
      <c r="W387" s="85"/>
      <c r="X387" s="962" t="s">
        <v>533</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8">
        <v>58</v>
      </c>
      <c r="B388" s="159"/>
      <c r="C388" s="881" t="str">
        <f>IF(O371="","",IF(LEN(O371)&lt;=135,O371,IF(LEN(O371)&lt;=260,LEFT(O371,SEARCH(" ",O371,125)),LEFT(O371,SEARCH(" ",O371,130)))))</f>
        <v/>
      </c>
      <c r="D388" s="513"/>
      <c r="E388" s="513"/>
      <c r="F388" s="513"/>
      <c r="G388" s="513"/>
      <c r="H388" s="513"/>
      <c r="I388" s="513"/>
      <c r="J388" s="513"/>
      <c r="K388" s="85"/>
      <c r="L388" s="981" t="s">
        <v>533</v>
      </c>
      <c r="M388" s="159"/>
      <c r="N388" s="729"/>
      <c r="O388" s="729"/>
      <c r="P388" s="729"/>
      <c r="Q388" s="730"/>
      <c r="R388" s="729"/>
      <c r="S388" s="730"/>
      <c r="T388" s="729"/>
      <c r="U388" s="730"/>
      <c r="V388" s="730"/>
      <c r="W388" s="85"/>
      <c r="X388" s="962" t="s">
        <v>533</v>
      </c>
      <c r="Y388" s="785"/>
      <c r="Z388" s="785"/>
      <c r="AA388" s="441"/>
      <c r="AB388" s="1481">
        <v>0</v>
      </c>
      <c r="AC388" s="797" t="str">
        <f t="shared" si="40"/>
        <v/>
      </c>
      <c r="AD388" s="1515">
        <f>O307</f>
        <v>0</v>
      </c>
      <c r="AE388" s="828" t="s">
        <v>1051</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533</v>
      </c>
      <c r="M389" s="159"/>
      <c r="N389" s="729"/>
      <c r="O389" s="729"/>
      <c r="P389" s="729"/>
      <c r="Q389" s="730"/>
      <c r="R389" s="729"/>
      <c r="S389" s="730"/>
      <c r="T389" s="729"/>
      <c r="U389" s="730"/>
      <c r="V389" s="730"/>
      <c r="W389" s="85"/>
      <c r="X389" s="962" t="s">
        <v>533</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8">
        <v>60</v>
      </c>
      <c r="B390" s="159"/>
      <c r="C390" s="881" t="str">
        <f>IF(LEN(O371)&lt;=265,"",RIGHT(O371,LEN(O371)-SEARCH(" ",O371,255)))</f>
        <v/>
      </c>
      <c r="D390" s="513"/>
      <c r="E390" s="513"/>
      <c r="F390" s="513"/>
      <c r="G390" s="513"/>
      <c r="H390" s="513"/>
      <c r="I390" s="513"/>
      <c r="J390" s="513"/>
      <c r="K390" s="85"/>
      <c r="L390" s="981" t="s">
        <v>533</v>
      </c>
      <c r="M390" s="159"/>
      <c r="N390" s="729"/>
      <c r="O390" s="729"/>
      <c r="P390" s="729"/>
      <c r="Q390" s="730"/>
      <c r="R390" s="729"/>
      <c r="S390" s="730"/>
      <c r="T390" s="729"/>
      <c r="U390" s="730"/>
      <c r="V390" s="730"/>
      <c r="W390" s="85"/>
      <c r="X390" s="962" t="s">
        <v>533</v>
      </c>
      <c r="Y390" s="785"/>
      <c r="Z390" s="785"/>
      <c r="AA390" s="791" t="s">
        <v>768</v>
      </c>
      <c r="AB390" s="1481">
        <v>0</v>
      </c>
      <c r="AC390" s="797" t="str">
        <f t="shared" si="40"/>
        <v/>
      </c>
      <c r="AD390" s="1515">
        <f>O337</f>
        <v>0</v>
      </c>
      <c r="AE390" s="828" t="s">
        <v>1052</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8">
        <v>61</v>
      </c>
      <c r="B391" s="159"/>
      <c r="C391" s="881" t="str">
        <f>IF(O373="","",IF(LEN(O373)&lt;=135,O373,IF(LEN(O373)&lt;=260,LEFT(O373,SEARCH(" ",O373,125)),LEFT(O373,SEARCH(" ",O373,130)))))</f>
        <v/>
      </c>
      <c r="D391" s="513"/>
      <c r="E391" s="513"/>
      <c r="F391" s="513"/>
      <c r="G391" s="513"/>
      <c r="H391" s="513"/>
      <c r="I391" s="513"/>
      <c r="J391" s="513"/>
      <c r="K391" s="85"/>
      <c r="L391" s="981" t="s">
        <v>533</v>
      </c>
      <c r="M391" s="159"/>
      <c r="N391" s="729"/>
      <c r="O391" s="729"/>
      <c r="P391" s="729"/>
      <c r="Q391" s="730"/>
      <c r="R391" s="729"/>
      <c r="S391" s="730"/>
      <c r="T391" s="729"/>
      <c r="U391" s="730"/>
      <c r="V391" s="730"/>
      <c r="W391" s="85"/>
      <c r="X391" s="962" t="s">
        <v>533</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533</v>
      </c>
      <c r="M392" s="159"/>
      <c r="N392" s="729"/>
      <c r="O392" s="729"/>
      <c r="P392" s="729"/>
      <c r="Q392" s="730"/>
      <c r="R392" s="729"/>
      <c r="S392" s="730"/>
      <c r="T392" s="729"/>
      <c r="U392" s="730"/>
      <c r="V392" s="730"/>
      <c r="W392" s="85"/>
      <c r="X392" s="962" t="s">
        <v>533</v>
      </c>
      <c r="Y392" s="785"/>
      <c r="Z392" s="785"/>
      <c r="AA392" s="785"/>
      <c r="AB392" s="1481">
        <v>0</v>
      </c>
      <c r="AC392" s="797" t="str">
        <f t="shared" si="40"/>
        <v/>
      </c>
      <c r="AD392" s="1515">
        <f>O339</f>
        <v>0</v>
      </c>
      <c r="AE392" s="828" t="s">
        <v>1053</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8">
        <v>63</v>
      </c>
      <c r="B393" s="159"/>
      <c r="C393" s="881" t="str">
        <f>IF(LEN(O373)&lt;=265,"",RIGHT(O373,LEN(O373)-SEARCH(" ",O373,255)))</f>
        <v/>
      </c>
      <c r="D393" s="513"/>
      <c r="E393" s="513"/>
      <c r="F393" s="513"/>
      <c r="G393" s="513"/>
      <c r="H393" s="513"/>
      <c r="I393" s="513"/>
      <c r="J393" s="513"/>
      <c r="K393" s="85"/>
      <c r="L393" s="981" t="s">
        <v>533</v>
      </c>
      <c r="M393" s="159"/>
      <c r="N393" s="733"/>
      <c r="O393" s="733"/>
      <c r="P393" s="733"/>
      <c r="Q393" s="732"/>
      <c r="R393" s="733"/>
      <c r="S393" s="732"/>
      <c r="T393" s="733"/>
      <c r="U393" s="732"/>
      <c r="V393" s="732"/>
      <c r="W393" s="85"/>
      <c r="X393" s="962" t="s">
        <v>533</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8">
        <v>64</v>
      </c>
      <c r="B394" s="116"/>
      <c r="C394" s="98"/>
      <c r="D394" s="98"/>
      <c r="E394" s="98"/>
      <c r="F394" s="98"/>
      <c r="G394" s="98"/>
      <c r="H394" s="98"/>
      <c r="I394" s="98"/>
      <c r="J394" s="98"/>
      <c r="K394" s="103"/>
      <c r="L394" s="981" t="s">
        <v>533</v>
      </c>
      <c r="M394" s="446"/>
      <c r="N394" s="186"/>
      <c r="O394" s="186"/>
      <c r="P394" s="587"/>
      <c r="Q394" s="186"/>
      <c r="R394" s="186"/>
      <c r="S394" s="186"/>
      <c r="T394" s="186"/>
      <c r="U394" s="186"/>
      <c r="V394" s="186"/>
      <c r="W394" s="448"/>
      <c r="X394" s="962" t="s">
        <v>533</v>
      </c>
      <c r="Y394" s="785"/>
      <c r="Z394" s="785"/>
      <c r="AA394" s="785"/>
      <c r="AB394" s="1481">
        <v>0</v>
      </c>
      <c r="AC394" s="797" t="str">
        <f t="shared" si="40"/>
        <v/>
      </c>
      <c r="AD394" s="1515">
        <f>O341</f>
        <v>0</v>
      </c>
      <c r="AE394" s="828" t="s">
        <v>1054</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8">
        <v>65</v>
      </c>
      <c r="B395" s="64" t="str">
        <f t="array" ref="B395:C396">$B$65:$C$66</f>
        <v>Date:</v>
      </c>
      <c r="C395" s="1467">
        <v>43039</v>
      </c>
      <c r="E395" s="63"/>
      <c r="F395" s="63"/>
      <c r="G395" s="63"/>
      <c r="H395" s="63"/>
      <c r="I395" s="64" t="str">
        <f t="array" ref="I395:J396">$I$65:$J$66</f>
        <v>Inspector:</v>
      </c>
      <c r="J395" s="565" t="str">
        <v>Eugene Mah</v>
      </c>
      <c r="L395" s="981" t="s">
        <v>533</v>
      </c>
      <c r="X395" s="962" t="s">
        <v>533</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8">
        <v>66</v>
      </c>
      <c r="B396" s="64" t="str">
        <v>Room Number:</v>
      </c>
      <c r="C396" s="508" t="str">
        <v>Room 04 RT 127M - Tube 1</v>
      </c>
      <c r="E396" s="63"/>
      <c r="F396" s="63"/>
      <c r="G396" s="63"/>
      <c r="H396" s="63"/>
      <c r="I396" s="64" t="str">
        <v>Survey ID:</v>
      </c>
      <c r="J396" s="1475">
        <v>1976</v>
      </c>
      <c r="L396" s="981" t="s">
        <v>533</v>
      </c>
      <c r="X396" s="962" t="s">
        <v>533</v>
      </c>
      <c r="Y396" s="785"/>
      <c r="Z396" s="785"/>
      <c r="AA396" s="785"/>
      <c r="AB396" s="1481">
        <v>0</v>
      </c>
      <c r="AC396" s="797" t="str">
        <f t="shared" si="40"/>
        <v/>
      </c>
      <c r="AD396" s="1515">
        <f>O343</f>
        <v>0</v>
      </c>
      <c r="AE396" s="828" t="s">
        <v>1055</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8">
        <v>1</v>
      </c>
      <c r="B397" s="1"/>
      <c r="C397" s="1"/>
      <c r="D397" s="1"/>
      <c r="E397" s="1"/>
      <c r="F397" s="1"/>
      <c r="G397" s="1"/>
      <c r="H397" s="1"/>
      <c r="I397" s="1"/>
      <c r="J397" s="1"/>
      <c r="K397" s="165" t="str">
        <f>$F$2</f>
        <v>Medical University of South Carolina</v>
      </c>
      <c r="L397" s="981" t="s">
        <v>533</v>
      </c>
      <c r="M397" s="78"/>
      <c r="N397" s="76"/>
      <c r="O397" s="76"/>
      <c r="P397" s="76"/>
      <c r="Q397" s="76"/>
      <c r="R397" s="76"/>
      <c r="S397" s="76"/>
      <c r="T397" s="76"/>
      <c r="U397" s="76"/>
      <c r="V397" s="76"/>
      <c r="W397" s="1233" t="str">
        <f>$F$2</f>
        <v>Medical University of South Carolina</v>
      </c>
      <c r="X397" s="962" t="s">
        <v>533</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8">
        <v>2</v>
      </c>
      <c r="B398" s="1"/>
      <c r="C398" s="1"/>
      <c r="D398" s="1"/>
      <c r="E398" s="1"/>
      <c r="F398" s="131" t="s">
        <v>668</v>
      </c>
      <c r="G398" s="1"/>
      <c r="H398" s="1"/>
      <c r="I398" s="1"/>
      <c r="J398" s="1"/>
      <c r="K398" s="166" t="str">
        <f>$F$5</f>
        <v>Radiographic System Compliance Inspection</v>
      </c>
      <c r="L398" s="981" t="s">
        <v>533</v>
      </c>
      <c r="M398" s="159"/>
      <c r="N398" s="104"/>
      <c r="O398" s="104"/>
      <c r="P398" s="3"/>
      <c r="Q398" s="67"/>
      <c r="R398" s="344" t="str">
        <f>$F$464</f>
        <v>Measurement Data</v>
      </c>
      <c r="S398" s="67"/>
      <c r="T398" s="67"/>
      <c r="U398" s="67"/>
      <c r="V398" s="67"/>
      <c r="W398" s="1234" t="str">
        <f>$F$5</f>
        <v>Radiographic System Compliance Inspection</v>
      </c>
      <c r="X398" s="962" t="s">
        <v>533</v>
      </c>
      <c r="Y398" s="785"/>
      <c r="Z398" s="785"/>
      <c r="AA398" s="785"/>
      <c r="AB398" s="1481">
        <v>0</v>
      </c>
      <c r="AC398" s="797" t="str">
        <f t="shared" si="40"/>
        <v/>
      </c>
      <c r="AD398" s="1515">
        <f>O345</f>
        <v>0</v>
      </c>
      <c r="AE398" s="828" t="s">
        <v>1056</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8">
        <v>3</v>
      </c>
      <c r="B399" s="3"/>
      <c r="C399" s="3"/>
      <c r="D399" s="3"/>
      <c r="E399" s="3"/>
      <c r="G399" s="3"/>
      <c r="H399" s="3"/>
      <c r="I399" s="3"/>
      <c r="J399" s="3"/>
      <c r="K399" s="67"/>
      <c r="L399" s="981" t="s">
        <v>533</v>
      </c>
      <c r="M399" s="159"/>
      <c r="N399" s="67"/>
      <c r="O399" s="67"/>
      <c r="P399" s="67"/>
      <c r="Q399" s="67"/>
      <c r="R399" s="67"/>
      <c r="S399" s="67"/>
      <c r="T399" s="67"/>
      <c r="U399" s="67"/>
      <c r="V399" s="67"/>
      <c r="W399" s="85"/>
      <c r="X399" s="962" t="s">
        <v>533</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8">
        <v>4</v>
      </c>
      <c r="B400" s="78"/>
      <c r="C400" s="1283"/>
      <c r="D400" s="1283"/>
      <c r="E400" s="1283"/>
      <c r="F400" s="1283"/>
      <c r="G400" s="1283"/>
      <c r="H400" s="1283"/>
      <c r="I400" s="1283"/>
      <c r="J400" s="1283"/>
      <c r="K400" s="1284"/>
      <c r="L400" s="981" t="s">
        <v>533</v>
      </c>
      <c r="M400" s="159"/>
      <c r="N400" s="1216"/>
      <c r="O400" s="99"/>
      <c r="P400" s="99"/>
      <c r="Q400" s="99"/>
      <c r="R400" s="99"/>
      <c r="S400" s="99"/>
      <c r="T400" s="99"/>
      <c r="U400" s="99"/>
      <c r="V400" s="105"/>
      <c r="W400" s="85"/>
      <c r="X400" s="962" t="s">
        <v>533</v>
      </c>
      <c r="Y400" s="785"/>
      <c r="Z400" s="785"/>
      <c r="AA400" s="785"/>
      <c r="AB400" s="1481">
        <v>0</v>
      </c>
      <c r="AC400" s="797" t="str">
        <f t="shared" ref="AC400:AC463" si="41">IF(AND(OR(AB400="",AB400=0),OR(AD400="",AD400=0)),"",IF(AB400&lt;&gt;AD400,"Change",""))</f>
        <v/>
      </c>
      <c r="AD400" s="1515">
        <f>O347</f>
        <v>0</v>
      </c>
      <c r="AE400" s="828" t="s">
        <v>1057</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8">
        <v>5</v>
      </c>
      <c r="B401" s="141" t="s">
        <v>669</v>
      </c>
      <c r="C401" s="1282" t="str">
        <f>$N$1460</f>
        <v>DR</v>
      </c>
      <c r="D401" s="62"/>
      <c r="E401" s="60"/>
      <c r="F401" s="60"/>
      <c r="G401" s="60"/>
      <c r="H401" s="537" t="s">
        <v>492</v>
      </c>
      <c r="I401" s="874">
        <f>$U$1460</f>
        <v>43039</v>
      </c>
      <c r="J401" s="67"/>
      <c r="K401" s="100"/>
      <c r="L401" s="981" t="s">
        <v>533</v>
      </c>
      <c r="M401" s="159"/>
      <c r="N401" s="108"/>
      <c r="O401" s="67"/>
      <c r="P401" s="67"/>
      <c r="Q401" s="67"/>
      <c r="R401" s="855" t="s">
        <v>427</v>
      </c>
      <c r="S401" s="67"/>
      <c r="T401" s="67"/>
      <c r="U401" s="67"/>
      <c r="V401" s="107"/>
      <c r="W401" s="85"/>
      <c r="X401" s="962" t="s">
        <v>533</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8">
        <v>6</v>
      </c>
      <c r="B402" s="150"/>
      <c r="C402" s="60"/>
      <c r="D402" s="60"/>
      <c r="E402" s="60" t="s">
        <v>670</v>
      </c>
      <c r="F402" s="60"/>
      <c r="G402" s="60"/>
      <c r="H402" s="60"/>
      <c r="I402" s="60"/>
      <c r="J402" s="1574" t="s">
        <v>671</v>
      </c>
      <c r="K402" s="100"/>
      <c r="L402" s="981" t="s">
        <v>533</v>
      </c>
      <c r="M402" s="159"/>
      <c r="N402" s="110"/>
      <c r="O402" s="112"/>
      <c r="P402" s="112"/>
      <c r="Q402" s="112"/>
      <c r="R402" s="112"/>
      <c r="S402" s="112"/>
      <c r="T402" s="112"/>
      <c r="U402" s="112"/>
      <c r="V402" s="1217"/>
      <c r="W402" s="85"/>
      <c r="X402" s="962" t="s">
        <v>533</v>
      </c>
      <c r="Y402" s="785"/>
      <c r="Z402" s="785"/>
      <c r="AA402" s="785"/>
      <c r="AB402" s="1481">
        <v>0</v>
      </c>
      <c r="AC402" s="797" t="str">
        <f t="shared" si="41"/>
        <v/>
      </c>
      <c r="AD402" s="1515">
        <f>O349</f>
        <v>0</v>
      </c>
      <c r="AE402" s="828" t="s">
        <v>1058</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8">
        <v>7</v>
      </c>
      <c r="B403" s="150"/>
      <c r="C403" s="60"/>
      <c r="D403" s="60" t="s">
        <v>640</v>
      </c>
      <c r="E403" s="60" t="s">
        <v>672</v>
      </c>
      <c r="F403" s="60" t="s">
        <v>673</v>
      </c>
      <c r="G403" s="60"/>
      <c r="H403" s="60"/>
      <c r="I403" s="60"/>
      <c r="J403" s="1574" t="s">
        <v>1237</v>
      </c>
      <c r="K403" s="100" t="s">
        <v>1238</v>
      </c>
      <c r="L403" s="981" t="s">
        <v>533</v>
      </c>
      <c r="M403" s="159"/>
      <c r="N403" s="67"/>
      <c r="O403" s="67"/>
      <c r="P403" s="67"/>
      <c r="Q403" s="67"/>
      <c r="R403" s="67"/>
      <c r="S403" s="67"/>
      <c r="T403" s="67"/>
      <c r="U403" s="67"/>
      <c r="V403" s="67"/>
      <c r="W403" s="85"/>
      <c r="X403" s="962" t="s">
        <v>533</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8">
        <v>8</v>
      </c>
      <c r="B404" s="130" t="s">
        <v>676</v>
      </c>
      <c r="C404" s="59" t="s">
        <v>677</v>
      </c>
      <c r="D404" s="59" t="s">
        <v>678</v>
      </c>
      <c r="E404" s="59" t="s">
        <v>679</v>
      </c>
      <c r="F404" s="59" t="s">
        <v>678</v>
      </c>
      <c r="G404" s="59" t="s">
        <v>590</v>
      </c>
      <c r="H404" s="59" t="str">
        <f>IF(LFMAS="","mA/mAs",LFMAS)</f>
        <v>mA</v>
      </c>
      <c r="I404" s="59" t="s">
        <v>680</v>
      </c>
      <c r="J404" s="59" t="s">
        <v>1231</v>
      </c>
      <c r="K404" s="100" t="s">
        <v>1239</v>
      </c>
      <c r="L404" s="981" t="s">
        <v>533</v>
      </c>
      <c r="M404" s="159"/>
      <c r="N404" s="67"/>
      <c r="O404" s="67"/>
      <c r="P404" s="67"/>
      <c r="Q404" s="67"/>
      <c r="R404" s="67"/>
      <c r="S404" s="67"/>
      <c r="T404" s="67"/>
      <c r="U404" s="67"/>
      <c r="V404" s="67"/>
      <c r="W404" s="85"/>
      <c r="X404" s="962" t="s">
        <v>533</v>
      </c>
      <c r="Y404" s="785"/>
      <c r="Z404" s="785"/>
      <c r="AA404" s="785"/>
      <c r="AB404" s="1481">
        <v>0</v>
      </c>
      <c r="AC404" s="797" t="str">
        <f t="shared" si="41"/>
        <v/>
      </c>
      <c r="AD404" s="1515">
        <f>O351</f>
        <v>0</v>
      </c>
      <c r="AE404" s="828" t="s">
        <v>1059</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533</v>
      </c>
      <c r="M405" s="1235" t="s">
        <v>415</v>
      </c>
      <c r="N405" s="67"/>
      <c r="O405" s="67"/>
      <c r="P405" s="67"/>
      <c r="Q405" s="67"/>
      <c r="R405" s="67"/>
      <c r="S405" s="67"/>
      <c r="T405" s="67"/>
      <c r="U405" s="67"/>
      <c r="V405" s="67"/>
      <c r="W405" s="85"/>
      <c r="X405" s="962" t="s">
        <v>533</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533</v>
      </c>
      <c r="M406" s="159"/>
      <c r="N406" s="67"/>
      <c r="O406" s="67"/>
      <c r="P406" s="67"/>
      <c r="Q406" s="67"/>
      <c r="R406" s="67"/>
      <c r="S406" s="67"/>
      <c r="T406" s="67"/>
      <c r="U406" s="67"/>
      <c r="V406" s="67"/>
      <c r="W406" s="85"/>
      <c r="X406" s="962" t="s">
        <v>533</v>
      </c>
      <c r="Y406" s="785"/>
      <c r="Z406" s="785"/>
      <c r="AA406" s="785"/>
      <c r="AB406" s="1481">
        <v>0</v>
      </c>
      <c r="AC406" s="797" t="str">
        <f t="shared" si="41"/>
        <v/>
      </c>
      <c r="AD406" s="1515">
        <f>O353</f>
        <v>0</v>
      </c>
      <c r="AE406" s="828" t="s">
        <v>388</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533</v>
      </c>
      <c r="M407" s="93"/>
      <c r="N407" s="76"/>
      <c r="O407" s="76"/>
      <c r="P407" s="76"/>
      <c r="Q407" s="76"/>
      <c r="R407" s="76"/>
      <c r="S407" s="76"/>
      <c r="T407" s="76"/>
      <c r="U407" s="76"/>
      <c r="V407" s="76"/>
      <c r="W407" s="94"/>
      <c r="X407" s="962" t="s">
        <v>533</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533</v>
      </c>
      <c r="M408" s="264" t="s">
        <v>716</v>
      </c>
      <c r="N408" s="115"/>
      <c r="O408" s="115"/>
      <c r="P408" s="115"/>
      <c r="Q408" s="67"/>
      <c r="R408" s="248"/>
      <c r="S408" s="115"/>
      <c r="T408" s="67"/>
      <c r="U408" s="67"/>
      <c r="V408" s="67"/>
      <c r="W408" s="85"/>
      <c r="X408" s="962" t="s">
        <v>533</v>
      </c>
      <c r="Y408" s="785"/>
      <c r="Z408" s="785"/>
      <c r="AA408" s="785"/>
      <c r="AB408" s="1481">
        <v>0</v>
      </c>
      <c r="AC408" s="797" t="str">
        <f t="shared" si="41"/>
        <v/>
      </c>
      <c r="AD408" s="1515">
        <f>O355</f>
        <v>0</v>
      </c>
      <c r="AE408" s="828" t="s">
        <v>1060</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533</v>
      </c>
      <c r="M409" s="1152">
        <f>IF(N409&lt;&gt;"",N409,IF(OR(AB94=0,AB94=""),"",AB94))</f>
        <v>1</v>
      </c>
      <c r="N409" s="1006"/>
      <c r="O409" s="119" t="s">
        <v>718</v>
      </c>
      <c r="P409" s="60"/>
      <c r="Q409" s="60"/>
      <c r="R409" s="60"/>
      <c r="S409" s="60"/>
      <c r="T409" s="67"/>
      <c r="U409" s="67"/>
      <c r="V409" s="67"/>
      <c r="W409" s="85"/>
      <c r="X409" s="962" t="s">
        <v>533</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533</v>
      </c>
      <c r="M410" s="1152">
        <f>IF(N410&lt;&gt;"",N410,IF(OR(AB95=0,AB95=""),"",AB95))</f>
        <v>1</v>
      </c>
      <c r="N410" s="1006"/>
      <c r="O410" s="119" t="s">
        <v>428</v>
      </c>
      <c r="P410" s="67"/>
      <c r="Q410" s="67"/>
      <c r="R410" s="67"/>
      <c r="S410" s="67"/>
      <c r="T410" s="67"/>
      <c r="U410" s="67"/>
      <c r="V410" s="67"/>
      <c r="W410" s="85"/>
      <c r="X410" s="962" t="s">
        <v>533</v>
      </c>
      <c r="Y410" s="785"/>
      <c r="Z410" s="785"/>
      <c r="AA410" s="785"/>
      <c r="AB410" s="1481">
        <v>0</v>
      </c>
      <c r="AC410" s="797" t="str">
        <f t="shared" si="41"/>
        <v/>
      </c>
      <c r="AD410" s="1515">
        <f>O357</f>
        <v>0</v>
      </c>
      <c r="AE410" s="828" t="s">
        <v>1061</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533</v>
      </c>
      <c r="M411" s="159"/>
      <c r="N411" s="67"/>
      <c r="O411" s="67"/>
      <c r="P411" s="67"/>
      <c r="Q411" s="67"/>
      <c r="R411" s="67"/>
      <c r="S411" s="67"/>
      <c r="T411" s="67"/>
      <c r="U411" s="67"/>
      <c r="V411" s="67"/>
      <c r="W411" s="85"/>
      <c r="X411" s="962" t="s">
        <v>533</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533</v>
      </c>
      <c r="M412" s="159"/>
      <c r="N412" s="67"/>
      <c r="O412" s="67"/>
      <c r="P412" s="67"/>
      <c r="Q412" s="67"/>
      <c r="R412" s="67"/>
      <c r="S412" s="67"/>
      <c r="T412" s="67"/>
      <c r="U412" s="67"/>
      <c r="V412" s="67"/>
      <c r="W412" s="85"/>
      <c r="X412" s="962" t="s">
        <v>533</v>
      </c>
      <c r="Y412" s="785"/>
      <c r="Z412" s="785"/>
      <c r="AA412" s="785"/>
      <c r="AB412" s="1481">
        <v>0</v>
      </c>
      <c r="AC412" s="797" t="str">
        <f t="shared" si="41"/>
        <v/>
      </c>
      <c r="AD412" s="1515">
        <f>O359</f>
        <v>0</v>
      </c>
      <c r="AE412" s="828" t="s">
        <v>1062</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533</v>
      </c>
      <c r="M413" s="629"/>
      <c r="N413" s="758" t="s">
        <v>723</v>
      </c>
      <c r="O413" s="757"/>
      <c r="P413" s="754" t="s">
        <v>582</v>
      </c>
      <c r="Q413" s="756" t="s">
        <v>412</v>
      </c>
      <c r="R413" s="999"/>
      <c r="S413" s="754" t="s">
        <v>582</v>
      </c>
      <c r="T413" s="756" t="s">
        <v>412</v>
      </c>
      <c r="U413" s="67"/>
      <c r="V413" s="67"/>
      <c r="W413" s="85"/>
      <c r="X413" s="962" t="s">
        <v>533</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533</v>
      </c>
      <c r="M414" s="629"/>
      <c r="N414" s="755"/>
      <c r="O414" s="1214" t="s">
        <v>726</v>
      </c>
      <c r="P414" s="1153" t="str">
        <f>IF(S414&lt;&gt;"",S414,IF(OR(AB98=0,AB98=""),"",AB98))</f>
        <v/>
      </c>
      <c r="Q414" s="1153" t="str">
        <f>IF(T414&lt;&gt;"",T414,IF(OR(AB99=0,AB99=""),"",AB99))</f>
        <v/>
      </c>
      <c r="R414" s="759" t="s">
        <v>727</v>
      </c>
      <c r="S414" s="1228"/>
      <c r="T414" s="1229"/>
      <c r="U414" s="990" t="s">
        <v>748</v>
      </c>
      <c r="V414" s="67"/>
      <c r="W414" s="85"/>
      <c r="X414" s="962" t="s">
        <v>533</v>
      </c>
      <c r="Y414" s="785"/>
      <c r="Z414" s="785"/>
      <c r="AA414" s="785"/>
      <c r="AB414" s="1481">
        <v>0</v>
      </c>
      <c r="AC414" s="797" t="str">
        <f t="shared" si="41"/>
        <v/>
      </c>
      <c r="AD414" s="1515">
        <f>O361</f>
        <v>0</v>
      </c>
      <c r="AE414" s="828" t="s">
        <v>1063</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8">
        <v>19</v>
      </c>
      <c r="B415" s="150"/>
      <c r="C415" s="60"/>
      <c r="D415" s="60"/>
      <c r="E415" s="60"/>
      <c r="F415" s="60"/>
      <c r="G415" s="60"/>
      <c r="H415" s="60"/>
      <c r="I415" s="60"/>
      <c r="J415" s="1574"/>
      <c r="K415" s="100"/>
      <c r="L415" s="981" t="s">
        <v>533</v>
      </c>
      <c r="M415" s="629"/>
      <c r="N415" s="753"/>
      <c r="O415" s="1215" t="s">
        <v>728</v>
      </c>
      <c r="P415" s="1154" t="str">
        <f>IF(S415&lt;&gt;"",S415,IF(OR(AB101=0,AB101=""),"",AB101))</f>
        <v/>
      </c>
      <c r="Q415" s="1154" t="str">
        <f>IF(T415&lt;&gt;"",T415,IF(OR(AB102=0,AB102=""),"",AB102))</f>
        <v/>
      </c>
      <c r="R415" s="760" t="s">
        <v>729</v>
      </c>
      <c r="S415" s="1228"/>
      <c r="T415" s="1228"/>
      <c r="U415" s="990" t="s">
        <v>748</v>
      </c>
      <c r="V415" s="67"/>
      <c r="W415" s="85"/>
      <c r="X415" s="962" t="s">
        <v>533</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8">
        <v>20</v>
      </c>
      <c r="B416" s="141" t="s">
        <v>198</v>
      </c>
      <c r="C416" s="1290" t="str">
        <f>IF(O1475="","",IF(LEN(O1475)&lt;=115,O1475,IF(LEN(O1475)&lt;=222,LEFT(O1475,SEARCH(" ",O1475,107)),LEFT(O1475,SEARCH(" ",O1475,111)))))</f>
        <v/>
      </c>
      <c r="D416" s="59"/>
      <c r="E416" s="59"/>
      <c r="F416" s="59"/>
      <c r="G416" s="59"/>
      <c r="H416" s="59"/>
      <c r="I416" s="59"/>
      <c r="J416" s="59"/>
      <c r="K416" s="100"/>
      <c r="L416" s="981" t="s">
        <v>533</v>
      </c>
      <c r="M416" s="629"/>
      <c r="N416" s="753"/>
      <c r="O416" s="1215" t="s">
        <v>730</v>
      </c>
      <c r="P416" s="798" t="str">
        <f>IF(OR(P414="",P414=0,P415="",P415=0),"NA",P414/P415)</f>
        <v>NA</v>
      </c>
      <c r="Q416" s="798" t="str">
        <f>IF(OR(Q414="",Q414=0,Q415="",Q415=0),"NA",Q414/Q415)</f>
        <v>NA</v>
      </c>
      <c r="R416" s="761">
        <f>IF(AND(P416="NA",Q416="NA"),1,AVERAGE(P416:Q416))</f>
        <v>1</v>
      </c>
      <c r="S416" s="847"/>
      <c r="T416" s="204"/>
      <c r="U416" s="67"/>
      <c r="V416" s="67"/>
      <c r="W416" s="85"/>
      <c r="X416" s="962" t="s">
        <v>533</v>
      </c>
      <c r="Y416" s="785"/>
      <c r="Z416" s="785"/>
      <c r="AA416" s="785"/>
      <c r="AB416" s="1481">
        <v>0</v>
      </c>
      <c r="AC416" s="797" t="str">
        <f t="shared" si="41"/>
        <v/>
      </c>
      <c r="AD416" s="1515">
        <f>O363</f>
        <v>0</v>
      </c>
      <c r="AE416" s="828" t="s">
        <v>1064</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533</v>
      </c>
      <c r="M417" s="159"/>
      <c r="N417" s="67"/>
      <c r="O417" s="67"/>
      <c r="P417" s="67"/>
      <c r="Q417" s="67"/>
      <c r="R417" s="67"/>
      <c r="S417" s="67"/>
      <c r="T417" s="67"/>
      <c r="U417" s="67"/>
      <c r="V417" s="67"/>
      <c r="W417" s="85"/>
      <c r="X417" s="962" t="s">
        <v>533</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8">
        <v>22</v>
      </c>
      <c r="B418" s="150"/>
      <c r="C418" s="1291" t="str">
        <f>IF(LEN(O1475)&lt;=226,"",RIGHT(O1475,LEN(O1475)-SEARCH(" ",O1475,218)))</f>
        <v/>
      </c>
      <c r="D418" s="59"/>
      <c r="E418" s="59"/>
      <c r="F418" s="59"/>
      <c r="G418" s="59"/>
      <c r="H418" s="59"/>
      <c r="I418" s="59"/>
      <c r="J418" s="59"/>
      <c r="K418" s="100"/>
      <c r="L418" s="981" t="s">
        <v>533</v>
      </c>
      <c r="M418" s="159"/>
      <c r="N418" s="67"/>
      <c r="O418" s="67"/>
      <c r="P418" s="67"/>
      <c r="Q418" s="67"/>
      <c r="R418" s="67"/>
      <c r="S418" s="67"/>
      <c r="T418" s="67"/>
      <c r="U418" s="67"/>
      <c r="V418" s="67"/>
      <c r="W418" s="85"/>
      <c r="X418" s="962" t="s">
        <v>533</v>
      </c>
      <c r="Y418" s="785"/>
      <c r="Z418" s="785"/>
      <c r="AA418" s="785"/>
      <c r="AB418" s="1481">
        <v>0</v>
      </c>
      <c r="AC418" s="797" t="str">
        <f t="shared" si="41"/>
        <v/>
      </c>
      <c r="AD418" s="1515">
        <f>O365</f>
        <v>0</v>
      </c>
      <c r="AE418" s="828" t="s">
        <v>1065</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8">
        <v>23</v>
      </c>
      <c r="B419" s="150"/>
      <c r="C419" s="115"/>
      <c r="D419" s="115"/>
      <c r="E419" s="115"/>
      <c r="F419" s="115"/>
      <c r="G419" s="115"/>
      <c r="H419" s="115"/>
      <c r="I419" s="115"/>
      <c r="J419" s="115"/>
      <c r="K419" s="100"/>
      <c r="L419" s="981" t="s">
        <v>533</v>
      </c>
      <c r="M419" s="395" t="s">
        <v>720</v>
      </c>
      <c r="N419" s="160"/>
      <c r="P419" s="67"/>
      <c r="Q419" s="67"/>
      <c r="R419" s="1196" t="s">
        <v>418</v>
      </c>
      <c r="S419" s="480" t="s">
        <v>417</v>
      </c>
      <c r="T419" s="67"/>
      <c r="U419" s="67"/>
      <c r="V419" s="67"/>
      <c r="W419" s="85"/>
      <c r="X419" s="962" t="s">
        <v>533</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8">
        <v>24</v>
      </c>
      <c r="B420" s="141" t="str">
        <f t="array" ref="B420:C420">N1480:O1480</f>
        <v>Note:  4.7</v>
      </c>
      <c r="C420" s="62" t="str">
        <v>cm distance between patient and image receptor</v>
      </c>
      <c r="D420" s="4"/>
      <c r="E420" s="4"/>
      <c r="F420" s="115"/>
      <c r="G420" s="115"/>
      <c r="H420" s="115"/>
      <c r="I420" s="115"/>
      <c r="J420" s="115"/>
      <c r="K420" s="100"/>
      <c r="L420" s="981" t="s">
        <v>533</v>
      </c>
      <c r="M420" s="1155">
        <f>IF(N420&lt;&gt;"",N420,IF(OR(AB105=0,AB105=""),"",ROUND(AB105,2)))</f>
        <v>100</v>
      </c>
      <c r="N420" s="1097">
        <v>100</v>
      </c>
      <c r="O420" s="1212" t="s">
        <v>429</v>
      </c>
      <c r="P420" s="67"/>
      <c r="Q420" s="67"/>
      <c r="R420" s="67"/>
      <c r="S420" s="480" t="s">
        <v>416</v>
      </c>
      <c r="T420" s="67"/>
      <c r="U420" s="1028" t="s">
        <v>495</v>
      </c>
      <c r="V420" s="1151" t="str">
        <f>IF(AB108="","??",AB108)</f>
        <v>cm</v>
      </c>
      <c r="W420" s="85"/>
      <c r="X420" s="962" t="s">
        <v>533</v>
      </c>
      <c r="Y420" s="785"/>
      <c r="Z420" s="785"/>
      <c r="AA420" s="785"/>
      <c r="AB420" s="1481">
        <v>0</v>
      </c>
      <c r="AC420" s="797" t="str">
        <f t="shared" si="41"/>
        <v/>
      </c>
      <c r="AD420" s="1515">
        <f>O367</f>
        <v>0</v>
      </c>
      <c r="AE420" s="828" t="s">
        <v>1066</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8">
        <v>25</v>
      </c>
      <c r="B421" s="40"/>
      <c r="C421" s="384"/>
      <c r="D421" s="98"/>
      <c r="E421" s="98"/>
      <c r="F421" s="384"/>
      <c r="G421" s="384"/>
      <c r="H421" s="384"/>
      <c r="I421" s="384"/>
      <c r="J421" s="384"/>
      <c r="K421" s="103"/>
      <c r="L421" s="981" t="s">
        <v>533</v>
      </c>
      <c r="M421" s="1156">
        <f>IF(N421&lt;&gt;"",N421,IF(OR(AB106=0,AB106=""),"",ROUND(AB106,2)))</f>
        <v>4.7</v>
      </c>
      <c r="N421" s="1096"/>
      <c r="O421" s="1212" t="s">
        <v>430</v>
      </c>
      <c r="P421" s="67"/>
      <c r="Q421" s="67"/>
      <c r="R421" s="67"/>
      <c r="S421" s="67"/>
      <c r="T421" s="67"/>
      <c r="U421" s="482"/>
      <c r="V421" s="1197"/>
      <c r="W421" s="85"/>
      <c r="X421" s="962" t="s">
        <v>533</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8">
        <v>26</v>
      </c>
      <c r="L422" s="981" t="s">
        <v>533</v>
      </c>
      <c r="M422" s="1211"/>
      <c r="N422" s="1209"/>
      <c r="O422" s="1210"/>
      <c r="P422" s="67"/>
      <c r="Q422" s="67"/>
      <c r="R422" s="67"/>
      <c r="S422" s="67"/>
      <c r="T422" s="210"/>
      <c r="U422" s="628" t="s">
        <v>742</v>
      </c>
      <c r="V422" s="1197"/>
      <c r="W422" s="85"/>
      <c r="X422" s="962" t="s">
        <v>533</v>
      </c>
      <c r="Y422" s="785"/>
      <c r="Z422" s="785"/>
      <c r="AA422" s="785"/>
      <c r="AB422" s="1481">
        <v>0</v>
      </c>
      <c r="AC422" s="797" t="str">
        <f t="shared" si="41"/>
        <v/>
      </c>
      <c r="AD422" s="1515">
        <f>O369</f>
        <v>0</v>
      </c>
      <c r="AE422" s="828" t="s">
        <v>1067</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8">
        <v>27</v>
      </c>
      <c r="L423" s="981" t="s">
        <v>533</v>
      </c>
      <c r="M423" s="159"/>
      <c r="N423" s="67"/>
      <c r="O423" s="67"/>
      <c r="P423" s="67"/>
      <c r="Q423" s="67"/>
      <c r="R423" s="67"/>
      <c r="S423" s="67"/>
      <c r="T423" s="980" t="s">
        <v>743</v>
      </c>
      <c r="U423" s="1219">
        <f>IF($U$425&lt;&gt;"",$U$425,IF(AND($M$420&lt;&gt;"",$M$421&lt;&gt;""),IF(TBCM_IN="cm",$M$420+$M$421,ROUND(($M$420+$M$421)/2.54,2)),""))</f>
        <v>104.7</v>
      </c>
      <c r="V423" s="1222" t="s">
        <v>744</v>
      </c>
      <c r="W423" s="85"/>
      <c r="X423" s="962" t="s">
        <v>533</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8">
        <v>28</v>
      </c>
      <c r="L424" s="981" t="s">
        <v>533</v>
      </c>
      <c r="M424" s="159"/>
      <c r="N424" s="67"/>
      <c r="O424" s="67"/>
      <c r="P424" s="67"/>
      <c r="Q424" s="67"/>
      <c r="R424" s="67"/>
      <c r="S424" s="67"/>
      <c r="T424" s="1220" t="s">
        <v>745</v>
      </c>
      <c r="U424" s="1221">
        <f>IF(OR(AB109=0,AB109=""),"",AB109)</f>
        <v>101.60000000000001</v>
      </c>
      <c r="V424" s="67"/>
      <c r="W424" s="85"/>
      <c r="X424" s="962" t="s">
        <v>533</v>
      </c>
      <c r="Y424" s="785"/>
      <c r="Z424" s="785"/>
      <c r="AA424" s="441"/>
      <c r="AB424" s="1481">
        <v>0</v>
      </c>
      <c r="AC424" s="797" t="str">
        <f t="shared" si="41"/>
        <v/>
      </c>
      <c r="AD424" s="1515">
        <f>O371</f>
        <v>0</v>
      </c>
      <c r="AE424" s="828" t="s">
        <v>1068</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8">
        <v>29</v>
      </c>
      <c r="B425" s="3"/>
      <c r="C425" s="3"/>
      <c r="D425" s="3"/>
      <c r="E425" s="3"/>
      <c r="F425" s="3"/>
      <c r="G425" s="3"/>
      <c r="H425" s="3"/>
      <c r="I425" s="3"/>
      <c r="J425" s="3"/>
      <c r="K425" s="67"/>
      <c r="L425" s="981" t="s">
        <v>533</v>
      </c>
      <c r="M425" s="159"/>
      <c r="N425" s="67"/>
      <c r="O425" s="67"/>
      <c r="P425" s="67"/>
      <c r="Q425" s="67"/>
      <c r="R425" s="67"/>
      <c r="S425" s="67"/>
      <c r="T425" s="1218" t="s">
        <v>748</v>
      </c>
      <c r="U425" s="1213"/>
      <c r="V425" s="67"/>
      <c r="W425" s="85"/>
      <c r="X425" s="962" t="s">
        <v>533</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8">
        <v>30</v>
      </c>
      <c r="B426" s="3"/>
      <c r="C426" s="3"/>
      <c r="D426" s="3"/>
      <c r="E426" s="3"/>
      <c r="F426" s="3"/>
      <c r="G426" s="3"/>
      <c r="H426" s="3"/>
      <c r="I426" s="3"/>
      <c r="J426" s="3"/>
      <c r="K426" s="67"/>
      <c r="L426" s="981" t="s">
        <v>533</v>
      </c>
      <c r="M426" s="116"/>
      <c r="N426" s="98"/>
      <c r="O426" s="98"/>
      <c r="P426" s="98"/>
      <c r="Q426" s="98"/>
      <c r="R426" s="98"/>
      <c r="S426" s="98"/>
      <c r="T426" s="98"/>
      <c r="U426" s="98"/>
      <c r="V426" s="98"/>
      <c r="W426" s="103"/>
      <c r="X426" s="962" t="s">
        <v>533</v>
      </c>
      <c r="Y426" s="785"/>
      <c r="Z426" s="785"/>
      <c r="AA426" s="441"/>
      <c r="AB426" s="1481">
        <v>0</v>
      </c>
      <c r="AC426" s="797" t="str">
        <f t="shared" si="41"/>
        <v/>
      </c>
      <c r="AD426" s="1515">
        <f>O373</f>
        <v>0</v>
      </c>
      <c r="AE426" s="828" t="s">
        <v>1069</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8">
        <v>31</v>
      </c>
      <c r="B427" s="3"/>
      <c r="C427" s="3"/>
      <c r="D427" s="3"/>
      <c r="E427" s="3"/>
      <c r="F427" s="3"/>
      <c r="G427" s="3"/>
      <c r="H427" s="3"/>
      <c r="I427" s="3"/>
      <c r="J427" s="3"/>
      <c r="K427" s="67"/>
      <c r="L427" s="981" t="s">
        <v>533</v>
      </c>
      <c r="M427" s="159"/>
      <c r="N427" s="67"/>
      <c r="O427" s="67"/>
      <c r="P427" s="67"/>
      <c r="Q427" s="67"/>
      <c r="R427" s="67"/>
      <c r="S427" s="67"/>
      <c r="T427" s="67"/>
      <c r="U427" s="67"/>
      <c r="V427" s="67"/>
      <c r="W427" s="85"/>
      <c r="X427" s="962" t="s">
        <v>533</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8">
        <v>32</v>
      </c>
      <c r="B428" s="3"/>
      <c r="C428" s="3"/>
      <c r="D428" s="3"/>
      <c r="E428" s="3"/>
      <c r="F428" s="3"/>
      <c r="G428" s="3"/>
      <c r="H428" s="3"/>
      <c r="I428" s="3"/>
      <c r="J428" s="3"/>
      <c r="K428" s="67"/>
      <c r="L428" s="981" t="s">
        <v>533</v>
      </c>
      <c r="M428" s="159"/>
      <c r="N428" s="67"/>
      <c r="O428" s="67"/>
      <c r="P428" s="67"/>
      <c r="Q428" s="67"/>
      <c r="R428" s="67"/>
      <c r="S428" s="67"/>
      <c r="T428" s="67"/>
      <c r="U428" s="67"/>
      <c r="V428" s="67"/>
      <c r="W428" s="85"/>
      <c r="X428" s="962" t="s">
        <v>533</v>
      </c>
      <c r="Y428" s="785"/>
      <c r="Z428" s="785"/>
      <c r="AA428" s="791" t="s">
        <v>776</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8">
        <v>33</v>
      </c>
      <c r="B429" s="3"/>
      <c r="C429" s="3"/>
      <c r="D429" s="3"/>
      <c r="E429" s="3"/>
      <c r="F429" s="3"/>
      <c r="G429" s="3"/>
      <c r="H429" s="3"/>
      <c r="I429" s="3"/>
      <c r="J429" s="3"/>
      <c r="K429" s="67"/>
      <c r="L429" s="981" t="s">
        <v>533</v>
      </c>
      <c r="M429" s="159"/>
      <c r="N429" s="67"/>
      <c r="O429" s="67"/>
      <c r="P429" s="67"/>
      <c r="Q429" s="67"/>
      <c r="R429" s="67"/>
      <c r="S429" s="67"/>
      <c r="T429" s="67"/>
      <c r="U429" s="67"/>
      <c r="V429" s="67"/>
      <c r="W429" s="85"/>
      <c r="X429" s="962" t="s">
        <v>533</v>
      </c>
      <c r="Y429" s="785"/>
      <c r="Z429" s="785"/>
      <c r="AA429" s="784" t="s">
        <v>556</v>
      </c>
      <c r="AB429" s="1481" t="s">
        <v>533</v>
      </c>
      <c r="AC429" s="797" t="str">
        <f t="shared" si="41"/>
        <v/>
      </c>
      <c r="AD429" s="1515" t="str">
        <f>IF(O475="","",O475)</f>
        <v/>
      </c>
      <c r="AE429" s="829" t="s">
        <v>1070</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8">
        <v>34</v>
      </c>
      <c r="B430" s="3"/>
      <c r="C430" s="3"/>
      <c r="D430" s="3"/>
      <c r="E430" s="3"/>
      <c r="F430" s="3"/>
      <c r="G430" s="3"/>
      <c r="H430" s="3"/>
      <c r="I430" s="3"/>
      <c r="J430" s="3"/>
      <c r="K430" s="67"/>
      <c r="L430" s="981" t="s">
        <v>533</v>
      </c>
      <c r="M430" s="1235" t="s">
        <v>426</v>
      </c>
      <c r="N430" s="67"/>
      <c r="O430" s="67"/>
      <c r="P430" s="67"/>
      <c r="Q430" s="67"/>
      <c r="R430" s="67"/>
      <c r="S430" s="67"/>
      <c r="T430" s="67"/>
      <c r="U430" s="67"/>
      <c r="V430" s="67"/>
      <c r="W430" s="85"/>
      <c r="X430" s="962" t="s">
        <v>533</v>
      </c>
      <c r="Y430" s="785"/>
      <c r="Z430" s="785"/>
      <c r="AA430" s="784" t="s">
        <v>692</v>
      </c>
      <c r="AB430" s="1481" t="s">
        <v>533</v>
      </c>
      <c r="AC430" s="797" t="str">
        <f t="shared" si="41"/>
        <v/>
      </c>
      <c r="AD430" s="1515" t="str">
        <f>IF(O488="","",O488)</f>
        <v/>
      </c>
      <c r="AE430" s="829" t="s">
        <v>1071</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8">
        <v>35</v>
      </c>
      <c r="B431" s="3"/>
      <c r="C431" s="3"/>
      <c r="D431" s="3"/>
      <c r="E431" s="3"/>
      <c r="F431" s="3"/>
      <c r="G431" s="3"/>
      <c r="H431" s="3"/>
      <c r="I431" s="3"/>
      <c r="J431" s="3"/>
      <c r="K431" s="67"/>
      <c r="L431" s="981" t="s">
        <v>533</v>
      </c>
      <c r="M431" s="159"/>
      <c r="N431" s="67"/>
      <c r="O431" s="67"/>
      <c r="P431" s="67"/>
      <c r="Q431" s="67"/>
      <c r="R431" s="67"/>
      <c r="S431" s="67"/>
      <c r="T431" s="67"/>
      <c r="U431" s="67"/>
      <c r="V431" s="67"/>
      <c r="W431" s="85"/>
      <c r="X431" s="962" t="s">
        <v>533</v>
      </c>
      <c r="Y431" s="785"/>
      <c r="Z431" s="785"/>
      <c r="AA431" s="784" t="s">
        <v>777</v>
      </c>
      <c r="AB431" s="1481" t="s">
        <v>533</v>
      </c>
      <c r="AC431" s="797" t="str">
        <f t="shared" si="41"/>
        <v/>
      </c>
      <c r="AD431" s="1515" t="str">
        <f>IF(O498="","",O498)</f>
        <v/>
      </c>
      <c r="AE431" s="829" t="s">
        <v>1072</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8">
        <v>36</v>
      </c>
      <c r="B432" s="3"/>
      <c r="C432" s="3"/>
      <c r="D432" s="3"/>
      <c r="E432" s="3"/>
      <c r="F432" s="3"/>
      <c r="G432" s="3"/>
      <c r="H432" s="3"/>
      <c r="I432" s="3"/>
      <c r="J432" s="3"/>
      <c r="K432" s="67"/>
      <c r="L432" s="981" t="s">
        <v>533</v>
      </c>
      <c r="M432" s="93"/>
      <c r="N432" s="76"/>
      <c r="O432" s="76"/>
      <c r="P432" s="76"/>
      <c r="Q432" s="76"/>
      <c r="R432" s="76"/>
      <c r="S432" s="76"/>
      <c r="T432" s="76"/>
      <c r="U432" s="76"/>
      <c r="V432" s="76"/>
      <c r="W432" s="94"/>
      <c r="X432" s="962" t="s">
        <v>533</v>
      </c>
      <c r="Y432" s="785"/>
      <c r="Z432" s="785"/>
      <c r="AA432" s="784" t="s">
        <v>778</v>
      </c>
      <c r="AB432" s="1481" t="s">
        <v>533</v>
      </c>
      <c r="AC432" s="797" t="str">
        <f t="shared" si="41"/>
        <v/>
      </c>
      <c r="AD432" s="1515" t="str">
        <f>IF(O510="","",O510)</f>
        <v/>
      </c>
      <c r="AE432" s="829" t="s">
        <v>1073</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8">
        <v>37</v>
      </c>
      <c r="B433" s="3"/>
      <c r="C433" s="3"/>
      <c r="D433" s="3"/>
      <c r="E433" s="3"/>
      <c r="F433" s="3"/>
      <c r="G433" s="3"/>
      <c r="H433" s="3"/>
      <c r="I433" s="3"/>
      <c r="J433" s="3"/>
      <c r="K433" s="67"/>
      <c r="L433" s="981" t="s">
        <v>533</v>
      </c>
      <c r="M433" s="264" t="s">
        <v>716</v>
      </c>
      <c r="N433" s="115"/>
      <c r="O433" s="115"/>
      <c r="P433" s="115"/>
      <c r="Q433" s="67"/>
      <c r="R433" s="248"/>
      <c r="S433" s="115"/>
      <c r="T433" s="67"/>
      <c r="U433" s="115"/>
      <c r="V433" s="115"/>
      <c r="W433" s="85"/>
      <c r="X433" s="962" t="s">
        <v>533</v>
      </c>
      <c r="Y433" s="785"/>
      <c r="Z433" s="785"/>
      <c r="AA433" s="784" t="s">
        <v>779</v>
      </c>
      <c r="AB433" s="1481" t="s">
        <v>533</v>
      </c>
      <c r="AC433" s="797" t="str">
        <f t="shared" si="41"/>
        <v/>
      </c>
      <c r="AD433" s="1515" t="str">
        <f>IF(O565="","",O565)</f>
        <v/>
      </c>
      <c r="AE433" s="829" t="s">
        <v>1074</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8">
        <v>38</v>
      </c>
      <c r="B434" s="3"/>
      <c r="C434" s="3"/>
      <c r="D434" s="3"/>
      <c r="E434" s="3"/>
      <c r="F434" s="3"/>
      <c r="G434" s="3"/>
      <c r="H434" s="3"/>
      <c r="I434" s="3"/>
      <c r="J434" s="3"/>
      <c r="K434" s="67"/>
      <c r="L434" s="981" t="s">
        <v>533</v>
      </c>
      <c r="M434" s="1160">
        <f>IF(N434&lt;&gt;"",N434,IF(OR(AB127=0,AB127=""),"",AB127))</f>
        <v>1</v>
      </c>
      <c r="N434" s="1006"/>
      <c r="O434" s="119" t="s">
        <v>771</v>
      </c>
      <c r="P434" s="60"/>
      <c r="Q434" s="60"/>
      <c r="R434" s="60"/>
      <c r="S434" s="60"/>
      <c r="T434" s="67"/>
      <c r="U434" s="60"/>
      <c r="V434" s="60"/>
      <c r="W434" s="85"/>
      <c r="X434" s="962" t="s">
        <v>533</v>
      </c>
      <c r="Y434" s="785"/>
      <c r="Z434" s="785"/>
      <c r="AA434" s="784" t="s">
        <v>780</v>
      </c>
      <c r="AB434" s="1481" t="s">
        <v>533</v>
      </c>
      <c r="AC434" s="797" t="str">
        <f t="shared" si="41"/>
        <v/>
      </c>
      <c r="AD434" s="1515" t="str">
        <f>IF(O582="","",O582)</f>
        <v/>
      </c>
      <c r="AE434" s="829" t="s">
        <v>1075</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8">
        <v>39</v>
      </c>
      <c r="B435" s="3"/>
      <c r="C435" s="3"/>
      <c r="D435" s="3"/>
      <c r="E435" s="3"/>
      <c r="F435" s="3"/>
      <c r="G435" s="3"/>
      <c r="H435" s="3"/>
      <c r="I435" s="3"/>
      <c r="J435" s="3"/>
      <c r="K435" s="67"/>
      <c r="L435" s="981" t="s">
        <v>533</v>
      </c>
      <c r="M435" s="159"/>
      <c r="N435" s="67"/>
      <c r="O435" s="67"/>
      <c r="P435" s="67"/>
      <c r="Q435" s="67"/>
      <c r="R435" s="67"/>
      <c r="S435" s="67"/>
      <c r="T435" s="67"/>
      <c r="U435" s="67"/>
      <c r="V435" s="67"/>
      <c r="W435" s="85"/>
      <c r="X435" s="962" t="s">
        <v>533</v>
      </c>
      <c r="Y435" s="785"/>
      <c r="Z435" s="785"/>
      <c r="AA435" s="784" t="s">
        <v>781</v>
      </c>
      <c r="AB435" s="1481" t="s">
        <v>533</v>
      </c>
      <c r="AC435" s="797" t="str">
        <f t="shared" si="41"/>
        <v/>
      </c>
      <c r="AD435" s="1515" t="str">
        <f>IF(O591="","",O591)</f>
        <v/>
      </c>
      <c r="AE435" s="829" t="s">
        <v>1076</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8">
        <v>40</v>
      </c>
      <c r="B436" s="3"/>
      <c r="C436" s="3"/>
      <c r="D436" s="3"/>
      <c r="E436" s="3"/>
      <c r="F436" s="3"/>
      <c r="G436" s="3"/>
      <c r="H436" s="3"/>
      <c r="I436" s="3"/>
      <c r="J436" s="3"/>
      <c r="K436" s="67"/>
      <c r="L436" s="981" t="s">
        <v>533</v>
      </c>
      <c r="M436" s="159"/>
      <c r="N436" s="67"/>
      <c r="O436" s="67"/>
      <c r="P436" s="67"/>
      <c r="Q436" s="67"/>
      <c r="R436" s="67"/>
      <c r="S436" s="67"/>
      <c r="T436" s="67"/>
      <c r="U436" s="67"/>
      <c r="V436" s="67"/>
      <c r="W436" s="85"/>
      <c r="X436" s="962" t="s">
        <v>533</v>
      </c>
      <c r="Y436" s="785"/>
      <c r="Z436" s="785"/>
      <c r="AA436" s="784" t="s">
        <v>782</v>
      </c>
      <c r="AB436" s="1481" t="s">
        <v>533</v>
      </c>
      <c r="AC436" s="797" t="str">
        <f t="shared" si="41"/>
        <v/>
      </c>
      <c r="AD436" s="1515" t="str">
        <f>IF(O628="","",O628)</f>
        <v/>
      </c>
      <c r="AE436" s="829" t="s">
        <v>1077</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8">
        <v>41</v>
      </c>
      <c r="B437" s="3"/>
      <c r="C437" s="3"/>
      <c r="D437" s="3"/>
      <c r="E437" s="3"/>
      <c r="F437" s="3"/>
      <c r="G437" s="3"/>
      <c r="H437" s="3"/>
      <c r="I437" s="3"/>
      <c r="J437" s="3"/>
      <c r="K437" s="67"/>
      <c r="L437" s="981" t="s">
        <v>533</v>
      </c>
      <c r="M437" s="159"/>
      <c r="N437" s="758" t="s">
        <v>723</v>
      </c>
      <c r="O437" s="757"/>
      <c r="P437" s="754" t="s">
        <v>582</v>
      </c>
      <c r="Q437" s="756" t="s">
        <v>583</v>
      </c>
      <c r="R437" s="999"/>
      <c r="S437" s="754" t="s">
        <v>582</v>
      </c>
      <c r="T437" s="756" t="s">
        <v>583</v>
      </c>
      <c r="U437" s="67"/>
      <c r="V437" s="67"/>
      <c r="W437" s="85"/>
      <c r="X437" s="962" t="s">
        <v>533</v>
      </c>
      <c r="Y437" s="785"/>
      <c r="Z437" s="785"/>
      <c r="AA437" s="784" t="s">
        <v>783</v>
      </c>
      <c r="AB437" s="1481" t="s">
        <v>533</v>
      </c>
      <c r="AC437" s="797" t="str">
        <f t="shared" si="41"/>
        <v/>
      </c>
      <c r="AD437" s="1515" t="str">
        <f>IF(O646="","",O646)</f>
        <v/>
      </c>
      <c r="AE437" s="829" t="s">
        <v>1078</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8">
        <v>42</v>
      </c>
      <c r="B438" s="3"/>
      <c r="C438" s="3"/>
      <c r="D438" s="3"/>
      <c r="E438" s="3"/>
      <c r="F438" s="3"/>
      <c r="G438" s="3"/>
      <c r="H438" s="3"/>
      <c r="I438" s="3"/>
      <c r="J438" s="3"/>
      <c r="K438" s="67"/>
      <c r="L438" s="981" t="s">
        <v>533</v>
      </c>
      <c r="M438" s="159"/>
      <c r="N438" s="755"/>
      <c r="O438" s="1214" t="s">
        <v>726</v>
      </c>
      <c r="P438" s="1163" t="str">
        <f>IF(S438&lt;&gt;"",S438,IF(OR(AB130=0,AB130=""),"",AB130))</f>
        <v/>
      </c>
      <c r="Q438" s="1163" t="str">
        <f>IF(T438&lt;&gt;"",T438,IF(OR(AB131=0,AB131=""),"",AB131))</f>
        <v/>
      </c>
      <c r="R438" s="759" t="s">
        <v>772</v>
      </c>
      <c r="S438" s="1095"/>
      <c r="T438" s="1095"/>
      <c r="U438" s="990" t="s">
        <v>748</v>
      </c>
      <c r="V438" s="67"/>
      <c r="W438" s="85"/>
      <c r="X438" s="962" t="s">
        <v>533</v>
      </c>
      <c r="Y438" s="785"/>
      <c r="Z438" s="785"/>
      <c r="AA438" s="784" t="s">
        <v>784</v>
      </c>
      <c r="AB438" s="1481" t="s">
        <v>533</v>
      </c>
      <c r="AC438" s="797" t="str">
        <f t="shared" si="41"/>
        <v/>
      </c>
      <c r="AD438" s="1515" t="str">
        <f>IF(O656="","",O656)</f>
        <v/>
      </c>
      <c r="AE438" s="829" t="s">
        <v>1079</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8">
        <v>43</v>
      </c>
      <c r="B439" s="3"/>
      <c r="C439" s="3"/>
      <c r="D439" s="3"/>
      <c r="E439" s="3"/>
      <c r="F439" s="3"/>
      <c r="G439" s="3"/>
      <c r="H439" s="3"/>
      <c r="I439" s="3"/>
      <c r="J439" s="3"/>
      <c r="K439" s="67"/>
      <c r="L439" s="981" t="s">
        <v>533</v>
      </c>
      <c r="M439" s="159"/>
      <c r="N439" s="753"/>
      <c r="O439" s="1215" t="s">
        <v>728</v>
      </c>
      <c r="P439" s="1164" t="str">
        <f>IF(S439&lt;&gt;"",S439,IF(OR(AB133=0,AB133=""),"",AB133))</f>
        <v/>
      </c>
      <c r="Q439" s="1164" t="str">
        <f>IF(T439&lt;&gt;"",T439,IF(OR(AB134=0,AB134=""),"",AB134))</f>
        <v/>
      </c>
      <c r="R439" s="760" t="s">
        <v>773</v>
      </c>
      <c r="S439" s="1095"/>
      <c r="T439" s="1095"/>
      <c r="U439" s="990" t="s">
        <v>748</v>
      </c>
      <c r="V439" s="67"/>
      <c r="W439" s="85"/>
      <c r="X439" s="962" t="s">
        <v>533</v>
      </c>
      <c r="Y439" s="785"/>
      <c r="Z439" s="785"/>
      <c r="AA439" s="784" t="s">
        <v>785</v>
      </c>
      <c r="AB439" s="1481" t="s">
        <v>533</v>
      </c>
      <c r="AC439" s="797" t="str">
        <f t="shared" si="41"/>
        <v/>
      </c>
      <c r="AD439" s="1515" t="str">
        <f>IF(O683="","",O683)</f>
        <v/>
      </c>
      <c r="AE439" s="829" t="s">
        <v>1080</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8">
        <v>44</v>
      </c>
      <c r="B440" s="3"/>
      <c r="C440" s="3"/>
      <c r="D440" s="3"/>
      <c r="E440" s="3"/>
      <c r="F440" s="3"/>
      <c r="G440" s="3"/>
      <c r="H440" s="3"/>
      <c r="I440" s="3"/>
      <c r="J440" s="3"/>
      <c r="K440" s="67"/>
      <c r="L440" s="981" t="s">
        <v>533</v>
      </c>
      <c r="M440" s="159"/>
      <c r="N440" s="753"/>
      <c r="O440" s="1215" t="s">
        <v>730</v>
      </c>
      <c r="P440" s="798" t="str">
        <f>IF(OR(P438="",P438=0,P439="",P439=0),"NA",P438/P439)</f>
        <v>NA</v>
      </c>
      <c r="Q440" s="798" t="str">
        <f>IF(OR(Q438="",Q438=0,Q439="",Q439=0),"NA",Q438/Q439)</f>
        <v>NA</v>
      </c>
      <c r="R440" s="761">
        <f>IF(AND(P440="NA",Q440="NA"),1,AVERAGE(P440:Q440))</f>
        <v>1</v>
      </c>
      <c r="S440" s="67"/>
      <c r="T440" s="67"/>
      <c r="U440" s="67"/>
      <c r="V440" s="67"/>
      <c r="W440" s="85"/>
      <c r="X440" s="962" t="s">
        <v>533</v>
      </c>
      <c r="Y440" s="785"/>
      <c r="Z440" s="785"/>
      <c r="AA440" s="784" t="s">
        <v>786</v>
      </c>
      <c r="AB440" s="1481" t="s">
        <v>533</v>
      </c>
      <c r="AC440" s="797" t="str">
        <f t="shared" si="41"/>
        <v/>
      </c>
      <c r="AD440" s="1515" t="str">
        <f>IF(O703="","",O703)</f>
        <v/>
      </c>
      <c r="AE440" s="829" t="s">
        <v>1081</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8">
        <v>45</v>
      </c>
      <c r="B441" s="67"/>
      <c r="C441" s="67"/>
      <c r="D441" s="67"/>
      <c r="E441" s="67"/>
      <c r="F441" s="67"/>
      <c r="G441" s="67"/>
      <c r="H441" s="67"/>
      <c r="I441" s="67"/>
      <c r="J441" s="67"/>
      <c r="K441" s="67"/>
      <c r="L441" s="981" t="s">
        <v>533</v>
      </c>
      <c r="M441" s="159"/>
      <c r="N441" s="67"/>
      <c r="O441" s="67"/>
      <c r="P441" s="67"/>
      <c r="Q441" s="67"/>
      <c r="R441" s="67"/>
      <c r="S441" s="67"/>
      <c r="T441" s="67"/>
      <c r="U441" s="67"/>
      <c r="V441" s="67"/>
      <c r="W441" s="85"/>
      <c r="X441" s="962" t="s">
        <v>533</v>
      </c>
      <c r="Y441" s="785"/>
      <c r="Z441" s="785"/>
      <c r="AA441" s="784" t="s">
        <v>787</v>
      </c>
      <c r="AB441" s="1481" t="s">
        <v>533</v>
      </c>
      <c r="AC441" s="797" t="str">
        <f t="shared" si="41"/>
        <v/>
      </c>
      <c r="AD441" s="1515" t="str">
        <f>IF(O719="","",O719)</f>
        <v/>
      </c>
      <c r="AE441" s="829" t="s">
        <v>1082</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8">
        <v>46</v>
      </c>
      <c r="B442" s="67"/>
      <c r="C442" s="67"/>
      <c r="D442" s="67"/>
      <c r="E442" s="67"/>
      <c r="F442" s="67"/>
      <c r="G442" s="67"/>
      <c r="H442" s="67"/>
      <c r="I442" s="67"/>
      <c r="J442" s="67"/>
      <c r="K442" s="67"/>
      <c r="L442" s="981" t="s">
        <v>533</v>
      </c>
      <c r="M442" s="159"/>
      <c r="N442" s="67"/>
      <c r="O442" s="67"/>
      <c r="P442" s="67"/>
      <c r="Q442" s="67"/>
      <c r="R442" s="67"/>
      <c r="S442" s="67"/>
      <c r="T442" s="67"/>
      <c r="U442" s="67"/>
      <c r="V442" s="67"/>
      <c r="W442" s="85"/>
      <c r="X442" s="962" t="s">
        <v>533</v>
      </c>
      <c r="Y442" s="785"/>
      <c r="Z442" s="785"/>
      <c r="AA442" s="784" t="s">
        <v>422</v>
      </c>
      <c r="AB442" s="1481" t="s">
        <v>533</v>
      </c>
      <c r="AC442" s="797" t="str">
        <f t="shared" si="41"/>
        <v/>
      </c>
      <c r="AD442" s="1515" t="str">
        <f>IF(O751="","",O751)</f>
        <v/>
      </c>
      <c r="AE442" s="829" t="s">
        <v>1083</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8">
        <v>47</v>
      </c>
      <c r="B443" s="3"/>
      <c r="C443" s="3"/>
      <c r="D443" s="3"/>
      <c r="E443" s="3"/>
      <c r="F443" s="3"/>
      <c r="G443" s="3"/>
      <c r="H443" s="3"/>
      <c r="I443" s="3"/>
      <c r="J443" s="3"/>
      <c r="K443" s="67"/>
      <c r="L443" s="981" t="s">
        <v>533</v>
      </c>
      <c r="M443" s="159"/>
      <c r="N443" s="67"/>
      <c r="O443" s="67"/>
      <c r="P443" s="67"/>
      <c r="Q443" s="67"/>
      <c r="R443" s="67"/>
      <c r="S443" s="67"/>
      <c r="T443" s="67"/>
      <c r="U443" s="67"/>
      <c r="V443" s="67"/>
      <c r="W443" s="85"/>
      <c r="X443" s="962" t="s">
        <v>533</v>
      </c>
      <c r="Y443" s="785"/>
      <c r="Z443" s="785"/>
      <c r="AA443" s="784" t="s">
        <v>423</v>
      </c>
      <c r="AB443" s="1481" t="s">
        <v>533</v>
      </c>
      <c r="AC443" s="797" t="str">
        <f t="shared" si="41"/>
        <v/>
      </c>
      <c r="AD443" s="1515" t="str">
        <f>IF(O753="","",O753)</f>
        <v/>
      </c>
      <c r="AE443" s="829" t="s">
        <v>1084</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8">
        <v>48</v>
      </c>
      <c r="B444" s="3"/>
      <c r="C444" s="3"/>
      <c r="D444" s="3"/>
      <c r="E444" s="3"/>
      <c r="F444" s="3"/>
      <c r="G444" s="3"/>
      <c r="H444" s="3"/>
      <c r="I444" s="3"/>
      <c r="J444" s="3"/>
      <c r="K444" s="67"/>
      <c r="L444" s="981" t="s">
        <v>533</v>
      </c>
      <c r="M444" s="159"/>
      <c r="N444" s="67"/>
      <c r="O444" s="67"/>
      <c r="P444" s="67"/>
      <c r="Q444" s="67"/>
      <c r="R444" s="1196" t="s">
        <v>418</v>
      </c>
      <c r="S444" s="480" t="s">
        <v>417</v>
      </c>
      <c r="T444" s="67"/>
      <c r="U444" s="67"/>
      <c r="V444" s="67"/>
      <c r="W444" s="85"/>
      <c r="X444" s="962" t="s">
        <v>533</v>
      </c>
      <c r="Y444" s="785"/>
      <c r="Z444" s="785"/>
      <c r="AA444" s="784" t="s">
        <v>424</v>
      </c>
      <c r="AB444" s="1481" t="s">
        <v>533</v>
      </c>
      <c r="AC444" s="797" t="str">
        <f t="shared" si="41"/>
        <v/>
      </c>
      <c r="AD444" s="1515" t="str">
        <f>IF(O770="","",O770)</f>
        <v/>
      </c>
      <c r="AE444" s="829" t="s">
        <v>1177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8">
        <v>49</v>
      </c>
      <c r="B445" s="3"/>
      <c r="C445" s="3"/>
      <c r="D445" s="3"/>
      <c r="E445" s="3"/>
      <c r="F445" s="3"/>
      <c r="G445" s="3"/>
      <c r="H445" s="3"/>
      <c r="I445" s="3"/>
      <c r="J445" s="3"/>
      <c r="K445" s="67"/>
      <c r="L445" s="981" t="s">
        <v>533</v>
      </c>
      <c r="M445" s="159"/>
      <c r="N445" s="67"/>
      <c r="O445" s="67"/>
      <c r="P445" s="67"/>
      <c r="Q445" s="67"/>
      <c r="R445" s="67"/>
      <c r="S445" s="480" t="s">
        <v>416</v>
      </c>
      <c r="T445" s="67"/>
      <c r="U445" s="1028" t="s">
        <v>745</v>
      </c>
      <c r="V445" s="1151" t="str">
        <f>IF(AB141="","??",AB141)</f>
        <v>cm</v>
      </c>
      <c r="W445" s="85"/>
      <c r="X445" s="962" t="s">
        <v>533</v>
      </c>
      <c r="Y445" s="785"/>
      <c r="Z445" s="785"/>
      <c r="AA445" s="784" t="s">
        <v>425</v>
      </c>
      <c r="AB445" s="1481" t="s">
        <v>533</v>
      </c>
      <c r="AC445" s="797" t="str">
        <f t="shared" si="41"/>
        <v/>
      </c>
      <c r="AD445" s="1515" t="str">
        <f>IF(O772="","",O772)</f>
        <v/>
      </c>
      <c r="AE445" s="829" t="s">
        <v>1085</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8">
        <v>50</v>
      </c>
      <c r="B446" s="3"/>
      <c r="C446" s="3"/>
      <c r="D446" s="3"/>
      <c r="E446" s="3"/>
      <c r="F446" s="3"/>
      <c r="G446" s="3"/>
      <c r="H446" s="3"/>
      <c r="I446" s="3"/>
      <c r="J446" s="3"/>
      <c r="K446" s="67"/>
      <c r="L446" s="981" t="s">
        <v>533</v>
      </c>
      <c r="M446" s="159"/>
      <c r="N446" s="67"/>
      <c r="O446" s="67"/>
      <c r="P446" s="67"/>
      <c r="Q446" s="67"/>
      <c r="R446" s="67"/>
      <c r="S446" s="67"/>
      <c r="T446" s="67"/>
      <c r="U446" s="67"/>
      <c r="V446" s="67"/>
      <c r="W446" s="85"/>
      <c r="X446" s="962" t="s">
        <v>533</v>
      </c>
      <c r="Y446" s="785"/>
      <c r="Z446" s="785"/>
      <c r="AA446" s="784" t="s">
        <v>789</v>
      </c>
      <c r="AB446" s="1481" t="s">
        <v>533</v>
      </c>
      <c r="AC446" s="797" t="str">
        <f t="shared" si="41"/>
        <v/>
      </c>
      <c r="AD446" s="1515" t="str">
        <f>IF(O824="","",O824)</f>
        <v/>
      </c>
      <c r="AE446" s="829" t="s">
        <v>1086</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8">
        <v>51</v>
      </c>
      <c r="B447" s="3"/>
      <c r="C447" s="3"/>
      <c r="D447" s="3"/>
      <c r="E447" s="3"/>
      <c r="F447" s="3"/>
      <c r="G447" s="3"/>
      <c r="H447" s="3"/>
      <c r="I447" s="3"/>
      <c r="J447" s="3"/>
      <c r="K447" s="67"/>
      <c r="L447" s="981" t="s">
        <v>533</v>
      </c>
      <c r="M447" s="159"/>
      <c r="N447" s="67"/>
      <c r="O447" s="67"/>
      <c r="P447" s="67"/>
      <c r="Q447" s="67"/>
      <c r="R447" s="67"/>
      <c r="S447" s="67"/>
      <c r="T447" s="67"/>
      <c r="U447" s="628" t="s">
        <v>742</v>
      </c>
      <c r="V447" s="67"/>
      <c r="W447" s="85"/>
      <c r="X447" s="962" t="s">
        <v>533</v>
      </c>
      <c r="Y447" s="785"/>
      <c r="Z447" s="785"/>
      <c r="AA447" s="784" t="s">
        <v>790</v>
      </c>
      <c r="AB447" s="1481" t="s">
        <v>533</v>
      </c>
      <c r="AC447" s="797" t="str">
        <f t="shared" si="41"/>
        <v/>
      </c>
      <c r="AD447" s="1515" t="str">
        <f>IF(O877="","",O877)</f>
        <v/>
      </c>
      <c r="AE447" s="829" t="s">
        <v>1087</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8">
        <v>52</v>
      </c>
      <c r="B448" s="3"/>
      <c r="C448" s="3"/>
      <c r="D448" s="3"/>
      <c r="E448" s="3"/>
      <c r="F448" s="3"/>
      <c r="G448" s="3"/>
      <c r="H448" s="3"/>
      <c r="I448" s="3"/>
      <c r="J448" s="3"/>
      <c r="K448" s="67"/>
      <c r="L448" s="981" t="s">
        <v>533</v>
      </c>
      <c r="M448" s="159"/>
      <c r="N448" s="67"/>
      <c r="O448" s="67"/>
      <c r="P448" s="67"/>
      <c r="Q448" s="67"/>
      <c r="R448" s="67"/>
      <c r="S448" s="67"/>
      <c r="T448" s="67"/>
      <c r="U448" s="67"/>
      <c r="V448" s="1222" t="s">
        <v>744</v>
      </c>
      <c r="W448" s="85"/>
      <c r="X448" s="962" t="s">
        <v>533</v>
      </c>
      <c r="Y448" s="441"/>
      <c r="Z448" s="441"/>
      <c r="AA448" s="784" t="s">
        <v>791</v>
      </c>
      <c r="AB448" s="1481" t="s">
        <v>533</v>
      </c>
      <c r="AC448" s="797" t="str">
        <f t="shared" si="41"/>
        <v/>
      </c>
      <c r="AD448" s="1515" t="str">
        <f>IF(O892="","",O892)</f>
        <v/>
      </c>
      <c r="AE448" s="829" t="s">
        <v>1088</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8">
        <v>53</v>
      </c>
      <c r="B449" s="3"/>
      <c r="C449" s="3"/>
      <c r="D449" s="3"/>
      <c r="E449" s="3"/>
      <c r="F449" s="3"/>
      <c r="G449" s="3"/>
      <c r="H449" s="3"/>
      <c r="I449" s="3"/>
      <c r="J449" s="3"/>
      <c r="K449" s="67"/>
      <c r="L449" s="981" t="s">
        <v>533</v>
      </c>
      <c r="M449" s="116"/>
      <c r="N449" s="98"/>
      <c r="O449" s="98"/>
      <c r="P449" s="98"/>
      <c r="Q449" s="98"/>
      <c r="R449" s="98"/>
      <c r="S449" s="98"/>
      <c r="T449" s="98"/>
      <c r="U449" s="98"/>
      <c r="V449" s="98"/>
      <c r="W449" s="103"/>
      <c r="X449" s="962" t="s">
        <v>533</v>
      </c>
      <c r="Y449" s="785"/>
      <c r="Z449" s="785"/>
      <c r="AA449" s="784" t="s">
        <v>792</v>
      </c>
      <c r="AB449" s="1481" t="s">
        <v>533</v>
      </c>
      <c r="AC449" s="797" t="str">
        <f t="shared" si="41"/>
        <v/>
      </c>
      <c r="AD449" s="1515" t="str">
        <f>IF(O946="","",O946)</f>
        <v/>
      </c>
      <c r="AE449" s="829" t="s">
        <v>1089</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8">
        <v>54</v>
      </c>
      <c r="B450" s="3"/>
      <c r="C450" s="3"/>
      <c r="D450" s="3"/>
      <c r="E450" s="3"/>
      <c r="F450" s="3"/>
      <c r="G450" s="3"/>
      <c r="H450" s="3"/>
      <c r="I450" s="3"/>
      <c r="J450" s="3"/>
      <c r="K450" s="67"/>
      <c r="L450" s="981" t="s">
        <v>533</v>
      </c>
      <c r="M450" s="159"/>
      <c r="N450" s="67"/>
      <c r="O450" s="67"/>
      <c r="P450" s="67"/>
      <c r="Q450" s="67"/>
      <c r="R450" s="67"/>
      <c r="S450" s="67"/>
      <c r="T450" s="67"/>
      <c r="U450" s="67"/>
      <c r="V450" s="67"/>
      <c r="W450" s="85"/>
      <c r="X450" s="962" t="s">
        <v>533</v>
      </c>
      <c r="Y450" s="785"/>
      <c r="Z450" s="785"/>
      <c r="AA450" s="784" t="s">
        <v>793</v>
      </c>
      <c r="AB450" s="1481" t="s">
        <v>1291</v>
      </c>
      <c r="AC450" s="797" t="str">
        <f t="shared" si="41"/>
        <v>Change</v>
      </c>
      <c r="AD450" s="1515" t="str">
        <f>IF(O1105="","",O1105)</f>
        <v>Criteria: lgM - Max difference 0.2 lgM for individual kV or thickness; 0.2 lgM overall</v>
      </c>
      <c r="AE450" s="829" t="s">
        <v>1090</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8">
        <v>55</v>
      </c>
      <c r="B451" s="3"/>
      <c r="C451" s="3"/>
      <c r="D451" s="3"/>
      <c r="E451" s="3"/>
      <c r="F451" s="3"/>
      <c r="G451" s="3"/>
      <c r="H451" s="3"/>
      <c r="I451" s="3"/>
      <c r="J451" s="3"/>
      <c r="K451" s="67"/>
      <c r="L451" s="981" t="s">
        <v>533</v>
      </c>
      <c r="M451" s="159"/>
      <c r="N451" s="67"/>
      <c r="O451" s="67"/>
      <c r="P451" s="67"/>
      <c r="Q451" s="67"/>
      <c r="R451" s="67"/>
      <c r="S451" s="67"/>
      <c r="T451" s="67"/>
      <c r="U451" s="67"/>
      <c r="V451" s="67"/>
      <c r="W451" s="85"/>
      <c r="X451" s="962" t="s">
        <v>533</v>
      </c>
      <c r="Y451" s="785"/>
      <c r="Z451" s="785"/>
      <c r="AA451" s="784" t="s">
        <v>794</v>
      </c>
      <c r="AB451" s="1481" t="s">
        <v>1291</v>
      </c>
      <c r="AC451" s="797" t="str">
        <f t="shared" si="41"/>
        <v>Change</v>
      </c>
      <c r="AD451" s="1515" t="str">
        <f>IF(O1171="","",O1171)</f>
        <v>Criteria: lgM - Max difference 0.2 lgM for individual kV or thickness; 0.2 lgM overall</v>
      </c>
      <c r="AE451" s="829" t="s">
        <v>1091</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8">
        <v>56</v>
      </c>
      <c r="B452" s="3"/>
      <c r="C452" s="3"/>
      <c r="D452" s="3"/>
      <c r="E452" s="3"/>
      <c r="F452" s="3"/>
      <c r="G452" s="3"/>
      <c r="H452" s="3"/>
      <c r="I452" s="3"/>
      <c r="J452" s="3"/>
      <c r="K452" s="67"/>
      <c r="L452" s="981" t="s">
        <v>533</v>
      </c>
      <c r="M452" s="159"/>
      <c r="N452" s="67"/>
      <c r="O452" s="67"/>
      <c r="P452" s="67"/>
      <c r="Q452" s="67"/>
      <c r="R452" s="67"/>
      <c r="S452" s="67"/>
      <c r="T452" s="67"/>
      <c r="U452" s="67"/>
      <c r="V452" s="67"/>
      <c r="W452" s="85"/>
      <c r="X452" s="962" t="s">
        <v>533</v>
      </c>
      <c r="Y452" s="785"/>
      <c r="Z452" s="785"/>
      <c r="AA452" s="784" t="s">
        <v>795</v>
      </c>
      <c r="AB452" s="1481" t="s">
        <v>533</v>
      </c>
      <c r="AC452" s="797" t="str">
        <f t="shared" si="41"/>
        <v/>
      </c>
      <c r="AD452" s="1515"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8">
        <v>57</v>
      </c>
      <c r="B453" s="3"/>
      <c r="C453" s="3"/>
      <c r="D453" s="3"/>
      <c r="E453" s="3"/>
      <c r="F453" s="3"/>
      <c r="G453" s="3"/>
      <c r="H453" s="3"/>
      <c r="I453" s="3"/>
      <c r="J453" s="3"/>
      <c r="K453" s="67"/>
      <c r="L453" s="981" t="s">
        <v>533</v>
      </c>
      <c r="M453" s="159"/>
      <c r="N453" s="67"/>
      <c r="O453" s="67"/>
      <c r="P453" s="67"/>
      <c r="Q453" s="67"/>
      <c r="R453" s="67"/>
      <c r="S453" s="67"/>
      <c r="T453" s="67"/>
      <c r="U453" s="67"/>
      <c r="V453" s="67"/>
      <c r="W453" s="85"/>
      <c r="X453" s="962" t="s">
        <v>533</v>
      </c>
      <c r="Y453" s="785"/>
      <c r="Z453" s="785"/>
      <c r="AA453" s="784" t="s">
        <v>796</v>
      </c>
      <c r="AB453" s="1481" t="s">
        <v>533</v>
      </c>
      <c r="AC453" s="797" t="str">
        <f t="shared" si="41"/>
        <v/>
      </c>
      <c r="AD453" s="1515" t="str">
        <f>IF(O1301="","",O1301)</f>
        <v/>
      </c>
      <c r="AE453" s="829" t="s">
        <v>1092</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8">
        <v>58</v>
      </c>
      <c r="B454" s="3"/>
      <c r="C454" s="3"/>
      <c r="D454" s="3"/>
      <c r="E454" s="3"/>
      <c r="F454" s="3"/>
      <c r="G454" s="3"/>
      <c r="H454" s="3"/>
      <c r="I454" s="3"/>
      <c r="J454" s="3"/>
      <c r="K454" s="67"/>
      <c r="L454" s="981" t="s">
        <v>533</v>
      </c>
      <c r="M454" s="159"/>
      <c r="N454" s="67"/>
      <c r="O454" s="67"/>
      <c r="P454" s="67"/>
      <c r="Q454" s="67"/>
      <c r="R454" s="67"/>
      <c r="S454" s="67"/>
      <c r="T454" s="67"/>
      <c r="U454" s="67"/>
      <c r="V454" s="67"/>
      <c r="W454" s="85"/>
      <c r="X454" s="962" t="s">
        <v>533</v>
      </c>
      <c r="Y454" s="785"/>
      <c r="Z454" s="785"/>
      <c r="AA454" s="784" t="s">
        <v>797</v>
      </c>
      <c r="AB454" s="1487" t="s">
        <v>533</v>
      </c>
      <c r="AC454" s="797" t="str">
        <f t="shared" si="41"/>
        <v/>
      </c>
      <c r="AD454" s="1515" t="str">
        <f>IF(O1367="","",O1367)</f>
        <v/>
      </c>
      <c r="AE454" s="829" t="s">
        <v>1093</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8">
        <v>59</v>
      </c>
      <c r="B455" s="3"/>
      <c r="C455" s="3"/>
      <c r="D455" s="3"/>
      <c r="E455" s="3"/>
      <c r="F455" s="3"/>
      <c r="G455" s="3"/>
      <c r="H455" s="3"/>
      <c r="I455" s="3"/>
      <c r="J455" s="3"/>
      <c r="K455" s="67"/>
      <c r="L455" s="981" t="s">
        <v>533</v>
      </c>
      <c r="M455" s="159"/>
      <c r="N455" s="67"/>
      <c r="O455" s="67"/>
      <c r="P455" s="67"/>
      <c r="Q455" s="67"/>
      <c r="R455" s="67"/>
      <c r="S455" s="67"/>
      <c r="T455" s="67"/>
      <c r="U455" s="67"/>
      <c r="V455" s="67"/>
      <c r="W455" s="85"/>
      <c r="X455" s="962" t="s">
        <v>533</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8">
        <v>60</v>
      </c>
      <c r="B456" s="3"/>
      <c r="C456" s="3"/>
      <c r="D456" s="3"/>
      <c r="E456" s="3"/>
      <c r="F456" s="3"/>
      <c r="G456" s="3"/>
      <c r="H456" s="3"/>
      <c r="I456" s="3"/>
      <c r="J456" s="3"/>
      <c r="K456" s="67"/>
      <c r="L456" s="981" t="s">
        <v>533</v>
      </c>
      <c r="M456" s="159"/>
      <c r="N456" s="67"/>
      <c r="O456" s="67"/>
      <c r="P456" s="67"/>
      <c r="Q456" s="67"/>
      <c r="R456" s="67"/>
      <c r="S456" s="67"/>
      <c r="T456" s="67"/>
      <c r="U456" s="67"/>
      <c r="V456" s="67"/>
      <c r="W456" s="85"/>
      <c r="X456" s="962" t="s">
        <v>533</v>
      </c>
      <c r="Y456" s="785"/>
      <c r="Z456" s="785"/>
      <c r="AA456" s="784" t="s">
        <v>382</v>
      </c>
      <c r="AB456" s="1488">
        <v>1</v>
      </c>
      <c r="AC456" s="797" t="str">
        <f t="shared" si="41"/>
        <v/>
      </c>
      <c r="AD456" s="1515">
        <f t="shared" ref="AD456:AD462" si="52">U59</f>
        <v>1</v>
      </c>
      <c r="AE456" s="828" t="s">
        <v>1094</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8">
        <v>61</v>
      </c>
      <c r="B457" s="3"/>
      <c r="C457" s="3"/>
      <c r="D457" s="3"/>
      <c r="E457" s="3"/>
      <c r="F457" s="3"/>
      <c r="G457" s="3"/>
      <c r="H457" s="3"/>
      <c r="I457" s="3"/>
      <c r="J457" s="3"/>
      <c r="K457" s="67"/>
      <c r="L457" s="981" t="s">
        <v>533</v>
      </c>
      <c r="M457" s="159"/>
      <c r="N457" s="67"/>
      <c r="O457" s="67"/>
      <c r="P457" s="67"/>
      <c r="Q457" s="67"/>
      <c r="R457" s="67"/>
      <c r="S457" s="67"/>
      <c r="T457" s="67"/>
      <c r="U457" s="67"/>
      <c r="V457" s="67"/>
      <c r="W457" s="85"/>
      <c r="X457" s="962" t="s">
        <v>533</v>
      </c>
      <c r="Y457" s="785"/>
      <c r="Z457" s="785"/>
      <c r="AA457" s="785"/>
      <c r="AB457" s="1489" t="s">
        <v>1292</v>
      </c>
      <c r="AC457" s="797" t="str">
        <f t="shared" si="41"/>
        <v/>
      </c>
      <c r="AD457" s="1515" t="str">
        <f t="shared" si="52"/>
        <v>AP</v>
      </c>
      <c r="AE457" s="828" t="s">
        <v>1095</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8">
        <v>62</v>
      </c>
      <c r="B458" s="3"/>
      <c r="C458" s="3"/>
      <c r="D458" s="3"/>
      <c r="E458" s="3"/>
      <c r="F458" s="3"/>
      <c r="G458" s="3"/>
      <c r="H458" s="3"/>
      <c r="I458" s="3"/>
      <c r="J458" s="3"/>
      <c r="K458" s="67"/>
      <c r="L458" s="981" t="s">
        <v>533</v>
      </c>
      <c r="M458" s="159"/>
      <c r="N458" s="67"/>
      <c r="O458" s="67"/>
      <c r="P458" s="67"/>
      <c r="Q458" s="67"/>
      <c r="R458" s="67"/>
      <c r="S458" s="67"/>
      <c r="T458" s="67"/>
      <c r="U458" s="67"/>
      <c r="V458" s="67"/>
      <c r="W458" s="85"/>
      <c r="X458" s="962" t="s">
        <v>533</v>
      </c>
      <c r="Y458" s="785"/>
      <c r="Z458" s="785"/>
      <c r="AA458" s="785"/>
      <c r="AB458" s="1489" t="s">
        <v>1293</v>
      </c>
      <c r="AC458" s="797" t="str">
        <f t="shared" si="41"/>
        <v/>
      </c>
      <c r="AD458" s="1515" t="str">
        <f t="shared" si="52"/>
        <v>Front</v>
      </c>
      <c r="AE458" s="828" t="s">
        <v>1096</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8">
        <v>63</v>
      </c>
      <c r="B459" s="3"/>
      <c r="C459" s="1582" t="s">
        <v>1240</v>
      </c>
      <c r="D459" s="183" t="str">
        <f>IF(OR(Y1397="",W1397=""),"",SLOPE(Y1397:Y1404,W1397:W1404))</f>
        <v/>
      </c>
      <c r="F459" s="66" t="s">
        <v>1241</v>
      </c>
      <c r="G459" s="59" t="str">
        <f>IF(OR(Y1414="",W1414=""),"",SLOPE(Y1414:Y1419,W1414:W1419))</f>
        <v/>
      </c>
      <c r="I459" s="66" t="s">
        <v>1244</v>
      </c>
      <c r="J459" s="59" t="str">
        <f>IF(OR(AH1397="",AI1397=""),"",SLOPE(AI1397:AI1410,AH1397:AH1410))</f>
        <v/>
      </c>
      <c r="K459" s="67"/>
      <c r="L459" s="981" t="s">
        <v>533</v>
      </c>
      <c r="M459" s="159"/>
      <c r="N459" s="67"/>
      <c r="O459" s="67"/>
      <c r="P459" s="67"/>
      <c r="Q459" s="67"/>
      <c r="R459" s="67"/>
      <c r="S459" s="67"/>
      <c r="T459" s="67"/>
      <c r="U459" s="67"/>
      <c r="V459" s="67"/>
      <c r="W459" s="85"/>
      <c r="X459" s="962" t="s">
        <v>533</v>
      </c>
      <c r="Y459" s="785"/>
      <c r="Z459" s="785"/>
      <c r="AA459" s="978"/>
      <c r="AB459" s="1489" t="s">
        <v>1294</v>
      </c>
      <c r="AC459" s="797" t="str">
        <f t="shared" si="41"/>
        <v/>
      </c>
      <c r="AD459" s="1515" t="str">
        <f t="shared" si="52"/>
        <v>Frontal</v>
      </c>
      <c r="AE459" s="828" t="s">
        <v>1097</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8">
        <v>64</v>
      </c>
      <c r="B460" s="1"/>
      <c r="C460" s="1"/>
      <c r="I460" s="1"/>
      <c r="J460" s="1"/>
      <c r="L460" s="981" t="s">
        <v>533</v>
      </c>
      <c r="M460" s="159"/>
      <c r="N460" s="67"/>
      <c r="O460" s="67"/>
      <c r="P460" s="67"/>
      <c r="Q460" s="67"/>
      <c r="R460" s="67"/>
      <c r="S460" s="67"/>
      <c r="T460" s="67"/>
      <c r="U460" s="67"/>
      <c r="V460" s="67"/>
      <c r="W460" s="85"/>
      <c r="X460" s="962" t="s">
        <v>533</v>
      </c>
      <c r="Y460" s="785"/>
      <c r="Z460" s="785"/>
      <c r="AA460" s="785"/>
      <c r="AB460" s="1489" t="s">
        <v>1295</v>
      </c>
      <c r="AC460" s="797" t="str">
        <f t="shared" si="41"/>
        <v/>
      </c>
      <c r="AD460" s="1515" t="str">
        <f t="shared" si="52"/>
        <v>Ceph</v>
      </c>
      <c r="AE460" s="828" t="s">
        <v>1098</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8">
        <v>65</v>
      </c>
      <c r="B461" s="64" t="str">
        <f t="array" ref="B461:C462">$B$65:$C$66</f>
        <v>Date:</v>
      </c>
      <c r="C461" s="1467">
        <v>43039</v>
      </c>
      <c r="E461" s="63"/>
      <c r="F461" s="63"/>
      <c r="G461" s="63"/>
      <c r="H461" s="63"/>
      <c r="I461" s="64" t="str">
        <f t="array" ref="I461:J462">$I$65:$J$66</f>
        <v>Inspector:</v>
      </c>
      <c r="J461" s="565" t="str">
        <v>Eugene Mah</v>
      </c>
      <c r="L461" s="981" t="s">
        <v>533</v>
      </c>
      <c r="M461" s="159"/>
      <c r="N461" s="67"/>
      <c r="O461" s="67"/>
      <c r="P461" s="67"/>
      <c r="Q461" s="67"/>
      <c r="R461" s="67"/>
      <c r="S461" s="67"/>
      <c r="T461" s="67"/>
      <c r="U461" s="67"/>
      <c r="V461" s="67"/>
      <c r="W461" s="85"/>
      <c r="X461" s="962" t="s">
        <v>533</v>
      </c>
      <c r="Y461" s="785"/>
      <c r="Z461" s="785"/>
      <c r="AA461" s="785"/>
      <c r="AB461" s="1489" t="s">
        <v>1296</v>
      </c>
      <c r="AC461" s="797" t="str">
        <f t="shared" si="41"/>
        <v/>
      </c>
      <c r="AD461" s="1515" t="str">
        <f t="shared" si="52"/>
        <v>Mobile</v>
      </c>
      <c r="AE461" s="828" t="s">
        <v>1099</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8">
        <v>66</v>
      </c>
      <c r="B462" s="64" t="str">
        <v>Room Number:</v>
      </c>
      <c r="C462" s="508" t="str">
        <v>Room 04 RT 127M - Tube 1</v>
      </c>
      <c r="E462" s="63"/>
      <c r="F462" s="63"/>
      <c r="G462" s="63"/>
      <c r="H462" s="63"/>
      <c r="I462" s="64" t="str">
        <v>Survey ID:</v>
      </c>
      <c r="J462" s="1475">
        <v>1976</v>
      </c>
      <c r="L462" s="981" t="s">
        <v>533</v>
      </c>
      <c r="M462" s="116"/>
      <c r="N462" s="98"/>
      <c r="O462" s="98"/>
      <c r="P462" s="98"/>
      <c r="Q462" s="98"/>
      <c r="R462" s="98"/>
      <c r="S462" s="98"/>
      <c r="T462" s="98"/>
      <c r="U462" s="98"/>
      <c r="V462" s="98"/>
      <c r="W462" s="103"/>
      <c r="X462" s="962" t="s">
        <v>533</v>
      </c>
      <c r="Y462" s="785"/>
      <c r="Z462" s="785"/>
      <c r="AA462" s="785"/>
      <c r="AB462" s="1489" t="s">
        <v>533</v>
      </c>
      <c r="AC462" s="797" t="str">
        <f t="shared" si="41"/>
        <v/>
      </c>
      <c r="AD462" s="1515" t="str">
        <f t="shared" si="52"/>
        <v/>
      </c>
      <c r="AE462" s="828" t="s">
        <v>1100</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8">
        <v>1</v>
      </c>
      <c r="B463" s="67"/>
      <c r="C463" s="67"/>
      <c r="D463" s="67"/>
      <c r="E463" s="67"/>
      <c r="G463" s="67"/>
      <c r="H463" s="67"/>
      <c r="I463" s="67"/>
      <c r="J463" s="67"/>
      <c r="K463" s="165" t="str">
        <f>$F$2</f>
        <v>Medical University of South Carolina</v>
      </c>
      <c r="L463" s="981" t="s">
        <v>533</v>
      </c>
      <c r="M463" s="115"/>
      <c r="N463" s="67"/>
      <c r="O463" s="67"/>
      <c r="P463" s="67"/>
      <c r="Q463" s="67"/>
      <c r="S463" s="67"/>
      <c r="T463" s="67"/>
      <c r="U463" s="67"/>
      <c r="V463" s="67"/>
      <c r="W463" s="165" t="str">
        <f>$F$2</f>
        <v>Medical University of South Carolina</v>
      </c>
      <c r="X463" s="962" t="s">
        <v>533</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8">
        <v>2</v>
      </c>
      <c r="B464" s="67"/>
      <c r="C464" s="67"/>
      <c r="D464" s="67"/>
      <c r="E464" s="67"/>
      <c r="F464" s="344" t="s">
        <v>688</v>
      </c>
      <c r="G464" s="67"/>
      <c r="H464" s="67"/>
      <c r="I464" s="67"/>
      <c r="J464" s="67"/>
      <c r="K464" s="166" t="str">
        <f>$F$5</f>
        <v>Radiographic System Compliance Inspection</v>
      </c>
      <c r="L464" s="981" t="s">
        <v>533</v>
      </c>
      <c r="N464" s="104"/>
      <c r="O464" s="104"/>
      <c r="P464" s="3"/>
      <c r="Q464" s="67"/>
      <c r="R464" s="344" t="str">
        <f>$F$464</f>
        <v>Measurement Data</v>
      </c>
      <c r="S464" s="67"/>
      <c r="T464" s="67"/>
      <c r="U464" s="67"/>
      <c r="V464" s="67"/>
      <c r="W464" s="166" t="str">
        <f>$F$5</f>
        <v>Radiographic System Compliance Inspection</v>
      </c>
      <c r="X464" s="962" t="s">
        <v>533</v>
      </c>
      <c r="Y464" s="441"/>
      <c r="Z464" s="441"/>
      <c r="AA464" s="784" t="s">
        <v>383</v>
      </c>
      <c r="AB464" s="1488">
        <v>2</v>
      </c>
      <c r="AC464" s="797" t="str">
        <f t="shared" ref="AC464:AC522" si="53">IF(AND(OR(AB464="",AB464=0),OR(AD464="",AD464=0)),"",IF(AB464&lt;&gt;AD464,"Change",""))</f>
        <v/>
      </c>
      <c r="AD464" s="1515">
        <f t="shared" ref="AD464:AD470" si="54">V59</f>
        <v>2</v>
      </c>
      <c r="AE464" s="828" t="s">
        <v>1101</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8">
        <v>3</v>
      </c>
      <c r="L465" s="981" t="s">
        <v>533</v>
      </c>
      <c r="X465" s="962" t="s">
        <v>533</v>
      </c>
      <c r="Y465" s="441"/>
      <c r="Z465" s="441"/>
      <c r="AA465" s="785"/>
      <c r="AB465" s="1489">
        <v>3</v>
      </c>
      <c r="AC465" s="797" t="str">
        <f t="shared" si="53"/>
        <v/>
      </c>
      <c r="AD465" s="1515">
        <f t="shared" si="54"/>
        <v>3</v>
      </c>
      <c r="AE465" s="828" t="s">
        <v>1102</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8">
        <v>4</v>
      </c>
      <c r="B466" s="93"/>
      <c r="C466" s="76"/>
      <c r="D466" s="76"/>
      <c r="E466" s="76"/>
      <c r="F466" s="76"/>
      <c r="G466" s="76"/>
      <c r="H466" s="76"/>
      <c r="I466" s="76"/>
      <c r="J466" s="76"/>
      <c r="K466" s="94"/>
      <c r="L466" s="981" t="s">
        <v>533</v>
      </c>
      <c r="M466" s="164" t="s">
        <v>539</v>
      </c>
      <c r="N466" s="76"/>
      <c r="O466" s="76"/>
      <c r="P466" s="76"/>
      <c r="Q466" s="76"/>
      <c r="R466" s="76"/>
      <c r="S466" s="76"/>
      <c r="T466" s="76"/>
      <c r="U466" s="76"/>
      <c r="V466" s="76"/>
      <c r="W466" s="94"/>
      <c r="X466" s="962" t="s">
        <v>533</v>
      </c>
      <c r="Y466" s="441"/>
      <c r="Z466" s="441"/>
      <c r="AA466" s="785"/>
      <c r="AB466" s="1489" t="s">
        <v>1297</v>
      </c>
      <c r="AC466" s="797" t="str">
        <f t="shared" si="53"/>
        <v/>
      </c>
      <c r="AD466" s="1515" t="str">
        <f t="shared" si="54"/>
        <v>Lat</v>
      </c>
      <c r="AE466" s="828" t="s">
        <v>1103</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8">
        <v>5</v>
      </c>
      <c r="B467" s="132" t="s">
        <v>536</v>
      </c>
      <c r="C467" s="133"/>
      <c r="D467" s="67"/>
      <c r="E467" s="67"/>
      <c r="F467" s="248" t="s">
        <v>556</v>
      </c>
      <c r="G467" s="47"/>
      <c r="H467" s="47"/>
      <c r="I467" s="47"/>
      <c r="J467" s="534" t="s">
        <v>538</v>
      </c>
      <c r="K467" s="535"/>
      <c r="L467" s="981" t="s">
        <v>533</v>
      </c>
      <c r="M467" s="159"/>
      <c r="N467" s="67"/>
      <c r="O467" s="67"/>
      <c r="P467" s="67"/>
      <c r="Q467" s="3"/>
      <c r="R467" s="248" t="s">
        <v>556</v>
      </c>
      <c r="S467" s="3"/>
      <c r="T467" s="3"/>
      <c r="U467" s="3"/>
      <c r="V467" s="3"/>
      <c r="W467" s="85"/>
      <c r="X467" s="962" t="s">
        <v>533</v>
      </c>
      <c r="Y467" s="441"/>
      <c r="Z467" s="441"/>
      <c r="AA467" s="785"/>
      <c r="AB467" s="1489" t="s">
        <v>1298</v>
      </c>
      <c r="AC467" s="797" t="str">
        <f t="shared" si="53"/>
        <v/>
      </c>
      <c r="AD467" s="1515" t="str">
        <f t="shared" si="54"/>
        <v>Lateral</v>
      </c>
      <c r="AE467" s="828" t="s">
        <v>1104</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8">
        <v>6</v>
      </c>
      <c r="B468" s="134" t="s">
        <v>1201</v>
      </c>
      <c r="C468" s="135"/>
      <c r="D468" s="62" t="s">
        <v>557</v>
      </c>
      <c r="E468" s="67"/>
      <c r="F468" s="67"/>
      <c r="G468" s="67"/>
      <c r="H468" s="67"/>
      <c r="I468" s="67"/>
      <c r="J468" s="158" t="str">
        <f t="shared" ref="J468:J473" si="55">IF($M468="","TBD",IF($M468=1,"YES",IF($M468=3,"NA","")))</f>
        <v>TBD</v>
      </c>
      <c r="K468" s="471" t="str">
        <f t="shared" ref="K468:K473" si="56">IF($M468=2,"NO","")</f>
        <v/>
      </c>
      <c r="L468" s="981" t="s">
        <v>533</v>
      </c>
      <c r="M468" s="887"/>
      <c r="N468" s="67"/>
      <c r="O468" s="62" t="s">
        <v>557</v>
      </c>
      <c r="P468" s="67"/>
      <c r="Q468" s="67"/>
      <c r="R468" s="67"/>
      <c r="S468" s="67"/>
      <c r="T468" s="67"/>
      <c r="U468" s="67"/>
      <c r="V468" s="67"/>
      <c r="W468" s="85"/>
      <c r="X468" s="962" t="s">
        <v>533</v>
      </c>
      <c r="Y468" s="441"/>
      <c r="Z468" s="441"/>
      <c r="AA468" s="785"/>
      <c r="AB468" s="1489" t="s">
        <v>1299</v>
      </c>
      <c r="AC468" s="797" t="str">
        <f t="shared" si="53"/>
        <v/>
      </c>
      <c r="AD468" s="1515" t="str">
        <f t="shared" si="54"/>
        <v>Pan</v>
      </c>
      <c r="AE468" s="828" t="s">
        <v>1105</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8">
        <v>7</v>
      </c>
      <c r="B469" s="134"/>
      <c r="C469" s="160"/>
      <c r="D469" s="62" t="s">
        <v>558</v>
      </c>
      <c r="E469" s="67"/>
      <c r="F469" s="67"/>
      <c r="G469" s="67"/>
      <c r="H469" s="67"/>
      <c r="I469" s="67"/>
      <c r="J469" s="158" t="str">
        <f t="shared" si="55"/>
        <v>NA</v>
      </c>
      <c r="K469" s="471" t="str">
        <f t="shared" si="56"/>
        <v/>
      </c>
      <c r="L469" s="981" t="s">
        <v>533</v>
      </c>
      <c r="M469" s="1160">
        <f>IF(N469&lt;&gt;"",N469,IF(OR(AB88=0,AB88=""),3,AB88))</f>
        <v>3</v>
      </c>
      <c r="N469" s="1006"/>
      <c r="O469" s="62" t="s">
        <v>558</v>
      </c>
      <c r="P469" s="67"/>
      <c r="Q469" s="67"/>
      <c r="R469" s="67"/>
      <c r="S469" s="67"/>
      <c r="T469" s="67"/>
      <c r="U469" s="67"/>
      <c r="V469" s="67"/>
      <c r="W469" s="85"/>
      <c r="X469" s="962" t="s">
        <v>533</v>
      </c>
      <c r="Y469" s="441"/>
      <c r="Z469" s="441"/>
      <c r="AA469" s="785"/>
      <c r="AB469" s="1489" t="s">
        <v>1300</v>
      </c>
      <c r="AC469" s="797" t="str">
        <f t="shared" si="53"/>
        <v/>
      </c>
      <c r="AD469" s="1515" t="str">
        <f t="shared" si="54"/>
        <v>BCM</v>
      </c>
      <c r="AE469" s="828" t="s">
        <v>1106</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8">
        <v>8</v>
      </c>
      <c r="B470" s="134" t="s">
        <v>1202</v>
      </c>
      <c r="C470" s="135"/>
      <c r="D470" s="62" t="s">
        <v>559</v>
      </c>
      <c r="E470" s="62"/>
      <c r="F470" s="62"/>
      <c r="G470" s="62"/>
      <c r="H470" s="62"/>
      <c r="I470" s="62"/>
      <c r="J470" s="158" t="str">
        <f t="shared" si="55"/>
        <v>TBD</v>
      </c>
      <c r="K470" s="471" t="str">
        <f t="shared" si="56"/>
        <v/>
      </c>
      <c r="L470" s="981" t="s">
        <v>533</v>
      </c>
      <c r="M470" s="887"/>
      <c r="N470" s="62"/>
      <c r="O470" s="62" t="s">
        <v>559</v>
      </c>
      <c r="P470" s="62"/>
      <c r="Q470" s="62"/>
      <c r="R470" s="62"/>
      <c r="S470" s="62"/>
      <c r="T470" s="62"/>
      <c r="U470" s="62"/>
      <c r="V470" s="62"/>
      <c r="W470" s="85"/>
      <c r="X470" s="962" t="s">
        <v>533</v>
      </c>
      <c r="Y470" s="441"/>
      <c r="Z470" s="441"/>
      <c r="AA470" s="978"/>
      <c r="AB470" s="1489" t="s">
        <v>533</v>
      </c>
      <c r="AC470" s="797" t="str">
        <f t="shared" si="53"/>
        <v/>
      </c>
      <c r="AD470" s="1515" t="str">
        <f t="shared" si="54"/>
        <v/>
      </c>
      <c r="AE470" s="828" t="s">
        <v>1107</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8">
        <v>9</v>
      </c>
      <c r="B471" s="134" t="s">
        <v>1203</v>
      </c>
      <c r="C471" s="135"/>
      <c r="D471" s="122" t="s">
        <v>560</v>
      </c>
      <c r="E471" s="123"/>
      <c r="F471" s="123"/>
      <c r="G471" s="123"/>
      <c r="H471" s="123"/>
      <c r="I471" s="123"/>
      <c r="J471" s="158" t="str">
        <f t="shared" si="55"/>
        <v>TBD</v>
      </c>
      <c r="K471" s="471" t="str">
        <f t="shared" si="56"/>
        <v/>
      </c>
      <c r="L471" s="981" t="s">
        <v>533</v>
      </c>
      <c r="M471" s="887"/>
      <c r="N471" s="62"/>
      <c r="O471" s="122" t="s">
        <v>560</v>
      </c>
      <c r="P471" s="60"/>
      <c r="Q471" s="60"/>
      <c r="R471" s="60"/>
      <c r="S471" s="60"/>
      <c r="T471" s="60"/>
      <c r="U471" s="60"/>
      <c r="V471" s="60"/>
      <c r="W471" s="85"/>
      <c r="X471" s="962" t="s">
        <v>533</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8">
        <v>10</v>
      </c>
      <c r="B472" s="134" t="s">
        <v>1205</v>
      </c>
      <c r="C472" s="135"/>
      <c r="D472" s="62" t="s">
        <v>689</v>
      </c>
      <c r="E472" s="123"/>
      <c r="F472" s="123"/>
      <c r="G472" s="123"/>
      <c r="H472" s="123"/>
      <c r="I472" s="123"/>
      <c r="J472" s="158" t="str">
        <f t="shared" si="55"/>
        <v>TBD</v>
      </c>
      <c r="K472" s="471" t="str">
        <f t="shared" si="56"/>
        <v/>
      </c>
      <c r="L472" s="981" t="s">
        <v>533</v>
      </c>
      <c r="M472" s="887"/>
      <c r="N472" s="60"/>
      <c r="O472" s="62" t="s">
        <v>689</v>
      </c>
      <c r="P472" s="60"/>
      <c r="Q472" s="60"/>
      <c r="R472" s="60"/>
      <c r="S472" s="60"/>
      <c r="T472" s="60"/>
      <c r="U472" s="60"/>
      <c r="V472" s="60"/>
      <c r="W472" s="85"/>
      <c r="X472" s="962" t="s">
        <v>533</v>
      </c>
      <c r="Y472" s="441"/>
      <c r="Z472" s="441"/>
      <c r="AA472" s="784" t="s">
        <v>384</v>
      </c>
      <c r="AB472" s="1490">
        <v>3.0000000000000001E-3</v>
      </c>
      <c r="AC472" s="797" t="str">
        <f t="shared" si="53"/>
        <v>Change</v>
      </c>
      <c r="AD472" s="1517" t="str">
        <f>S484</f>
        <v>TBD</v>
      </c>
      <c r="AE472" s="828" t="s">
        <v>1108</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8">
        <v>11</v>
      </c>
      <c r="B473" s="159"/>
      <c r="C473" s="67"/>
      <c r="D473" s="324" t="s">
        <v>691</v>
      </c>
      <c r="E473" s="67"/>
      <c r="F473" s="67"/>
      <c r="G473" s="67"/>
      <c r="H473" s="67"/>
      <c r="I473" s="67"/>
      <c r="J473" s="158" t="str">
        <f t="shared" si="55"/>
        <v>TBD</v>
      </c>
      <c r="K473" s="471" t="str">
        <f t="shared" si="56"/>
        <v/>
      </c>
      <c r="L473" s="981" t="s">
        <v>533</v>
      </c>
      <c r="M473" s="887"/>
      <c r="N473" s="62"/>
      <c r="O473" s="324" t="s">
        <v>691</v>
      </c>
      <c r="P473" s="67"/>
      <c r="Q473" s="67"/>
      <c r="R473" s="67"/>
      <c r="S473" s="67"/>
      <c r="T473" s="67"/>
      <c r="U473" s="67"/>
      <c r="V473" s="67"/>
      <c r="W473" s="85"/>
      <c r="X473" s="962" t="s">
        <v>533</v>
      </c>
      <c r="Y473" s="441"/>
      <c r="Z473" s="441"/>
      <c r="AA473" s="784" t="s">
        <v>385</v>
      </c>
      <c r="AB473" s="1491">
        <v>190.22499999999999</v>
      </c>
      <c r="AC473" s="797" t="str">
        <f t="shared" si="53"/>
        <v>Change</v>
      </c>
      <c r="AD473" s="1518" t="str">
        <f>U504</f>
        <v>TBD</v>
      </c>
      <c r="AE473" s="828" t="s">
        <v>1109</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8">
        <v>12</v>
      </c>
      <c r="B474" s="159"/>
      <c r="C474" s="67"/>
      <c r="D474" s="67"/>
      <c r="E474" s="67"/>
      <c r="F474" s="67"/>
      <c r="G474" s="67"/>
      <c r="H474" s="67"/>
      <c r="I474" s="67"/>
      <c r="J474" s="67"/>
      <c r="K474" s="100"/>
      <c r="L474" s="981" t="s">
        <v>533</v>
      </c>
      <c r="M474" s="159"/>
      <c r="N474" s="60"/>
      <c r="O474" s="67"/>
      <c r="P474" s="67"/>
      <c r="Q474" s="67"/>
      <c r="R474" s="67"/>
      <c r="S474" s="67"/>
      <c r="T474" s="67"/>
      <c r="U474" s="67"/>
      <c r="V474" s="67"/>
      <c r="W474" s="85"/>
      <c r="X474" s="962" t="s">
        <v>533</v>
      </c>
      <c r="Y474" s="441"/>
      <c r="Z474" s="441"/>
      <c r="AA474" s="784" t="s">
        <v>1217</v>
      </c>
      <c r="AB474" s="1493">
        <v>2</v>
      </c>
      <c r="AC474" s="797" t="str">
        <f>IF(AND(OR(AB474="",AB474=0),OR(AD474="",AD474=0)),"",IF(AB474&lt;&gt;AD474,"Change",""))</f>
        <v/>
      </c>
      <c r="AD474" s="1557">
        <f>O506</f>
        <v>2</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8">
        <v>13</v>
      </c>
      <c r="B475" s="124" t="s">
        <v>681</v>
      </c>
      <c r="C475" s="1290" t="str">
        <f>IF(O475="","",IF(LEN(O475)&lt;=135,O475,IF(LEN(O475)&lt;=260,LEFT(O475,SEARCH(" ",O475,125)),LEFT(O475,SEARCH(" ",O475,130)))))</f>
        <v/>
      </c>
      <c r="D475" s="61"/>
      <c r="E475" s="61"/>
      <c r="F475" s="61"/>
      <c r="G475" s="61"/>
      <c r="H475" s="61"/>
      <c r="I475" s="61"/>
      <c r="J475" s="61"/>
      <c r="K475" s="100"/>
      <c r="L475" s="981" t="s">
        <v>533</v>
      </c>
      <c r="M475" s="159"/>
      <c r="N475" s="830" t="s">
        <v>681</v>
      </c>
      <c r="O475" s="1025" t="str">
        <f>IF(O477&lt;&gt;"",O477,IF(OR(AB429=0,AB429=""),"",AB429))</f>
        <v/>
      </c>
      <c r="P475" s="59"/>
      <c r="Q475" s="59"/>
      <c r="R475" s="59"/>
      <c r="S475" s="59"/>
      <c r="T475" s="59"/>
      <c r="U475" s="59"/>
      <c r="V475" s="59"/>
      <c r="W475" s="126"/>
      <c r="X475" s="962" t="s">
        <v>533</v>
      </c>
      <c r="Y475" s="441"/>
      <c r="Z475" s="441"/>
      <c r="AA475" s="784" t="s">
        <v>386</v>
      </c>
      <c r="AB475" s="1492">
        <v>0</v>
      </c>
      <c r="AC475" s="797" t="str">
        <f t="shared" si="53"/>
        <v>Change</v>
      </c>
      <c r="AD475" s="1518" t="str">
        <f>R537</f>
        <v>TBD</v>
      </c>
      <c r="AE475" s="828" t="s">
        <v>1110</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533</v>
      </c>
      <c r="M476" s="125"/>
      <c r="N476" s="876" t="s">
        <v>373</v>
      </c>
      <c r="O476" s="128"/>
      <c r="P476" s="1289">
        <f>LEN(O475)</f>
        <v>0</v>
      </c>
      <c r="Q476" s="128"/>
      <c r="R476" s="128"/>
      <c r="S476" s="128"/>
      <c r="T476" s="128"/>
      <c r="U476" s="128"/>
      <c r="V476" s="128"/>
      <c r="W476" s="129"/>
      <c r="X476" s="962" t="s">
        <v>533</v>
      </c>
      <c r="Y476" s="441"/>
      <c r="Z476" s="441"/>
      <c r="AA476" s="784" t="s">
        <v>387</v>
      </c>
      <c r="AB476" s="1493">
        <v>0.3</v>
      </c>
      <c r="AC476" s="797" t="str">
        <f t="shared" si="53"/>
        <v>Change</v>
      </c>
      <c r="AD476" s="1519" t="str">
        <f>IF(Q547="","",Q547)</f>
        <v/>
      </c>
      <c r="AE476" s="828" t="s">
        <v>1111</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8">
        <v>15</v>
      </c>
      <c r="B477" s="101"/>
      <c r="C477" s="1291" t="str">
        <f>IF(LEN(O475)&lt;=265,"",RIGHT(O475,LEN(O475)-SEARCH(" ",O475,255)))</f>
        <v/>
      </c>
      <c r="D477" s="61"/>
      <c r="E477" s="61"/>
      <c r="F477" s="61"/>
      <c r="G477" s="61"/>
      <c r="H477" s="61"/>
      <c r="I477" s="61"/>
      <c r="J477" s="61"/>
      <c r="K477" s="100"/>
      <c r="L477" s="981" t="s">
        <v>533</v>
      </c>
      <c r="M477" s="150"/>
      <c r="N477" s="1447" t="s">
        <v>748</v>
      </c>
      <c r="O477" s="1449"/>
      <c r="P477" s="128"/>
      <c r="Q477" s="128"/>
      <c r="R477" s="59"/>
      <c r="S477" s="59"/>
      <c r="T477" s="59"/>
      <c r="U477" s="59"/>
      <c r="V477" s="59"/>
      <c r="W477" s="126"/>
      <c r="X477" s="962" t="s">
        <v>533</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8">
        <v>16</v>
      </c>
      <c r="B478" s="101"/>
      <c r="C478" s="440"/>
      <c r="D478" s="123"/>
      <c r="E478" s="123"/>
      <c r="F478" s="123"/>
      <c r="G478" s="123"/>
      <c r="H478" s="123"/>
      <c r="I478" s="123"/>
      <c r="J478" s="123"/>
      <c r="K478" s="100"/>
      <c r="L478" s="981" t="s">
        <v>533</v>
      </c>
      <c r="M478" s="278"/>
      <c r="N478" s="62"/>
      <c r="O478" s="62"/>
      <c r="P478" s="62"/>
      <c r="Q478" s="62"/>
      <c r="R478" s="62"/>
      <c r="S478" s="62"/>
      <c r="T478" s="62"/>
      <c r="U478" s="62"/>
      <c r="V478" s="62"/>
      <c r="W478" s="84"/>
      <c r="X478" s="962" t="s">
        <v>533</v>
      </c>
      <c r="Y478" s="441"/>
      <c r="Z478" s="441"/>
      <c r="AA478" s="784" t="s">
        <v>389</v>
      </c>
      <c r="AB478" s="1492">
        <v>0.6</v>
      </c>
      <c r="AC478" s="797" t="str">
        <f t="shared" si="53"/>
        <v>Change</v>
      </c>
      <c r="AD478" s="1519" t="str">
        <f>IF(Q608="","",Q608)</f>
        <v/>
      </c>
      <c r="AE478" s="828" t="s">
        <v>1112</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8">
        <v>17</v>
      </c>
      <c r="B479" s="101"/>
      <c r="C479" s="440"/>
      <c r="D479" s="123"/>
      <c r="E479" s="123"/>
      <c r="F479" s="123"/>
      <c r="G479" s="123"/>
      <c r="H479" s="123"/>
      <c r="I479" s="123"/>
      <c r="J479" s="123"/>
      <c r="K479" s="100"/>
      <c r="L479" s="981" t="s">
        <v>533</v>
      </c>
      <c r="M479" s="150"/>
      <c r="N479" s="60"/>
      <c r="O479" s="60"/>
      <c r="P479" s="60"/>
      <c r="Q479" s="60"/>
      <c r="R479" s="60"/>
      <c r="S479" s="60"/>
      <c r="T479" s="60"/>
      <c r="U479" s="60"/>
      <c r="V479" s="60"/>
      <c r="W479" s="83"/>
      <c r="X479" s="962" t="s">
        <v>533</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8">
        <v>18</v>
      </c>
      <c r="B480" s="159"/>
      <c r="C480" s="67"/>
      <c r="D480" s="67"/>
      <c r="E480" s="67"/>
      <c r="F480" s="67"/>
      <c r="G480" s="67"/>
      <c r="H480" s="67"/>
      <c r="I480" s="67"/>
      <c r="J480" s="67"/>
      <c r="K480" s="85"/>
      <c r="L480" s="981" t="s">
        <v>533</v>
      </c>
      <c r="M480" s="159"/>
      <c r="N480" s="67"/>
      <c r="O480" s="67"/>
      <c r="P480" s="67"/>
      <c r="Q480" s="67"/>
      <c r="R480" s="67"/>
      <c r="S480" s="67"/>
      <c r="T480" s="67"/>
      <c r="U480" s="67"/>
      <c r="V480" s="67"/>
      <c r="W480" s="85"/>
      <c r="X480" s="962" t="s">
        <v>533</v>
      </c>
      <c r="Y480" s="441"/>
      <c r="Z480" s="441"/>
      <c r="AA480" s="784" t="s">
        <v>390</v>
      </c>
      <c r="AB480" s="1492" t="s">
        <v>1301</v>
      </c>
      <c r="AC480" s="797" t="str">
        <f t="shared" si="53"/>
        <v>Change</v>
      </c>
      <c r="AD480" s="1519" t="str">
        <f>S950</f>
        <v>HVL @80 kVp (Max kV)</v>
      </c>
      <c r="AE480" s="828" t="s">
        <v>1113</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8"/>
      <c r="B481" s="159"/>
      <c r="C481" s="67"/>
      <c r="D481" s="67"/>
      <c r="E481" s="67"/>
      <c r="F481" s="67"/>
      <c r="G481" s="67"/>
      <c r="H481" s="67"/>
      <c r="I481" s="67"/>
      <c r="J481" s="67"/>
      <c r="K481" s="85"/>
      <c r="L481" s="981" t="s">
        <v>533</v>
      </c>
      <c r="M481" s="159"/>
      <c r="N481" s="67"/>
      <c r="O481" s="67"/>
      <c r="P481" s="67"/>
      <c r="Q481" s="67"/>
      <c r="R481" s="67"/>
      <c r="S481" s="67"/>
      <c r="T481" s="67"/>
      <c r="U481" s="67"/>
      <c r="V481" s="67"/>
      <c r="W481" s="85"/>
      <c r="X481" s="962" t="s">
        <v>533</v>
      </c>
      <c r="Y481" s="441"/>
      <c r="Z481" s="441"/>
      <c r="AA481" s="784" t="s">
        <v>391</v>
      </c>
      <c r="AB481" s="1493">
        <v>3.1621793199765431</v>
      </c>
      <c r="AC481" s="797" t="str">
        <f t="shared" si="53"/>
        <v>Change</v>
      </c>
      <c r="AD481" s="1519" t="str">
        <f>S951</f>
        <v>TBD</v>
      </c>
      <c r="AE481" s="828" t="s">
        <v>1114</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8">
        <v>20</v>
      </c>
      <c r="B482" s="250" t="s">
        <v>692</v>
      </c>
      <c r="C482" s="67"/>
      <c r="D482" s="145" t="s">
        <v>640</v>
      </c>
      <c r="E482" s="145" t="s">
        <v>640</v>
      </c>
      <c r="F482" s="67"/>
      <c r="G482" s="145" t="s">
        <v>693</v>
      </c>
      <c r="H482" s="60"/>
      <c r="I482" s="60"/>
      <c r="J482" s="60"/>
      <c r="K482" s="85"/>
      <c r="L482" s="981" t="s">
        <v>533</v>
      </c>
      <c r="M482" s="159"/>
      <c r="N482" s="253" t="s">
        <v>692</v>
      </c>
      <c r="O482" s="67"/>
      <c r="P482" s="145" t="s">
        <v>640</v>
      </c>
      <c r="Q482" s="145" t="s">
        <v>640</v>
      </c>
      <c r="R482" s="67"/>
      <c r="S482" s="145" t="s">
        <v>693</v>
      </c>
      <c r="T482" s="60"/>
      <c r="U482" s="60"/>
      <c r="V482" s="67"/>
      <c r="W482" s="85"/>
      <c r="X482" s="962" t="s">
        <v>533</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8">
        <v>21</v>
      </c>
      <c r="B483" s="250" t="s">
        <v>694</v>
      </c>
      <c r="C483" s="60"/>
      <c r="D483" s="188" t="s">
        <v>695</v>
      </c>
      <c r="E483" s="188" t="s">
        <v>696</v>
      </c>
      <c r="F483" s="67"/>
      <c r="G483" s="188" t="s">
        <v>697</v>
      </c>
      <c r="H483" s="60"/>
      <c r="I483" s="60"/>
      <c r="J483" s="60"/>
      <c r="K483" s="85"/>
      <c r="L483" s="981" t="s">
        <v>533</v>
      </c>
      <c r="M483" s="159"/>
      <c r="N483" s="253" t="s">
        <v>694</v>
      </c>
      <c r="O483" s="60"/>
      <c r="P483" s="188" t="s">
        <v>695</v>
      </c>
      <c r="Q483" s="188" t="s">
        <v>696</v>
      </c>
      <c r="R483" s="67"/>
      <c r="S483" s="188" t="s">
        <v>697</v>
      </c>
      <c r="T483" s="60"/>
      <c r="U483" s="60"/>
      <c r="V483" s="60"/>
      <c r="W483" s="85"/>
      <c r="X483" s="962" t="s">
        <v>533</v>
      </c>
      <c r="Y483" s="441"/>
      <c r="Z483" s="441"/>
      <c r="AA483" s="784" t="s">
        <v>392</v>
      </c>
      <c r="AB483" s="1492" t="s">
        <v>1302</v>
      </c>
      <c r="AC483" s="797" t="str">
        <f t="shared" si="53"/>
        <v>Change</v>
      </c>
      <c r="AD483" s="1519" t="str">
        <f>IF(W1063="","",W1063)</f>
        <v/>
      </c>
      <c r="AE483" s="828" t="s">
        <v>1115</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8">
        <v>22</v>
      </c>
      <c r="B484" s="150"/>
      <c r="C484" s="60"/>
      <c r="D484" s="147" t="str">
        <f>IF(P484="","",P484)</f>
        <v/>
      </c>
      <c r="E484" s="147" t="str">
        <f>IF(Q484="","",Q484)</f>
        <v/>
      </c>
      <c r="F484" s="67"/>
      <c r="G484" s="189" t="str">
        <f>S484</f>
        <v>TBD</v>
      </c>
      <c r="H484" s="60"/>
      <c r="I484" s="51" t="s">
        <v>698</v>
      </c>
      <c r="J484" s="179" t="str">
        <f>IF(K472="NO","NA",V484)</f>
        <v>TBD</v>
      </c>
      <c r="K484" s="85"/>
      <c r="L484" s="981" t="s">
        <v>533</v>
      </c>
      <c r="M484" s="150"/>
      <c r="N484" s="60"/>
      <c r="O484" s="67"/>
      <c r="P484" s="885"/>
      <c r="Q484" s="885"/>
      <c r="R484" s="67"/>
      <c r="S484" s="189" t="str">
        <f>IF(OR(P484="",Q484=""),"TBD",ROUND(ABS(P484-Q484)/Q484,3))</f>
        <v>TBD</v>
      </c>
      <c r="T484" s="67"/>
      <c r="U484" s="1076" t="s">
        <v>698</v>
      </c>
      <c r="V484" s="1056" t="str">
        <f>IF(OR(M472=2,M472=3),"NA",IF(S484="TBD","TBD",IF(S484&lt;=0.02,"YES","NO")))</f>
        <v>TBD</v>
      </c>
      <c r="W484" s="85"/>
      <c r="X484" s="962" t="s">
        <v>533</v>
      </c>
      <c r="Y484" s="441"/>
      <c r="Z484" s="441"/>
      <c r="AA484" s="784" t="s">
        <v>393</v>
      </c>
      <c r="AB484" s="1493" t="s">
        <v>1302</v>
      </c>
      <c r="AC484" s="797" t="str">
        <f t="shared" si="53"/>
        <v>Change</v>
      </c>
      <c r="AD484" s="1519" t="str">
        <f>IF(W1129="","",W1129)</f>
        <v/>
      </c>
      <c r="AE484" s="828" t="s">
        <v>1116</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8">
        <v>23</v>
      </c>
      <c r="B485" s="150"/>
      <c r="C485" s="60"/>
      <c r="D485" s="67"/>
      <c r="E485" s="67"/>
      <c r="F485" s="67"/>
      <c r="G485" s="67"/>
      <c r="H485" s="67"/>
      <c r="I485" s="67"/>
      <c r="J485" s="67"/>
      <c r="K485" s="85"/>
      <c r="L485" s="981" t="s">
        <v>533</v>
      </c>
      <c r="M485" s="150"/>
      <c r="N485" s="60"/>
      <c r="O485" s="67"/>
      <c r="P485" s="67"/>
      <c r="Q485" s="67"/>
      <c r="R485" s="1024" t="s">
        <v>495</v>
      </c>
      <c r="S485" s="1081">
        <f>IF(AB472="","",AB472)</f>
        <v>3.0000000000000001E-3</v>
      </c>
      <c r="T485" s="67"/>
      <c r="U485" s="67"/>
      <c r="V485" s="67"/>
      <c r="W485" s="85"/>
      <c r="X485" s="962" t="s">
        <v>533</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8">
        <v>24</v>
      </c>
      <c r="B486" s="251" t="s">
        <v>699</v>
      </c>
      <c r="C486" s="119" t="s">
        <v>700</v>
      </c>
      <c r="D486" s="67"/>
      <c r="E486" s="67"/>
      <c r="F486" s="67"/>
      <c r="G486" s="67"/>
      <c r="H486" s="67"/>
      <c r="I486" s="67"/>
      <c r="J486" s="67"/>
      <c r="K486" s="85"/>
      <c r="L486" s="981" t="s">
        <v>533</v>
      </c>
      <c r="M486" s="141"/>
      <c r="N486" s="166" t="s">
        <v>699</v>
      </c>
      <c r="O486" s="119" t="s">
        <v>700</v>
      </c>
      <c r="P486" s="60"/>
      <c r="Q486" s="60"/>
      <c r="R486" s="60"/>
      <c r="S486" s="60"/>
      <c r="T486" s="67"/>
      <c r="U486" s="62"/>
      <c r="V486" s="60"/>
      <c r="W486" s="85"/>
      <c r="X486" s="962" t="s">
        <v>533</v>
      </c>
      <c r="Y486" s="441"/>
      <c r="Z486" s="441"/>
      <c r="AA486" s="784" t="s">
        <v>394</v>
      </c>
      <c r="AB486" s="1494">
        <v>0</v>
      </c>
      <c r="AC486" s="797" t="str">
        <f t="shared" si="53"/>
        <v/>
      </c>
      <c r="AD486" s="1510">
        <f>R1432</f>
        <v>0</v>
      </c>
      <c r="AE486" s="828" t="s">
        <v>1117</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8">
        <v>25</v>
      </c>
      <c r="B487" s="125"/>
      <c r="C487" s="67"/>
      <c r="D487" s="60"/>
      <c r="E487" s="60"/>
      <c r="F487" s="60"/>
      <c r="G487" s="60"/>
      <c r="H487" s="60"/>
      <c r="I487" s="60"/>
      <c r="J487" s="60"/>
      <c r="K487" s="85"/>
      <c r="L487" s="981" t="s">
        <v>533</v>
      </c>
      <c r="M487" s="159"/>
      <c r="N487" s="67"/>
      <c r="O487" s="60"/>
      <c r="P487" s="60"/>
      <c r="Q487" s="60"/>
      <c r="R487" s="60"/>
      <c r="S487" s="60"/>
      <c r="T487" s="67"/>
      <c r="U487" s="60"/>
      <c r="V487" s="60"/>
      <c r="W487" s="85"/>
      <c r="X487" s="962" t="s">
        <v>533</v>
      </c>
      <c r="Y487" s="441"/>
      <c r="Z487" s="441"/>
      <c r="AA487" s="784" t="s">
        <v>395</v>
      </c>
      <c r="AB487" s="1495">
        <v>0</v>
      </c>
      <c r="AC487" s="797" t="str">
        <f t="shared" si="53"/>
        <v/>
      </c>
      <c r="AD487" s="1510">
        <f>T1432</f>
        <v>0</v>
      </c>
      <c r="AE487" s="828" t="s">
        <v>1118</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8">
        <v>26</v>
      </c>
      <c r="B488" s="124" t="s">
        <v>681</v>
      </c>
      <c r="C488" s="1290" t="str">
        <f>IF(O488="","",IF(LEN(O488)&lt;=135,O488,IF(LEN(O488)&lt;=260,LEFT(O488,SEARCH(" ",O488,125)),LEFT(O488,SEARCH(" ",O488,130)))))</f>
        <v/>
      </c>
      <c r="D488" s="61"/>
      <c r="E488" s="61"/>
      <c r="F488" s="61"/>
      <c r="G488" s="61"/>
      <c r="H488" s="61"/>
      <c r="I488" s="61"/>
      <c r="J488" s="61"/>
      <c r="K488" s="85"/>
      <c r="L488" s="981" t="s">
        <v>533</v>
      </c>
      <c r="M488" s="159"/>
      <c r="N488" s="830" t="s">
        <v>681</v>
      </c>
      <c r="O488" s="1025" t="str">
        <f>IF(O490&lt;&gt;"",O490,IF(OR(AB430=0,AB430=""),"",AB430))</f>
        <v/>
      </c>
      <c r="P488" s="59"/>
      <c r="Q488" s="59"/>
      <c r="R488" s="59"/>
      <c r="S488" s="59"/>
      <c r="T488" s="59"/>
      <c r="U488" s="59"/>
      <c r="V488" s="59"/>
      <c r="W488" s="126"/>
      <c r="X488" s="962" t="s">
        <v>533</v>
      </c>
      <c r="Y488" s="441"/>
      <c r="Z488" s="441"/>
      <c r="AA488" s="784" t="s">
        <v>396</v>
      </c>
      <c r="AB488" s="1495">
        <v>0</v>
      </c>
      <c r="AC488" s="797" t="str">
        <f t="shared" si="53"/>
        <v/>
      </c>
      <c r="AD488" s="1510">
        <f>R1433</f>
        <v>0</v>
      </c>
      <c r="AE488" s="828" t="s">
        <v>1119</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533</v>
      </c>
      <c r="M489" s="125"/>
      <c r="N489" s="876" t="s">
        <v>373</v>
      </c>
      <c r="O489" s="128"/>
      <c r="P489" s="1289">
        <f>LEN(O488)</f>
        <v>0</v>
      </c>
      <c r="Q489" s="128"/>
      <c r="R489" s="128"/>
      <c r="S489" s="128"/>
      <c r="T489" s="128"/>
      <c r="U489" s="128"/>
      <c r="V489" s="128"/>
      <c r="W489" s="129"/>
      <c r="X489" s="962" t="s">
        <v>533</v>
      </c>
      <c r="Y489" s="441"/>
      <c r="Z489" s="441"/>
      <c r="AA489" s="979" t="s">
        <v>397</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8">
        <v>28</v>
      </c>
      <c r="B490" s="101"/>
      <c r="C490" s="1291" t="str">
        <f>IF(LEN(O488)&lt;=265,"",RIGHT(O488,LEN(O488)-SEARCH(" ",O488,255)))</f>
        <v/>
      </c>
      <c r="D490" s="61"/>
      <c r="E490" s="61"/>
      <c r="F490" s="61"/>
      <c r="G490" s="61"/>
      <c r="H490" s="61"/>
      <c r="I490" s="61"/>
      <c r="J490" s="61"/>
      <c r="K490" s="85"/>
      <c r="L490" s="981" t="s">
        <v>533</v>
      </c>
      <c r="M490" s="150"/>
      <c r="N490" s="1447" t="s">
        <v>748</v>
      </c>
      <c r="O490" s="1449"/>
      <c r="P490" s="128"/>
      <c r="Q490" s="128"/>
      <c r="R490" s="59"/>
      <c r="S490" s="59"/>
      <c r="T490" s="59"/>
      <c r="U490" s="59"/>
      <c r="V490" s="59"/>
      <c r="W490" s="126"/>
      <c r="X490" s="962" t="s">
        <v>533</v>
      </c>
      <c r="Y490" s="441"/>
      <c r="Z490" s="441"/>
      <c r="AA490" s="784" t="str">
        <f t="shared" ref="AA490:AA499" si="57">IF(M1464="","N/A",M1464)</f>
        <v>CXR</v>
      </c>
      <c r="AB490" s="1496">
        <v>9.0340946978597153E-2</v>
      </c>
      <c r="AC490" s="797" t="str">
        <f t="shared" si="53"/>
        <v>Change</v>
      </c>
      <c r="AD490" s="1507" t="str">
        <f t="shared" ref="AD490:AD499" si="58">U1464</f>
        <v/>
      </c>
      <c r="AE490" s="828" t="s">
        <v>1120</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8">
        <v>29</v>
      </c>
      <c r="B491" s="159"/>
      <c r="C491" s="67"/>
      <c r="D491" s="67"/>
      <c r="E491" s="67"/>
      <c r="F491" s="67"/>
      <c r="G491" s="67"/>
      <c r="H491" s="67"/>
      <c r="I491" s="67"/>
      <c r="J491" s="67"/>
      <c r="K491" s="85"/>
      <c r="L491" s="981" t="s">
        <v>533</v>
      </c>
      <c r="M491" s="159"/>
      <c r="N491" s="67"/>
      <c r="O491" s="67"/>
      <c r="P491" s="67"/>
      <c r="Q491" s="67"/>
      <c r="R491" s="67"/>
      <c r="S491" s="67"/>
      <c r="T491" s="67"/>
      <c r="U491" s="67"/>
      <c r="V491" s="67"/>
      <c r="W491" s="85"/>
      <c r="X491" s="962" t="s">
        <v>533</v>
      </c>
      <c r="Y491" s="441"/>
      <c r="Z491" s="441"/>
      <c r="AA491" s="784" t="str">
        <f t="shared" si="57"/>
        <v>Abdomen AP</v>
      </c>
      <c r="AB491" s="1497">
        <v>2.5628404199328703</v>
      </c>
      <c r="AC491" s="797" t="str">
        <f t="shared" si="53"/>
        <v>Change</v>
      </c>
      <c r="AD491" s="1507" t="str">
        <f t="shared" si="58"/>
        <v/>
      </c>
      <c r="AE491" s="828" t="s">
        <v>1121</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8">
        <v>30</v>
      </c>
      <c r="B492" s="250" t="s">
        <v>701</v>
      </c>
      <c r="C492" s="60"/>
      <c r="D492" s="60"/>
      <c r="E492" s="60"/>
      <c r="F492" s="192" t="s">
        <v>702</v>
      </c>
      <c r="G492" s="193"/>
      <c r="H492" s="60"/>
      <c r="I492" s="60"/>
      <c r="J492" s="60"/>
      <c r="K492" s="85"/>
      <c r="L492" s="981" t="s">
        <v>533</v>
      </c>
      <c r="M492" s="159"/>
      <c r="N492" s="253" t="s">
        <v>701</v>
      </c>
      <c r="O492" s="60"/>
      <c r="P492" s="60"/>
      <c r="Q492" s="192" t="s">
        <v>702</v>
      </c>
      <c r="R492" s="193"/>
      <c r="S492" s="60"/>
      <c r="T492" s="67"/>
      <c r="U492" s="60"/>
      <c r="V492" s="60"/>
      <c r="W492" s="85"/>
      <c r="X492" s="962" t="s">
        <v>533</v>
      </c>
      <c r="Y492" s="441"/>
      <c r="Z492" s="441"/>
      <c r="AA492" s="784" t="str">
        <f t="shared" si="57"/>
        <v>Ribs</v>
      </c>
      <c r="AB492" s="1497">
        <v>0.72889676998458131</v>
      </c>
      <c r="AC492" s="797" t="str">
        <f t="shared" si="53"/>
        <v>Change</v>
      </c>
      <c r="AD492" s="1507" t="str">
        <f t="shared" si="58"/>
        <v/>
      </c>
      <c r="AE492" s="828" t="s">
        <v>1122</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8">
        <v>31</v>
      </c>
      <c r="B493" s="250" t="s">
        <v>703</v>
      </c>
      <c r="C493" s="60"/>
      <c r="D493" s="60"/>
      <c r="E493" s="60"/>
      <c r="F493" s="31" t="s">
        <v>583</v>
      </c>
      <c r="G493" s="31" t="s">
        <v>582</v>
      </c>
      <c r="H493" s="60"/>
      <c r="I493" s="60"/>
      <c r="J493" s="60"/>
      <c r="K493" s="85"/>
      <c r="L493" s="981" t="s">
        <v>533</v>
      </c>
      <c r="M493" s="159"/>
      <c r="N493" s="253" t="s">
        <v>703</v>
      </c>
      <c r="O493" s="60"/>
      <c r="P493" s="60"/>
      <c r="Q493" s="31" t="s">
        <v>583</v>
      </c>
      <c r="R493" s="31" t="s">
        <v>582</v>
      </c>
      <c r="S493" s="60"/>
      <c r="T493" s="67"/>
      <c r="U493" s="60"/>
      <c r="V493" s="60"/>
      <c r="W493" s="85"/>
      <c r="X493" s="962" t="s">
        <v>533</v>
      </c>
      <c r="Y493" s="441"/>
      <c r="Z493" s="441"/>
      <c r="AA493" s="784" t="str">
        <f t="shared" si="57"/>
        <v>C-Spine AP</v>
      </c>
      <c r="AB493" s="1497">
        <v>0.59958048967543254</v>
      </c>
      <c r="AC493" s="797" t="str">
        <f t="shared" si="53"/>
        <v>Change</v>
      </c>
      <c r="AD493" s="1507" t="str">
        <f t="shared" si="58"/>
        <v/>
      </c>
      <c r="AE493" s="828" t="s">
        <v>1123</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8">
        <v>32</v>
      </c>
      <c r="B494" s="159"/>
      <c r="C494" s="60"/>
      <c r="D494" s="60"/>
      <c r="E494" s="60"/>
      <c r="F494" s="146" t="str">
        <f>IF(Q494="","",Q494)</f>
        <v/>
      </c>
      <c r="G494" s="146" t="str">
        <f>IF(R494="","",R494)</f>
        <v/>
      </c>
      <c r="H494" s="60"/>
      <c r="I494" s="51" t="s">
        <v>698</v>
      </c>
      <c r="J494" s="179" t="str">
        <f>IF(V494="","",V494)</f>
        <v>TBD</v>
      </c>
      <c r="K494" s="85"/>
      <c r="L494" s="981" t="s">
        <v>533</v>
      </c>
      <c r="M494" s="150"/>
      <c r="N494" s="60"/>
      <c r="O494" s="60"/>
      <c r="P494" s="60"/>
      <c r="Q494" s="886"/>
      <c r="R494" s="886"/>
      <c r="S494" s="60"/>
      <c r="T494" s="67"/>
      <c r="U494" s="1076" t="s">
        <v>698</v>
      </c>
      <c r="V494" s="1056" t="str">
        <f>IF(Q494="NA","NA",IF(OR(Q494="",R494=""),"TBD",IF(AND(Q494&lt;=5,R494&lt;=5),"YES","NO")))</f>
        <v>TBD</v>
      </c>
      <c r="W494" s="85"/>
      <c r="X494" s="962" t="s">
        <v>533</v>
      </c>
      <c r="Y494" s="441"/>
      <c r="Z494" s="441"/>
      <c r="AA494" s="784" t="str">
        <f t="shared" si="57"/>
        <v>Skull</v>
      </c>
      <c r="AB494" s="1497">
        <v>0.62922158246054871</v>
      </c>
      <c r="AC494" s="797" t="str">
        <f t="shared" si="53"/>
        <v>Change</v>
      </c>
      <c r="AD494" s="1507" t="str">
        <f t="shared" si="58"/>
        <v/>
      </c>
      <c r="AE494" s="828" t="s">
        <v>1124</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8">
        <v>33</v>
      </c>
      <c r="B495" s="150"/>
      <c r="C495" s="60"/>
      <c r="D495" s="60"/>
      <c r="E495" s="60"/>
      <c r="F495" s="67"/>
      <c r="G495" s="67"/>
      <c r="H495" s="67"/>
      <c r="I495" s="67"/>
      <c r="J495" s="67"/>
      <c r="K495" s="85"/>
      <c r="L495" s="981" t="s">
        <v>533</v>
      </c>
      <c r="M495" s="150"/>
      <c r="N495" s="60"/>
      <c r="O495" s="60"/>
      <c r="P495" s="1026" t="s">
        <v>495</v>
      </c>
      <c r="Q495" s="1151">
        <f>IF(AB90="","",AB90)</f>
        <v>3</v>
      </c>
      <c r="R495" s="1151">
        <f>IF(AB91="","",AB91)</f>
        <v>3</v>
      </c>
      <c r="S495" s="67"/>
      <c r="T495" s="67"/>
      <c r="U495" s="67"/>
      <c r="V495" s="67"/>
      <c r="W495" s="85"/>
      <c r="X495" s="962" t="s">
        <v>533</v>
      </c>
      <c r="Y495" s="441"/>
      <c r="Z495" s="441"/>
      <c r="AA495" s="784" t="str">
        <f t="shared" si="57"/>
        <v>Foot</v>
      </c>
      <c r="AB495" s="1497">
        <v>9.5227071341832822E-2</v>
      </c>
      <c r="AC495" s="797" t="str">
        <f t="shared" si="53"/>
        <v>Change</v>
      </c>
      <c r="AD495" s="1507" t="str">
        <f t="shared" si="58"/>
        <v/>
      </c>
      <c r="AE495" s="828" t="s">
        <v>1125</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8">
        <v>34</v>
      </c>
      <c r="B496" s="251" t="s">
        <v>699</v>
      </c>
      <c r="C496" s="327" t="s">
        <v>705</v>
      </c>
      <c r="D496" s="60"/>
      <c r="E496" s="60"/>
      <c r="F496" s="60"/>
      <c r="G496" s="60"/>
      <c r="H496" s="67"/>
      <c r="I496" s="67"/>
      <c r="J496" s="60"/>
      <c r="K496" s="85"/>
      <c r="L496" s="981" t="s">
        <v>533</v>
      </c>
      <c r="M496" s="141"/>
      <c r="N496" s="166" t="s">
        <v>699</v>
      </c>
      <c r="O496" s="327" t="s">
        <v>705</v>
      </c>
      <c r="P496" s="60"/>
      <c r="Q496" s="60"/>
      <c r="R496" s="60"/>
      <c r="S496" s="60"/>
      <c r="T496" s="67"/>
      <c r="U496" s="62"/>
      <c r="V496" s="60"/>
      <c r="W496" s="85"/>
      <c r="X496" s="962" t="s">
        <v>533</v>
      </c>
      <c r="Y496" s="441"/>
      <c r="Z496" s="441"/>
      <c r="AA496" s="784" t="str">
        <f t="shared" si="57"/>
        <v>Knee</v>
      </c>
      <c r="AB496" s="1497">
        <v>0.39866863188300417</v>
      </c>
      <c r="AC496" s="797" t="str">
        <f t="shared" si="53"/>
        <v>Change</v>
      </c>
      <c r="AD496" s="1507" t="str">
        <f t="shared" si="58"/>
        <v/>
      </c>
      <c r="AE496" s="828" t="s">
        <v>1126</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8">
        <v>35</v>
      </c>
      <c r="B497" s="159"/>
      <c r="C497" s="67"/>
      <c r="D497" s="60"/>
      <c r="E497" s="60"/>
      <c r="F497" s="60"/>
      <c r="G497" s="60"/>
      <c r="H497" s="60"/>
      <c r="I497" s="60"/>
      <c r="J497" s="60"/>
      <c r="K497" s="85"/>
      <c r="L497" s="981" t="s">
        <v>533</v>
      </c>
      <c r="M497" s="159"/>
      <c r="N497" s="67"/>
      <c r="O497" s="67"/>
      <c r="P497" s="67"/>
      <c r="Q497" s="67"/>
      <c r="R497" s="67"/>
      <c r="S497" s="67"/>
      <c r="T497" s="67"/>
      <c r="U497" s="67"/>
      <c r="V497" s="67"/>
      <c r="W497" s="85"/>
      <c r="X497" s="962" t="s">
        <v>533</v>
      </c>
      <c r="Y497" s="441"/>
      <c r="Z497" s="441"/>
      <c r="AA497" s="784" t="str">
        <f t="shared" si="57"/>
        <v>Pelvis AP</v>
      </c>
      <c r="AB497" s="1497">
        <v>2.4835046788340587</v>
      </c>
      <c r="AC497" s="797" t="str">
        <f t="shared" si="53"/>
        <v>Change</v>
      </c>
      <c r="AD497" s="1507" t="str">
        <f t="shared" si="58"/>
        <v/>
      </c>
      <c r="AE497" s="828" t="s">
        <v>1127</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8">
        <v>36</v>
      </c>
      <c r="B498" s="124" t="s">
        <v>681</v>
      </c>
      <c r="C498" s="1290" t="str">
        <f>IF(O498="","",IF(LEN(O498)&lt;=135,O498,IF(LEN(O498)&lt;=260,LEFT(O498,SEARCH(" ",O498,125)),LEFT(O498,SEARCH(" ",O498,130)))))</f>
        <v/>
      </c>
      <c r="D498" s="61"/>
      <c r="E498" s="61"/>
      <c r="F498" s="61"/>
      <c r="G498" s="61"/>
      <c r="H498" s="61"/>
      <c r="I498" s="61"/>
      <c r="J498" s="61"/>
      <c r="K498" s="85"/>
      <c r="L498" s="981" t="s">
        <v>533</v>
      </c>
      <c r="M498" s="159"/>
      <c r="N498" s="830" t="s">
        <v>681</v>
      </c>
      <c r="O498" s="1025" t="str">
        <f>IF(O500&lt;&gt;"",O500,IF(OR(AB431=0,AB431=""),"",AB431))</f>
        <v/>
      </c>
      <c r="P498" s="59"/>
      <c r="Q498" s="59"/>
      <c r="R498" s="59"/>
      <c r="S498" s="59"/>
      <c r="T498" s="59"/>
      <c r="U498" s="59"/>
      <c r="V498" s="59"/>
      <c r="W498" s="126"/>
      <c r="X498" s="962" t="s">
        <v>533</v>
      </c>
      <c r="Y498" s="441"/>
      <c r="Z498" s="441"/>
      <c r="AA498" s="784" t="str">
        <f t="shared" si="57"/>
        <v>Shoulder</v>
      </c>
      <c r="AB498" s="1497">
        <v>0.92679697477755263</v>
      </c>
      <c r="AC498" s="797" t="str">
        <f t="shared" si="53"/>
        <v>Change</v>
      </c>
      <c r="AD498" s="1507" t="str">
        <f t="shared" si="58"/>
        <v/>
      </c>
      <c r="AE498" s="828" t="s">
        <v>1128</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533</v>
      </c>
      <c r="M499" s="125"/>
      <c r="N499" s="876" t="s">
        <v>373</v>
      </c>
      <c r="O499" s="128"/>
      <c r="P499" s="1289">
        <f>LEN(O498)</f>
        <v>0</v>
      </c>
      <c r="Q499" s="128"/>
      <c r="R499" s="128"/>
      <c r="S499" s="128"/>
      <c r="T499" s="128"/>
      <c r="U499" s="128"/>
      <c r="V499" s="128"/>
      <c r="W499" s="129"/>
      <c r="X499" s="962" t="s">
        <v>533</v>
      </c>
      <c r="Y499" s="441"/>
      <c r="Z499" s="441"/>
      <c r="AA499" s="784" t="str">
        <f t="shared" si="57"/>
        <v>LS Spine AP</v>
      </c>
      <c r="AB499" s="1497">
        <v>2.2410293237517998</v>
      </c>
      <c r="AC499" s="797" t="str">
        <f t="shared" si="53"/>
        <v>Change</v>
      </c>
      <c r="AD499" s="1507" t="str">
        <f t="shared" si="58"/>
        <v/>
      </c>
      <c r="AE499" s="828" t="s">
        <v>1129</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8">
        <v>38</v>
      </c>
      <c r="B500" s="101"/>
      <c r="C500" s="1290" t="str">
        <f>IF(LEN(O498)&lt;=265,"",RIGHT(O498,LEN(O498)-SEARCH(" ",O498,255)))</f>
        <v/>
      </c>
      <c r="D500" s="61"/>
      <c r="E500" s="61"/>
      <c r="F500" s="61"/>
      <c r="G500" s="61"/>
      <c r="H500" s="61"/>
      <c r="I500" s="61"/>
      <c r="J500" s="61"/>
      <c r="K500" s="85"/>
      <c r="L500" s="981" t="s">
        <v>533</v>
      </c>
      <c r="M500" s="150"/>
      <c r="N500" s="1447" t="s">
        <v>748</v>
      </c>
      <c r="O500" s="1449"/>
      <c r="P500" s="128"/>
      <c r="Q500" s="128"/>
      <c r="R500" s="59"/>
      <c r="S500" s="59"/>
      <c r="T500" s="59"/>
      <c r="U500" s="59"/>
      <c r="V500" s="59"/>
      <c r="W500" s="126"/>
      <c r="X500" s="962" t="s">
        <v>533</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8">
        <v>39</v>
      </c>
      <c r="B501" s="159"/>
      <c r="C501" s="67"/>
      <c r="D501" s="67"/>
      <c r="E501" s="67"/>
      <c r="F501" s="67"/>
      <c r="G501" s="67"/>
      <c r="H501" s="67"/>
      <c r="I501" s="67"/>
      <c r="J501" s="67"/>
      <c r="K501" s="85"/>
      <c r="L501" s="981" t="s">
        <v>533</v>
      </c>
      <c r="M501" s="159"/>
      <c r="N501" s="67"/>
      <c r="O501" s="67"/>
      <c r="P501" s="67"/>
      <c r="Q501" s="67"/>
      <c r="R501" s="67"/>
      <c r="S501" s="67"/>
      <c r="T501" s="67"/>
      <c r="U501" s="67"/>
      <c r="V501" s="67"/>
      <c r="W501" s="85"/>
      <c r="X501" s="962" t="s">
        <v>533</v>
      </c>
      <c r="Y501" s="441"/>
      <c r="Z501" s="441"/>
      <c r="AA501" s="791" t="s">
        <v>398</v>
      </c>
      <c r="AB501" s="1488" t="s">
        <v>1303</v>
      </c>
      <c r="AC501" s="797" t="str">
        <f t="shared" si="53"/>
        <v>Change</v>
      </c>
      <c r="AD501" s="1515">
        <f>O170</f>
        <v>0</v>
      </c>
      <c r="AE501" s="828" t="s">
        <v>1130</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8">
        <v>40</v>
      </c>
      <c r="B502" s="250" t="s">
        <v>706</v>
      </c>
      <c r="C502" s="47"/>
      <c r="D502" s="67"/>
      <c r="E502" s="160" t="str">
        <f>Q502</f>
        <v>Measurements (lux) at 100cm*</v>
      </c>
      <c r="F502" s="160"/>
      <c r="G502" s="67"/>
      <c r="H502" s="67"/>
      <c r="I502" s="160" t="s">
        <v>707</v>
      </c>
      <c r="J502" s="210"/>
      <c r="K502" s="85"/>
      <c r="L502" s="981" t="s">
        <v>533</v>
      </c>
      <c r="M502" s="159"/>
      <c r="N502" s="253" t="s">
        <v>706</v>
      </c>
      <c r="O502" s="47"/>
      <c r="P502" s="67"/>
      <c r="Q502" s="160" t="str">
        <f>IF(OR(O507="",O507=2),"Measurements (lux) at 100cm*",IF(O507=1,"Measurements (Ft-cd) at 100cm*"))</f>
        <v>Measurements (lux) at 100cm*</v>
      </c>
      <c r="R502" s="160"/>
      <c r="S502" s="67"/>
      <c r="T502" s="67"/>
      <c r="U502" s="160" t="s">
        <v>707</v>
      </c>
      <c r="V502" s="210"/>
      <c r="W502" s="85"/>
      <c r="X502" s="962" t="s">
        <v>533</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8">
        <v>41</v>
      </c>
      <c r="B503" s="250" t="s">
        <v>708</v>
      </c>
      <c r="C503" s="67"/>
      <c r="D503" s="194" t="s">
        <v>709</v>
      </c>
      <c r="E503" s="194" t="s">
        <v>710</v>
      </c>
      <c r="F503" s="194" t="s">
        <v>711</v>
      </c>
      <c r="G503" s="195" t="s">
        <v>712</v>
      </c>
      <c r="H503" s="47"/>
      <c r="I503" s="197" t="str">
        <f>U503</f>
        <v>(lux)</v>
      </c>
      <c r="J503" s="207"/>
      <c r="K503" s="85"/>
      <c r="L503" s="981" t="s">
        <v>533</v>
      </c>
      <c r="M503" s="159"/>
      <c r="N503" s="253" t="s">
        <v>708</v>
      </c>
      <c r="O503" s="67"/>
      <c r="P503" s="194" t="s">
        <v>709</v>
      </c>
      <c r="Q503" s="194" t="s">
        <v>710</v>
      </c>
      <c r="R503" s="194" t="s">
        <v>711</v>
      </c>
      <c r="S503" s="195" t="s">
        <v>712</v>
      </c>
      <c r="T503" s="67"/>
      <c r="U503" s="197" t="str">
        <f>IF(OR(O507="",O507=2),"(lux)",IF(O507=1,"(ft-cd)"))</f>
        <v>(lux)</v>
      </c>
      <c r="V503" s="207"/>
      <c r="W503" s="85"/>
      <c r="X503" s="962" t="s">
        <v>533</v>
      </c>
      <c r="Y503" s="441"/>
      <c r="Z503" s="441"/>
      <c r="AA503" s="785"/>
      <c r="AB503" s="1488">
        <v>0</v>
      </c>
      <c r="AC503" s="797" t="str">
        <f t="shared" si="53"/>
        <v/>
      </c>
      <c r="AD503" s="1515">
        <f>O172</f>
        <v>0</v>
      </c>
      <c r="AE503" s="828" t="s">
        <v>1131</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8">
        <v>42</v>
      </c>
      <c r="B504" s="203"/>
      <c r="C504" s="67"/>
      <c r="D504" s="22" t="str">
        <f>IF(P504="","",P504)</f>
        <v/>
      </c>
      <c r="E504" s="22" t="str">
        <f>IF(Q504="","",Q504)</f>
        <v/>
      </c>
      <c r="F504" s="22" t="str">
        <f>IF(R504="","",R504)</f>
        <v/>
      </c>
      <c r="G504" s="22" t="str">
        <f>IF(S504="","",S504)</f>
        <v/>
      </c>
      <c r="H504" s="47"/>
      <c r="I504" s="208" t="str">
        <f>IF(U504="","",U504)</f>
        <v>TBD</v>
      </c>
      <c r="J504" s="206"/>
      <c r="K504" s="85"/>
      <c r="L504" s="981" t="s">
        <v>533</v>
      </c>
      <c r="M504" s="203"/>
      <c r="N504" s="67"/>
      <c r="O504" s="67"/>
      <c r="P504" s="1080"/>
      <c r="Q504" s="1080"/>
      <c r="R504" s="1080"/>
      <c r="S504" s="915"/>
      <c r="T504" s="67"/>
      <c r="U504" s="1230" t="str">
        <f>IF(OR(V506="NA",P504="NA"),"NA",IF(OR(P504="",Q504="",R504="",S504=""),"TBD",AVERAGE(P504:S504)))</f>
        <v>TBD</v>
      </c>
      <c r="V504" s="1231"/>
      <c r="W504" s="85"/>
      <c r="X504" s="962" t="s">
        <v>533</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8">
        <v>43</v>
      </c>
      <c r="B505" s="203"/>
      <c r="C505" s="67"/>
      <c r="D505" s="62" t="s">
        <v>713</v>
      </c>
      <c r="E505" s="67"/>
      <c r="F505" s="67"/>
      <c r="G505" s="67"/>
      <c r="H505" s="67"/>
      <c r="I505" s="67"/>
      <c r="J505" s="67"/>
      <c r="K505" s="85"/>
      <c r="L505" s="981" t="s">
        <v>533</v>
      </c>
      <c r="M505" s="203"/>
      <c r="N505" s="67"/>
      <c r="O505" s="67"/>
      <c r="P505" s="62" t="s">
        <v>713</v>
      </c>
      <c r="Q505" s="67"/>
      <c r="R505" s="67"/>
      <c r="S505" s="67"/>
      <c r="W505" s="85"/>
      <c r="X505" s="962" t="s">
        <v>533</v>
      </c>
      <c r="Y505" s="441"/>
      <c r="Z505" s="441"/>
      <c r="AA505" s="785"/>
      <c r="AB505" s="1488">
        <v>0</v>
      </c>
      <c r="AC505" s="797" t="str">
        <f t="shared" si="53"/>
        <v/>
      </c>
      <c r="AD505" s="1515">
        <f>O174</f>
        <v>0</v>
      </c>
      <c r="AE505" s="828" t="s">
        <v>1132</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8">
        <v>44</v>
      </c>
      <c r="B506" s="159"/>
      <c r="C506" s="67"/>
      <c r="D506" s="67"/>
      <c r="E506" s="67"/>
      <c r="F506" s="67"/>
      <c r="G506" s="67"/>
      <c r="H506" s="67"/>
      <c r="I506" s="51" t="s">
        <v>698</v>
      </c>
      <c r="J506" s="179" t="str">
        <f>IF(V506="","",V506)</f>
        <v>TBD</v>
      </c>
      <c r="K506" s="85"/>
      <c r="L506" s="981" t="s">
        <v>533</v>
      </c>
      <c r="M506" s="159"/>
      <c r="N506" s="628" t="s">
        <v>1215</v>
      </c>
      <c r="O506" s="1556">
        <f>IF(O507&lt;&gt;"",O507,IF(OR(AB474=0,AB474=""),"",AB474))</f>
        <v>2</v>
      </c>
      <c r="P506" s="990" t="s">
        <v>1216</v>
      </c>
      <c r="Q506" s="67"/>
      <c r="R506" s="67"/>
      <c r="S506" s="67"/>
      <c r="T506" s="67"/>
      <c r="U506" s="1076" t="s">
        <v>698</v>
      </c>
      <c r="V506" s="1056" t="str">
        <f>IF(OR(M473=2,M473=3,P504="NA"),"NA",IF(OR(P504="",Q504="",R504="",S504=""),"TBD",IF(O507=1,IF(AVERAGE(P504:S504)&gt;=15,"YES","NO"),IF(OR(O507="",O507=2),IF(AVERAGE(P504:S504)&gt;160,"YES","NO")))))</f>
        <v>TBD</v>
      </c>
      <c r="W506" s="85"/>
      <c r="X506" s="962" t="s">
        <v>533</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8">
        <v>45</v>
      </c>
      <c r="B507" s="251" t="s">
        <v>699</v>
      </c>
      <c r="C507" s="119" t="str">
        <f>O508</f>
        <v>Average light field illumination &gt;= 160 lux.</v>
      </c>
      <c r="D507" s="67"/>
      <c r="E507" s="67"/>
      <c r="F507" s="67"/>
      <c r="G507" s="67"/>
      <c r="H507" s="67"/>
      <c r="I507" s="67"/>
      <c r="J507" s="67"/>
      <c r="K507" s="85"/>
      <c r="L507" s="981" t="s">
        <v>533</v>
      </c>
      <c r="M507" s="141"/>
      <c r="O507" s="1006"/>
      <c r="W507" s="85"/>
      <c r="X507" s="962" t="s">
        <v>533</v>
      </c>
      <c r="Y507" s="441"/>
      <c r="Z507" s="441"/>
      <c r="AA507" s="785"/>
      <c r="AB507" s="1488">
        <v>0</v>
      </c>
      <c r="AC507" s="797" t="str">
        <f t="shared" si="53"/>
        <v/>
      </c>
      <c r="AD507" s="1515">
        <f>O176</f>
        <v>0</v>
      </c>
      <c r="AE507" s="828" t="s">
        <v>1133</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8">
        <v>46</v>
      </c>
      <c r="B508" s="159"/>
      <c r="C508" s="67"/>
      <c r="D508" s="67"/>
      <c r="E508" s="67"/>
      <c r="F508" s="67"/>
      <c r="G508" s="67"/>
      <c r="H508" s="67"/>
      <c r="I508" s="67"/>
      <c r="J508" s="67"/>
      <c r="K508" s="85"/>
      <c r="L508" s="981" t="s">
        <v>533</v>
      </c>
      <c r="M508" s="159"/>
      <c r="N508" s="166" t="s">
        <v>699</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533</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8">
        <v>47</v>
      </c>
      <c r="B509" s="124" t="s">
        <v>681</v>
      </c>
      <c r="C509" s="1290" t="str">
        <f>IF(O510="","",IF(LEN(O510)&lt;=135,O510,IF(LEN(O510)&lt;=260,LEFT(O510,SEARCH(" ",O510,125)),LEFT(O510,SEARCH(" ",O510,130)))))</f>
        <v/>
      </c>
      <c r="D509" s="61"/>
      <c r="E509" s="61"/>
      <c r="F509" s="61"/>
      <c r="G509" s="61"/>
      <c r="H509" s="61"/>
      <c r="I509" s="61"/>
      <c r="J509" s="61"/>
      <c r="K509" s="100"/>
      <c r="L509" s="981" t="s">
        <v>533</v>
      </c>
      <c r="M509" s="159"/>
      <c r="N509" s="67"/>
      <c r="O509" s="67"/>
      <c r="P509" s="67"/>
      <c r="Q509" s="67"/>
      <c r="R509" s="67"/>
      <c r="S509" s="67"/>
      <c r="T509" s="1026" t="s">
        <v>495</v>
      </c>
      <c r="U509" s="1688">
        <f>IF(OR(AB473=0,AB473=""),"",AB473)</f>
        <v>190.22499999999999</v>
      </c>
      <c r="V509" s="1689"/>
      <c r="W509" s="85"/>
      <c r="X509" s="962" t="s">
        <v>533</v>
      </c>
      <c r="Y509" s="441"/>
      <c r="Z509" s="441"/>
      <c r="AA509" s="785"/>
      <c r="AB509" s="1488">
        <v>0</v>
      </c>
      <c r="AC509" s="797" t="str">
        <f t="shared" si="53"/>
        <v/>
      </c>
      <c r="AD509" s="1515">
        <f>O178</f>
        <v>0</v>
      </c>
      <c r="AE509" s="828" t="s">
        <v>1134</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533</v>
      </c>
      <c r="M510" s="125"/>
      <c r="N510" s="830" t="s">
        <v>681</v>
      </c>
      <c r="O510" s="1025" t="str">
        <f>IF(O512&lt;&gt;"",O512,IF(OR(AB432=0,AB432=""),"",AB432))</f>
        <v/>
      </c>
      <c r="P510" s="59"/>
      <c r="Q510" s="59"/>
      <c r="R510" s="59"/>
      <c r="S510" s="59"/>
      <c r="T510" s="59"/>
      <c r="U510" s="59"/>
      <c r="V510" s="59"/>
      <c r="W510" s="126"/>
      <c r="X510" s="962" t="s">
        <v>533</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8">
        <v>49</v>
      </c>
      <c r="B511" s="101"/>
      <c r="C511" s="1290" t="str">
        <f>IF(LEN(O510)&lt;=265,"",RIGHT(O510,LEN(O510)-SEARCH(" ",O510,255)))</f>
        <v/>
      </c>
      <c r="D511" s="61"/>
      <c r="E511" s="61"/>
      <c r="F511" s="61"/>
      <c r="G511" s="61"/>
      <c r="H511" s="61"/>
      <c r="I511" s="61"/>
      <c r="J511" s="61"/>
      <c r="K511" s="100"/>
      <c r="L511" s="981" t="s">
        <v>533</v>
      </c>
      <c r="M511" s="150"/>
      <c r="N511" s="876" t="s">
        <v>373</v>
      </c>
      <c r="O511" s="128"/>
      <c r="P511" s="1289">
        <f>LEN(O510)</f>
        <v>0</v>
      </c>
      <c r="Q511" s="128"/>
      <c r="R511" s="128"/>
      <c r="S511" s="128"/>
      <c r="T511" s="128"/>
      <c r="U511" s="128"/>
      <c r="V511" s="128"/>
      <c r="W511" s="129"/>
      <c r="X511" s="962" t="s">
        <v>533</v>
      </c>
      <c r="Y511" s="441"/>
      <c r="Z511" s="441"/>
      <c r="AA511" s="785"/>
      <c r="AB511" s="1488">
        <v>0</v>
      </c>
      <c r="AC511" s="797" t="str">
        <f t="shared" si="53"/>
        <v/>
      </c>
      <c r="AD511" s="1515">
        <f>O180</f>
        <v>0</v>
      </c>
      <c r="AE511" s="828" t="s">
        <v>1135</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8">
        <v>50</v>
      </c>
      <c r="B512" s="159"/>
      <c r="C512" s="67"/>
      <c r="D512" s="67"/>
      <c r="E512" s="67"/>
      <c r="F512" s="67"/>
      <c r="G512" s="67"/>
      <c r="H512" s="67"/>
      <c r="I512" s="67"/>
      <c r="J512" s="67"/>
      <c r="K512" s="85"/>
      <c r="L512" s="981" t="s">
        <v>533</v>
      </c>
      <c r="M512" s="159"/>
      <c r="N512" s="1447" t="s">
        <v>748</v>
      </c>
      <c r="O512" s="1449"/>
      <c r="P512" s="128"/>
      <c r="Q512" s="128"/>
      <c r="R512" s="59"/>
      <c r="S512" s="59"/>
      <c r="T512" s="59"/>
      <c r="U512" s="59"/>
      <c r="V512" s="59"/>
      <c r="W512" s="126"/>
      <c r="X512" s="962" t="s">
        <v>533</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8">
        <v>51</v>
      </c>
      <c r="B513" s="250"/>
      <c r="C513" s="115"/>
      <c r="D513" s="115"/>
      <c r="E513" s="160"/>
      <c r="F513" s="135"/>
      <c r="G513" s="115"/>
      <c r="H513" s="115"/>
      <c r="I513" s="115"/>
      <c r="J513" s="115"/>
      <c r="K513" s="100"/>
      <c r="L513" s="981" t="s">
        <v>533</v>
      </c>
      <c r="M513" s="159"/>
      <c r="W513" s="83"/>
      <c r="X513" s="962" t="s">
        <v>533</v>
      </c>
      <c r="Y513" s="441"/>
      <c r="Z513" s="441"/>
      <c r="AA513" s="785"/>
      <c r="AB513" s="1488">
        <v>0</v>
      </c>
      <c r="AC513" s="797" t="str">
        <f t="shared" si="53"/>
        <v/>
      </c>
      <c r="AD513" s="1515">
        <f>O182</f>
        <v>0</v>
      </c>
      <c r="AE513" s="828" t="s">
        <v>1136</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8">
        <v>52</v>
      </c>
      <c r="B514" s="250"/>
      <c r="C514" s="115"/>
      <c r="D514" s="133"/>
      <c r="E514" s="135"/>
      <c r="F514" s="133"/>
      <c r="G514" s="135"/>
      <c r="H514" s="115"/>
      <c r="I514" s="160"/>
      <c r="J514" s="65"/>
      <c r="K514" s="100"/>
      <c r="L514" s="981" t="s">
        <v>533</v>
      </c>
      <c r="M514" s="159"/>
      <c r="W514" s="83"/>
      <c r="X514" s="962" t="s">
        <v>533</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8">
        <v>53</v>
      </c>
      <c r="B515" s="80"/>
      <c r="C515" s="115"/>
      <c r="D515" s="161"/>
      <c r="E515" s="161"/>
      <c r="F515" s="161"/>
      <c r="G515" s="160"/>
      <c r="H515" s="115"/>
      <c r="I515" s="160"/>
      <c r="J515" s="65"/>
      <c r="K515" s="100"/>
      <c r="L515" s="981" t="s">
        <v>533</v>
      </c>
      <c r="M515" s="80"/>
      <c r="W515" s="83"/>
      <c r="X515" s="962" t="s">
        <v>533</v>
      </c>
      <c r="Y515" s="441"/>
      <c r="Z515" s="441"/>
      <c r="AA515" s="785"/>
      <c r="AB515" s="1488">
        <v>0</v>
      </c>
      <c r="AC515" s="797" t="str">
        <f t="shared" si="53"/>
        <v/>
      </c>
      <c r="AD515" s="1515">
        <f>O184</f>
        <v>0</v>
      </c>
      <c r="AE515" s="828" t="s">
        <v>1137</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8">
        <v>54</v>
      </c>
      <c r="B516" s="80"/>
      <c r="C516" s="115"/>
      <c r="D516" s="62"/>
      <c r="E516" s="115"/>
      <c r="F516" s="115"/>
      <c r="G516" s="115"/>
      <c r="H516" s="115"/>
      <c r="I516" s="115"/>
      <c r="J516" s="115"/>
      <c r="K516" s="100"/>
      <c r="L516" s="981" t="s">
        <v>533</v>
      </c>
      <c r="M516" s="80"/>
      <c r="W516" s="83"/>
      <c r="X516" s="962" t="s">
        <v>533</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8">
        <v>55</v>
      </c>
      <c r="B517" s="80"/>
      <c r="C517" s="115"/>
      <c r="D517" s="67"/>
      <c r="E517" s="67"/>
      <c r="F517" s="67"/>
      <c r="G517" s="67"/>
      <c r="H517" s="115"/>
      <c r="I517" s="43"/>
      <c r="J517" s="60"/>
      <c r="K517" s="100"/>
      <c r="L517" s="981" t="s">
        <v>533</v>
      </c>
      <c r="M517" s="80"/>
      <c r="W517" s="83"/>
      <c r="X517" s="962" t="s">
        <v>533</v>
      </c>
      <c r="Y517" s="441"/>
      <c r="Z517" s="441"/>
      <c r="AA517" s="785"/>
      <c r="AB517" s="1488">
        <v>0</v>
      </c>
      <c r="AC517" s="797" t="str">
        <f t="shared" si="53"/>
        <v/>
      </c>
      <c r="AD517" s="1515">
        <f>O186</f>
        <v>0</v>
      </c>
      <c r="AE517" s="828" t="s">
        <v>1138</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8">
        <v>56</v>
      </c>
      <c r="B518" s="251"/>
      <c r="C518" s="119"/>
      <c r="D518" s="115"/>
      <c r="E518" s="115"/>
      <c r="F518" s="115"/>
      <c r="G518" s="67"/>
      <c r="H518" s="67"/>
      <c r="I518" s="67"/>
      <c r="J518" s="67"/>
      <c r="K518" s="100"/>
      <c r="L518" s="981" t="s">
        <v>533</v>
      </c>
      <c r="M518" s="141"/>
      <c r="W518" s="83"/>
      <c r="X518" s="962" t="s">
        <v>533</v>
      </c>
      <c r="Z518" s="441"/>
      <c r="AA518" s="784"/>
      <c r="AB518" s="719"/>
      <c r="AC518" s="797" t="str">
        <f t="shared" si="53"/>
        <v/>
      </c>
      <c r="AD518" s="827"/>
      <c r="AE518" s="828"/>
    </row>
    <row r="519" spans="1:58" ht="11.25" customHeight="1">
      <c r="A519" s="878">
        <v>57</v>
      </c>
      <c r="B519" s="159"/>
      <c r="C519" s="67"/>
      <c r="D519" s="67"/>
      <c r="E519" s="67"/>
      <c r="F519" s="67"/>
      <c r="G519" s="67"/>
      <c r="H519" s="67"/>
      <c r="I519" s="67"/>
      <c r="J519" s="67"/>
      <c r="K519" s="85"/>
      <c r="L519" s="981" t="s">
        <v>533</v>
      </c>
      <c r="M519" s="159"/>
      <c r="W519" s="83"/>
      <c r="X519" s="962" t="s">
        <v>533</v>
      </c>
      <c r="Z519" s="441"/>
      <c r="AA519" s="979" t="s">
        <v>399</v>
      </c>
      <c r="AB519" s="719"/>
      <c r="AC519" s="797" t="str">
        <f t="shared" si="53"/>
        <v/>
      </c>
      <c r="AD519" s="785"/>
      <c r="AE519" s="828"/>
    </row>
    <row r="520" spans="1:58" ht="11.25" customHeight="1">
      <c r="A520" s="878">
        <v>58</v>
      </c>
      <c r="B520" s="124"/>
      <c r="C520" s="509"/>
      <c r="D520" s="123"/>
      <c r="E520" s="123"/>
      <c r="F520" s="123"/>
      <c r="G520" s="123"/>
      <c r="H520" s="123"/>
      <c r="I520" s="123"/>
      <c r="J520" s="123"/>
      <c r="K520" s="100"/>
      <c r="L520" s="981" t="s">
        <v>533</v>
      </c>
      <c r="M520" s="159"/>
      <c r="N520" s="187"/>
      <c r="O520" s="510"/>
      <c r="P520" s="60"/>
      <c r="Q520" s="60"/>
      <c r="R520" s="60"/>
      <c r="S520" s="60"/>
      <c r="T520" s="60"/>
      <c r="U520" s="60"/>
      <c r="V520" s="60"/>
      <c r="W520" s="83"/>
      <c r="X520" s="962" t="s">
        <v>533</v>
      </c>
      <c r="Z520" s="441"/>
      <c r="AA520" s="784" t="s">
        <v>400</v>
      </c>
      <c r="AB520" s="1494">
        <v>0</v>
      </c>
      <c r="AC520" s="797" t="str">
        <f t="shared" si="53"/>
        <v/>
      </c>
      <c r="AD520" s="1510">
        <f>O1225</f>
        <v>0</v>
      </c>
      <c r="AE520" s="828" t="s">
        <v>1139</v>
      </c>
    </row>
    <row r="521" spans="1:58" ht="11.25" customHeight="1">
      <c r="A521" s="878">
        <v>59</v>
      </c>
      <c r="B521" s="101"/>
      <c r="C521" s="509"/>
      <c r="D521" s="123"/>
      <c r="E521" s="123"/>
      <c r="F521" s="123"/>
      <c r="G521" s="123"/>
      <c r="H521" s="123"/>
      <c r="I521" s="123"/>
      <c r="J521" s="123"/>
      <c r="K521" s="100"/>
      <c r="L521" s="981" t="s">
        <v>533</v>
      </c>
      <c r="M521" s="125"/>
      <c r="N521" s="62"/>
      <c r="O521" s="62"/>
      <c r="P521" s="62"/>
      <c r="Q521" s="62"/>
      <c r="R521" s="62"/>
      <c r="S521" s="62"/>
      <c r="T521" s="62"/>
      <c r="U521" s="62"/>
      <c r="V521" s="62"/>
      <c r="W521" s="84"/>
      <c r="X521" s="962" t="s">
        <v>533</v>
      </c>
      <c r="Z521" s="441"/>
      <c r="AA521" s="784" t="s">
        <v>401</v>
      </c>
      <c r="AB521" s="1495">
        <v>0</v>
      </c>
      <c r="AC521" s="797" t="str">
        <f t="shared" si="53"/>
        <v/>
      </c>
      <c r="AD521" s="1510">
        <f>W1261</f>
        <v>0</v>
      </c>
      <c r="AE521" s="828" t="s">
        <v>1140</v>
      </c>
    </row>
    <row r="522" spans="1:58" ht="11.25" customHeight="1">
      <c r="A522" s="878">
        <v>60</v>
      </c>
      <c r="B522" s="101"/>
      <c r="C522" s="509"/>
      <c r="D522" s="123"/>
      <c r="E522" s="123"/>
      <c r="F522" s="123"/>
      <c r="G522" s="123"/>
      <c r="H522" s="123"/>
      <c r="I522" s="123"/>
      <c r="J522" s="123"/>
      <c r="K522" s="100"/>
      <c r="L522" s="981" t="s">
        <v>533</v>
      </c>
      <c r="M522" s="150"/>
      <c r="N522" s="60"/>
      <c r="O522" s="62"/>
      <c r="P522" s="62"/>
      <c r="Q522" s="62"/>
      <c r="R522" s="60"/>
      <c r="S522" s="60"/>
      <c r="T522" s="60"/>
      <c r="U522" s="60"/>
      <c r="V522" s="60"/>
      <c r="W522" s="83"/>
      <c r="X522" s="962" t="s">
        <v>533</v>
      </c>
      <c r="AA522" s="784" t="s">
        <v>402</v>
      </c>
      <c r="AB522" s="1495">
        <v>0</v>
      </c>
      <c r="AC522" s="797" t="str">
        <f t="shared" si="53"/>
        <v/>
      </c>
      <c r="AD522" s="1510">
        <f>W1327</f>
        <v>0</v>
      </c>
      <c r="AE522" s="828" t="s">
        <v>1141</v>
      </c>
    </row>
    <row r="523" spans="1:58" ht="11.25" customHeight="1" thickBot="1">
      <c r="A523" s="878">
        <v>61</v>
      </c>
      <c r="B523" s="252"/>
      <c r="C523" s="98"/>
      <c r="D523" s="98"/>
      <c r="E523" s="98"/>
      <c r="F523" s="98"/>
      <c r="G523" s="98"/>
      <c r="H523" s="98"/>
      <c r="I523" s="98"/>
      <c r="J523" s="98"/>
      <c r="K523" s="103"/>
      <c r="L523" s="981" t="s">
        <v>533</v>
      </c>
      <c r="M523" s="116"/>
      <c r="N523" s="98"/>
      <c r="O523" s="98"/>
      <c r="P523" s="98"/>
      <c r="Q523" s="98"/>
      <c r="R523" s="98"/>
      <c r="S523" s="98"/>
      <c r="T523" s="98"/>
      <c r="U523" s="98"/>
      <c r="V523" s="98"/>
      <c r="W523" s="103"/>
      <c r="X523" s="962" t="s">
        <v>533</v>
      </c>
      <c r="AA523" s="441"/>
      <c r="AB523" s="1286"/>
      <c r="AD523" s="1286"/>
    </row>
    <row r="524" spans="1:58" ht="11.25" customHeight="1" thickTop="1">
      <c r="A524" s="878">
        <v>62</v>
      </c>
      <c r="L524" s="981" t="s">
        <v>533</v>
      </c>
      <c r="X524" s="962" t="s">
        <v>533</v>
      </c>
      <c r="AA524" s="979" t="s">
        <v>457</v>
      </c>
      <c r="AB524" s="710"/>
      <c r="AC524" s="797" t="str">
        <f>IF(AND(OR(AB524="",AB524=0),OR(AD524="",AD524=0)),"",IF(AB524&lt;&gt;AD524,"Change",""))</f>
        <v/>
      </c>
      <c r="AD524" s="785"/>
      <c r="AE524" s="828"/>
    </row>
    <row r="525" spans="1:58" ht="11.25" customHeight="1">
      <c r="A525" s="878">
        <v>63</v>
      </c>
      <c r="L525" s="981" t="s">
        <v>533</v>
      </c>
      <c r="X525" s="962" t="s">
        <v>533</v>
      </c>
      <c r="AA525" s="784" t="s">
        <v>739</v>
      </c>
      <c r="AB525" s="1494" t="s">
        <v>1304</v>
      </c>
      <c r="AC525" s="797" t="str">
        <f>IF(AND(OR(AB525="",AB525=0),OR(AD525="",AD525=0)),"",IF(AB525&lt;&gt;AD525,"Change",""))</f>
        <v/>
      </c>
      <c r="AD525" s="1510" t="str">
        <f>IF(OR(M1003=0,M1003=""),"",M1003)</f>
        <v>101.6 cm</v>
      </c>
      <c r="AE525" s="828" t="s">
        <v>446</v>
      </c>
    </row>
    <row r="526" spans="1:58" ht="11.25" customHeight="1">
      <c r="A526" s="878">
        <v>64</v>
      </c>
      <c r="L526" s="981" t="s">
        <v>533</v>
      </c>
      <c r="X526" s="962" t="s">
        <v>533</v>
      </c>
      <c r="AA526" s="784" t="s">
        <v>308</v>
      </c>
      <c r="AB526" s="1495" t="s">
        <v>292</v>
      </c>
      <c r="AC526" s="797" t="str">
        <f>IF(AND(OR(AB526="",AB526=0),OR(AD526="",AD526=0)),"",IF(AB526&lt;&gt;AD526,"Change",""))</f>
        <v/>
      </c>
      <c r="AD526" s="1501" t="str">
        <f>IF(OR(N1003=0,N1003=""),"",N1003)</f>
        <v>C</v>
      </c>
      <c r="AE526" s="828" t="s">
        <v>666</v>
      </c>
    </row>
    <row r="527" spans="1:58" ht="11.25" customHeight="1">
      <c r="A527" s="878">
        <v>65</v>
      </c>
      <c r="B527" s="64" t="str">
        <f t="array" ref="B527:C528">$B$65:$C$66</f>
        <v>Date:</v>
      </c>
      <c r="C527" s="1467">
        <v>43039</v>
      </c>
      <c r="D527" s="69"/>
      <c r="E527" s="200"/>
      <c r="F527" s="200"/>
      <c r="G527" s="200"/>
      <c r="H527" s="200"/>
      <c r="I527" s="717" t="str">
        <f t="array" ref="I527:J528">$I$65:$J$66</f>
        <v>Inspector:</v>
      </c>
      <c r="J527" s="565" t="str">
        <v>Eugene Mah</v>
      </c>
      <c r="L527" s="981" t="s">
        <v>533</v>
      </c>
      <c r="M527" s="200"/>
      <c r="N527" s="200"/>
      <c r="O527" s="200"/>
      <c r="P527" s="200"/>
      <c r="Q527" s="200"/>
      <c r="R527" s="200"/>
      <c r="S527" s="200"/>
      <c r="T527" s="200"/>
      <c r="U527" s="200"/>
      <c r="V527" s="200"/>
      <c r="W527" s="200"/>
      <c r="X527" s="962" t="s">
        <v>533</v>
      </c>
      <c r="AA527" s="784" t="s">
        <v>735</v>
      </c>
      <c r="AB527" s="1495">
        <v>80</v>
      </c>
      <c r="AC527" s="797" t="str">
        <f>IF(AND(OR(AB527="",AB527=0),OR(AD527="",AD527=0)),"",IF(AB527&lt;&gt;AD527,"Change",""))</f>
        <v/>
      </c>
      <c r="AD527" s="1510">
        <f>IF(OR(M1008=0,M1008=""),"",M1008)</f>
        <v>80</v>
      </c>
      <c r="AE527" s="828" t="s">
        <v>447</v>
      </c>
    </row>
    <row r="528" spans="1:58" ht="11.25" customHeight="1">
      <c r="A528" s="878">
        <v>66</v>
      </c>
      <c r="B528" s="64" t="str">
        <v>Room Number:</v>
      </c>
      <c r="C528" s="508" t="str">
        <v>Room 04 RT 127M - Tube 1</v>
      </c>
      <c r="D528" s="123"/>
      <c r="E528" s="200"/>
      <c r="F528" s="200"/>
      <c r="G528" s="200"/>
      <c r="H528" s="200"/>
      <c r="I528" s="717" t="str">
        <v>Survey ID:</v>
      </c>
      <c r="J528" s="1477">
        <v>1976</v>
      </c>
      <c r="L528" s="981" t="s">
        <v>533</v>
      </c>
      <c r="M528" s="200"/>
      <c r="N528" s="200"/>
      <c r="O528" s="200"/>
      <c r="P528" s="200"/>
      <c r="Q528" s="200"/>
      <c r="R528" s="200"/>
      <c r="S528" s="200"/>
      <c r="T528" s="200"/>
      <c r="U528" s="200"/>
      <c r="V528" s="200"/>
      <c r="W528" s="200"/>
      <c r="X528" s="962" t="s">
        <v>533</v>
      </c>
      <c r="AA528" s="784" t="s">
        <v>445</v>
      </c>
      <c r="AB528" s="1497">
        <v>7.8740157480314963</v>
      </c>
      <c r="AC528" s="797" t="str">
        <f>IF(AND(OR(AB528="",AB528=0),OR(AD528="",AD528=0)),"",IF(AB528&lt;&gt;AD528,"Change",""))</f>
        <v/>
      </c>
      <c r="AD528" s="1521">
        <f>IF(OR(N1008=0,N1008=""),"",N1008)</f>
        <v>7.8740157480314963</v>
      </c>
      <c r="AE528" s="828" t="s">
        <v>667</v>
      </c>
    </row>
    <row r="529" spans="1:31" ht="11.25" customHeight="1">
      <c r="A529" s="878">
        <v>1</v>
      </c>
      <c r="B529" s="67"/>
      <c r="C529" s="67"/>
      <c r="D529" s="67"/>
      <c r="E529" s="67"/>
      <c r="G529" s="67"/>
      <c r="H529" s="67"/>
      <c r="I529" s="67"/>
      <c r="J529" s="67"/>
      <c r="K529" s="165" t="str">
        <f>$F$2</f>
        <v>Medical University of South Carolina</v>
      </c>
      <c r="L529" s="981" t="s">
        <v>533</v>
      </c>
      <c r="M529" s="115"/>
      <c r="N529" s="67"/>
      <c r="O529" s="67"/>
      <c r="P529" s="67"/>
      <c r="Q529" s="67"/>
      <c r="S529" s="67"/>
      <c r="T529" s="67"/>
      <c r="U529" s="67"/>
      <c r="V529" s="67"/>
      <c r="W529" s="165" t="str">
        <f>$F$2</f>
        <v>Medical University of South Carolina</v>
      </c>
      <c r="X529" s="962" t="s">
        <v>533</v>
      </c>
      <c r="AB529" s="1286"/>
      <c r="AD529" s="1286"/>
    </row>
    <row r="530" spans="1:31" ht="11.25" customHeight="1" thickBot="1">
      <c r="A530" s="878">
        <v>2</v>
      </c>
      <c r="B530" s="67"/>
      <c r="C530" s="67"/>
      <c r="D530" s="67"/>
      <c r="E530" s="67"/>
      <c r="F530" s="344" t="str">
        <f>$F$464</f>
        <v>Measurement Data</v>
      </c>
      <c r="G530" s="67"/>
      <c r="H530" s="67"/>
      <c r="I530" s="67"/>
      <c r="J530" s="67"/>
      <c r="K530" s="166" t="str">
        <f>$F$5</f>
        <v>Radiographic System Compliance Inspection</v>
      </c>
      <c r="L530" s="981" t="s">
        <v>533</v>
      </c>
      <c r="N530" s="104"/>
      <c r="O530" s="104"/>
      <c r="P530" s="3"/>
      <c r="Q530" s="67"/>
      <c r="R530" s="344" t="str">
        <f>$F$464</f>
        <v>Measurement Data</v>
      </c>
      <c r="S530" s="67"/>
      <c r="T530" s="67"/>
      <c r="U530" s="67"/>
      <c r="V530" s="67"/>
      <c r="W530" s="166" t="str">
        <f>$F$5</f>
        <v>Radiographic System Compliance Inspection</v>
      </c>
      <c r="X530" s="962" t="s">
        <v>533</v>
      </c>
      <c r="AA530" s="979" t="s">
        <v>458</v>
      </c>
      <c r="AB530" s="710"/>
      <c r="AC530" s="797" t="str">
        <f>IF(AND(OR(AB530="",AB530=0),OR(AD530="",AD530=0)),"",IF(AB530&lt;&gt;AD530,"Change",""))</f>
        <v/>
      </c>
      <c r="AD530" s="785"/>
      <c r="AE530" s="828"/>
    </row>
    <row r="531" spans="1:31" ht="11.25" customHeight="1" thickTop="1" thickBot="1">
      <c r="A531" s="878">
        <v>3</v>
      </c>
      <c r="B531" s="93"/>
      <c r="C531" s="76"/>
      <c r="D531" s="76"/>
      <c r="E531" s="76"/>
      <c r="F531" s="259"/>
      <c r="G531" s="76"/>
      <c r="H531" s="76"/>
      <c r="I531" s="76"/>
      <c r="J531" s="76"/>
      <c r="K531" s="94"/>
      <c r="L531" s="981" t="s">
        <v>533</v>
      </c>
      <c r="M531" s="93"/>
      <c r="N531" s="76"/>
      <c r="O531" s="76"/>
      <c r="P531" s="76"/>
      <c r="Q531" s="76"/>
      <c r="R531" s="76"/>
      <c r="S531" s="76"/>
      <c r="T531" s="76"/>
      <c r="U531" s="1205"/>
      <c r="V531" s="76"/>
      <c r="W531" s="94"/>
      <c r="X531" s="962" t="s">
        <v>533</v>
      </c>
      <c r="AA531" s="784" t="s">
        <v>739</v>
      </c>
      <c r="AB531" s="1494" t="s">
        <v>1304</v>
      </c>
      <c r="AC531" s="797" t="str">
        <f>IF(AND(OR(AB531="",AB531=0),OR(AD531="",AD531=0)),"",IF(AB531&lt;&gt;AD531,"Change",""))</f>
        <v/>
      </c>
      <c r="AD531" s="1509" t="str">
        <f>IF(OR(Q1063=0,Q1063=""),"",Q1063)</f>
        <v>101.6 cm</v>
      </c>
      <c r="AE531" s="828" t="s">
        <v>453</v>
      </c>
    </row>
    <row r="532" spans="1:31" ht="11.25" customHeight="1" thickTop="1" thickBot="1">
      <c r="A532" s="878">
        <v>4</v>
      </c>
      <c r="B532" s="159"/>
      <c r="C532" s="67"/>
      <c r="D532" s="67"/>
      <c r="E532" s="67"/>
      <c r="F532" s="248" t="s">
        <v>566</v>
      </c>
      <c r="G532" s="274"/>
      <c r="H532" s="765"/>
      <c r="I532" s="766"/>
      <c r="J532" s="767" t="s">
        <v>715</v>
      </c>
      <c r="K532" s="768" t="str">
        <f>IF(R416=1,"NA",R416)</f>
        <v>NA</v>
      </c>
      <c r="L532" s="981" t="s">
        <v>533</v>
      </c>
      <c r="M532" s="159"/>
      <c r="P532" s="1414" t="str">
        <f>IF(M409=2,"**SKIP**","**TEST**")</f>
        <v>**TEST**</v>
      </c>
      <c r="R532" s="1208" t="s">
        <v>415</v>
      </c>
      <c r="W532" s="85"/>
      <c r="X532" s="962" t="s">
        <v>533</v>
      </c>
      <c r="AA532" s="784" t="s">
        <v>308</v>
      </c>
      <c r="AB532" s="1495" t="s">
        <v>292</v>
      </c>
      <c r="AC532" s="797" t="str">
        <f>IF(AND(OR(AB532="",AB532=0),OR(AD532="",AD532=0)),"",IF(AB532&lt;&gt;AD532,"Change",""))</f>
        <v/>
      </c>
      <c r="AD532" s="1522" t="str">
        <f>IF(OR(Q1064=0,Q1064=""),"",Q1064)</f>
        <v>C</v>
      </c>
      <c r="AE532" s="828" t="s">
        <v>454</v>
      </c>
    </row>
    <row r="533" spans="1:31" ht="11.25" customHeight="1" thickTop="1">
      <c r="A533" s="878">
        <v>5</v>
      </c>
      <c r="B533" s="159"/>
      <c r="C533" s="67"/>
      <c r="D533" s="67"/>
      <c r="E533" s="67"/>
      <c r="F533" s="67"/>
      <c r="G533" s="769"/>
      <c r="H533" s="770" t="s">
        <v>717</v>
      </c>
      <c r="I533" s="771"/>
      <c r="J533" s="772"/>
      <c r="K533" s="773"/>
      <c r="L533" s="981" t="s">
        <v>533</v>
      </c>
      <c r="M533" s="466" t="s">
        <v>734</v>
      </c>
      <c r="N533" s="67"/>
      <c r="O533" s="67"/>
      <c r="P533" s="67"/>
      <c r="Q533" s="67"/>
      <c r="R533" s="67"/>
      <c r="S533" s="848" t="s">
        <v>419</v>
      </c>
      <c r="T533" s="67"/>
      <c r="U533" s="847"/>
      <c r="V533" s="67"/>
      <c r="W533" s="630"/>
      <c r="X533" s="962" t="s">
        <v>533</v>
      </c>
      <c r="AA533" s="784" t="s">
        <v>735</v>
      </c>
      <c r="AB533" s="1495">
        <v>80</v>
      </c>
      <c r="AC533" s="797" t="str">
        <f>IF(AND(OR(AB533="",AB533=0),OR(AD533="",AD533=0)),"",IF(AB533&lt;&gt;AD533,"Change",""))</f>
        <v/>
      </c>
      <c r="AD533" s="1510">
        <f>IF(OR(Q1065=0,Q1065=""),"",Q1065)</f>
        <v>80</v>
      </c>
      <c r="AE533" s="828" t="s">
        <v>455</v>
      </c>
    </row>
    <row r="534" spans="1:31" ht="11.25" customHeight="1" thickBot="1">
      <c r="A534" s="878">
        <v>6</v>
      </c>
      <c r="B534" s="250"/>
      <c r="C534" s="60"/>
      <c r="D534" s="60"/>
      <c r="E534" s="60"/>
      <c r="F534" s="60"/>
      <c r="G534" s="465"/>
      <c r="H534" s="774" t="s">
        <v>719</v>
      </c>
      <c r="I534" s="775"/>
      <c r="J534" s="776"/>
      <c r="K534" s="777"/>
      <c r="L534" s="981" t="s">
        <v>533</v>
      </c>
      <c r="M534" s="159"/>
      <c r="N534" s="67"/>
      <c r="O534" s="67"/>
      <c r="P534" s="67"/>
      <c r="Q534" s="67"/>
      <c r="R534" s="67"/>
      <c r="S534" s="848" t="s">
        <v>420</v>
      </c>
      <c r="T534" s="848"/>
      <c r="U534" s="847"/>
      <c r="V534" s="67"/>
      <c r="W534" s="630"/>
      <c r="X534" s="962" t="s">
        <v>533</v>
      </c>
      <c r="AA534" s="784" t="s">
        <v>445</v>
      </c>
      <c r="AB534" s="1497">
        <v>7.8740157480314963</v>
      </c>
      <c r="AC534" s="797" t="str">
        <f>IF(AND(OR(AB534="",AB534=0),OR(AD534="",AD534=0)),"",IF(AB534&lt;&gt;AD534,"Change",""))</f>
        <v/>
      </c>
      <c r="AD534" s="1521">
        <f>IF(OR(Q1066=0,Q1066=""),"",Q1066)</f>
        <v>7.8740157480314963</v>
      </c>
      <c r="AE534" s="828" t="s">
        <v>456</v>
      </c>
    </row>
    <row r="535" spans="1:31" ht="11.25" customHeight="1" thickTop="1" thickBot="1">
      <c r="A535" s="878">
        <v>9</v>
      </c>
      <c r="B535" s="395" t="s">
        <v>720</v>
      </c>
      <c r="C535" s="465"/>
      <c r="D535" s="67"/>
      <c r="E535" s="160" t="s">
        <v>721</v>
      </c>
      <c r="F535" s="160"/>
      <c r="G535" s="60" t="s">
        <v>697</v>
      </c>
      <c r="H535" s="762"/>
      <c r="I535" s="763"/>
      <c r="J535" s="778" t="s">
        <v>722</v>
      </c>
      <c r="K535" s="764" t="str">
        <f>IF(M421="","NA",M421&amp;" cm")</f>
        <v>4.7 cm</v>
      </c>
      <c r="L535" s="981" t="s">
        <v>533</v>
      </c>
      <c r="M535" s="159"/>
      <c r="N535" s="67"/>
      <c r="O535" s="160" t="s">
        <v>721</v>
      </c>
      <c r="P535" s="160"/>
      <c r="Q535" s="67"/>
      <c r="R535" s="60" t="s">
        <v>697</v>
      </c>
      <c r="S535" s="204"/>
      <c r="T535" s="849">
        <v>2</v>
      </c>
      <c r="U535" s="60"/>
      <c r="V535" s="67"/>
      <c r="W535" s="976" t="s">
        <v>732</v>
      </c>
      <c r="X535" s="962" t="s">
        <v>533</v>
      </c>
      <c r="AB535" s="1286"/>
      <c r="AD535" s="1286"/>
    </row>
    <row r="536" spans="1:31" ht="11.25" customHeight="1" thickTop="1" thickBot="1">
      <c r="A536" s="878">
        <v>8</v>
      </c>
      <c r="B536" s="159"/>
      <c r="C536" s="67"/>
      <c r="D536" s="67"/>
      <c r="E536" s="197" t="s">
        <v>724</v>
      </c>
      <c r="F536" s="198"/>
      <c r="G536" s="188" t="s">
        <v>725</v>
      </c>
      <c r="H536" s="60"/>
      <c r="I536" s="60"/>
      <c r="J536" s="60"/>
      <c r="K536" s="83"/>
      <c r="L536" s="981" t="s">
        <v>533</v>
      </c>
      <c r="M536" s="159"/>
      <c r="N536" s="67"/>
      <c r="O536" s="197" t="s">
        <v>724</v>
      </c>
      <c r="P536" s="198"/>
      <c r="Q536" s="67"/>
      <c r="R536" s="145" t="s">
        <v>725</v>
      </c>
      <c r="S536" s="204"/>
      <c r="T536" s="60"/>
      <c r="U536" s="60"/>
      <c r="V536" s="67"/>
      <c r="W536" s="977" t="s">
        <v>733</v>
      </c>
      <c r="X536" s="962" t="s">
        <v>533</v>
      </c>
      <c r="AA536" s="979" t="s">
        <v>459</v>
      </c>
      <c r="AB536" s="710"/>
      <c r="AC536" s="797" t="str">
        <f>IF(AND(OR(AB536="",AB536=0),OR(AD536="",AD536=0)),"",IF(AB536&lt;&gt;AD536,"Change",""))</f>
        <v/>
      </c>
      <c r="AD536" s="785"/>
      <c r="AE536" s="828"/>
    </row>
    <row r="537" spans="1:31" ht="11.25" customHeight="1" thickBot="1">
      <c r="A537" s="878">
        <v>9</v>
      </c>
      <c r="B537" s="159"/>
      <c r="C537" s="67"/>
      <c r="D537" s="67"/>
      <c r="E537" s="190" t="str">
        <f>IF(O537="","",O537)</f>
        <v/>
      </c>
      <c r="F537" s="191"/>
      <c r="G537" s="199" t="str">
        <f>IF(R537="","",R537)</f>
        <v>TBD</v>
      </c>
      <c r="H537" s="60"/>
      <c r="I537" s="51" t="s">
        <v>698</v>
      </c>
      <c r="J537" s="179" t="str">
        <f>IF(U537="","",U537)</f>
        <v>TBD</v>
      </c>
      <c r="K537" s="83"/>
      <c r="L537" s="981" t="s">
        <v>533</v>
      </c>
      <c r="M537" s="159"/>
      <c r="N537" s="67"/>
      <c r="O537" s="1675"/>
      <c r="P537" s="1676"/>
      <c r="Q537" s="1027"/>
      <c r="R537" s="1232" t="str">
        <f>IF(OR($M$409&lt;&gt;1,$O$537="NA"),"NA",IF(OR($M$420="",$M$420=0,$M$421="",$M$421=0,$O$537=""),"TBD",(180/PI())*ATAN(($O$537/152)*IF($T$535=1,IF($M$410=1,1,($M$420/($M$420+$M$421))),IF($M$410=1,(($M$420-15.2)/$M$420),((($M$420+$M$421)-(15.2+$M$421))/($M$420+$M$421)))))))</f>
        <v>TBD</v>
      </c>
      <c r="S537" s="204"/>
      <c r="T537" s="1076" t="s">
        <v>698</v>
      </c>
      <c r="U537" s="1056" t="str">
        <f>IF($R$537="NA","NA",IF($R$537="TBD","TBD",IF($R$537&lt;=2,"YES","NO")))</f>
        <v>TBD</v>
      </c>
      <c r="V537" s="67"/>
      <c r="W537" s="85"/>
      <c r="X537" s="962" t="s">
        <v>533</v>
      </c>
      <c r="AA537" s="784" t="s">
        <v>739</v>
      </c>
      <c r="AB537" s="1494" t="s">
        <v>1305</v>
      </c>
      <c r="AC537" s="797" t="str">
        <f>IF(AND(OR(AB537="",AB537=0),OR(AD537="",AD537=0)),"",IF(AB537&lt;&gt;AD537,"Change",""))</f>
        <v/>
      </c>
      <c r="AD537" s="1522" t="str">
        <f>IF(OR(R1127=0,R1127=""),"",R1127)</f>
        <v>182.88 cm</v>
      </c>
      <c r="AE537" s="828" t="s">
        <v>449</v>
      </c>
    </row>
    <row r="538" spans="1:31" ht="11.25" customHeight="1">
      <c r="A538" s="878">
        <v>10</v>
      </c>
      <c r="B538" s="159"/>
      <c r="C538" s="67"/>
      <c r="D538" s="67"/>
      <c r="E538" s="60"/>
      <c r="F538" s="60"/>
      <c r="G538" s="60"/>
      <c r="H538" s="60"/>
      <c r="I538" s="60"/>
      <c r="J538" s="60"/>
      <c r="K538" s="83"/>
      <c r="L538" s="981" t="s">
        <v>533</v>
      </c>
      <c r="M538" s="159"/>
      <c r="N538" s="67"/>
      <c r="O538" s="60"/>
      <c r="P538" s="60"/>
      <c r="Q538" s="1024" t="s">
        <v>495</v>
      </c>
      <c r="R538" s="1198" t="str">
        <f>IF(OR(AB475=0,AB475=""),"",AB475)</f>
        <v/>
      </c>
      <c r="S538" s="60"/>
      <c r="T538" s="60"/>
      <c r="U538" s="60"/>
      <c r="V538" s="67"/>
      <c r="W538" s="85"/>
      <c r="X538" s="962" t="s">
        <v>533</v>
      </c>
      <c r="AA538" s="784" t="s">
        <v>308</v>
      </c>
      <c r="AB538" s="1495" t="s">
        <v>1306</v>
      </c>
      <c r="AC538" s="797" t="str">
        <f>IF(AND(OR(AB538="",AB538=0),OR(AD538="",AD538=0)),"",IF(AB538&lt;&gt;AD538,"Change",""))</f>
        <v/>
      </c>
      <c r="AD538" s="1510" t="str">
        <f>IF(OR(R1128=0,R1128=""),"",R1128)</f>
        <v>LR</v>
      </c>
      <c r="AE538" s="828" t="s">
        <v>450</v>
      </c>
    </row>
    <row r="539" spans="1:31" ht="11.25" customHeight="1">
      <c r="A539" s="878">
        <v>11</v>
      </c>
      <c r="B539" s="251" t="s">
        <v>699</v>
      </c>
      <c r="C539" s="119" t="s">
        <v>731</v>
      </c>
      <c r="D539" s="60"/>
      <c r="E539" s="60"/>
      <c r="F539" s="67"/>
      <c r="G539" s="67"/>
      <c r="H539" s="60"/>
      <c r="I539" s="60"/>
      <c r="J539" s="60"/>
      <c r="K539" s="83"/>
      <c r="L539" s="981" t="s">
        <v>533</v>
      </c>
      <c r="M539" s="159"/>
      <c r="N539" s="166" t="s">
        <v>699</v>
      </c>
      <c r="O539" s="119" t="s">
        <v>731</v>
      </c>
      <c r="P539" s="60"/>
      <c r="Q539" s="60"/>
      <c r="R539" s="62"/>
      <c r="S539" s="67"/>
      <c r="T539" s="60"/>
      <c r="U539" s="60"/>
      <c r="V539" s="60"/>
      <c r="W539" s="85"/>
      <c r="X539" s="962" t="s">
        <v>533</v>
      </c>
      <c r="AA539" s="784" t="s">
        <v>735</v>
      </c>
      <c r="AB539" s="1495">
        <v>80</v>
      </c>
      <c r="AC539" s="797" t="str">
        <f>IF(AND(OR(AB539="",AB539=0),OR(AD539="",AD539=0)),"",IF(AB539&lt;&gt;AD539,"Change",""))</f>
        <v/>
      </c>
      <c r="AD539" s="1510">
        <f>IF(OR(R1129=0,R1129=""),"",R1129)</f>
        <v>80</v>
      </c>
      <c r="AE539" s="828" t="s">
        <v>451</v>
      </c>
    </row>
    <row r="540" spans="1:31" ht="11.25" customHeight="1">
      <c r="A540" s="878">
        <v>12</v>
      </c>
      <c r="B540" s="159"/>
      <c r="C540" s="67"/>
      <c r="D540" s="67"/>
      <c r="E540" s="67"/>
      <c r="F540" s="67"/>
      <c r="G540" s="67"/>
      <c r="H540" s="67"/>
      <c r="I540" s="67"/>
      <c r="J540" s="67"/>
      <c r="K540" s="85"/>
      <c r="L540" s="981" t="s">
        <v>533</v>
      </c>
      <c r="M540" s="159"/>
      <c r="N540" s="67"/>
      <c r="O540" s="67"/>
      <c r="P540" s="67"/>
      <c r="Q540" s="67"/>
      <c r="R540" s="67"/>
      <c r="S540" s="67"/>
      <c r="T540" s="67"/>
      <c r="U540" s="67"/>
      <c r="V540" s="67"/>
      <c r="W540" s="85"/>
      <c r="X540" s="962" t="s">
        <v>533</v>
      </c>
      <c r="AA540" s="784" t="s">
        <v>445</v>
      </c>
      <c r="AB540" s="1497">
        <v>7.8740157480314963</v>
      </c>
      <c r="AC540" s="797" t="str">
        <f>IF(AND(OR(AB540="",AB540=0),OR(AD540="",AD540=0)),"",IF(AB540&lt;&gt;AD540,"Change",""))</f>
        <v/>
      </c>
      <c r="AD540" s="1521">
        <f>IF(OR(R1130=0,R1130=""),"",R1130)</f>
        <v>7.8740157480314963</v>
      </c>
      <c r="AE540" s="828" t="s">
        <v>452</v>
      </c>
    </row>
    <row r="541" spans="1:31" ht="11.25" customHeight="1">
      <c r="A541" s="878">
        <v>13</v>
      </c>
      <c r="B541" s="395" t="s">
        <v>734</v>
      </c>
      <c r="C541" s="261"/>
      <c r="D541" s="161"/>
      <c r="E541" s="123"/>
      <c r="F541" s="67"/>
      <c r="G541" s="67"/>
      <c r="H541" s="67"/>
      <c r="I541" s="67"/>
      <c r="J541" s="67"/>
      <c r="K541" s="85"/>
      <c r="L541" s="981" t="s">
        <v>533</v>
      </c>
      <c r="M541" s="466" t="s">
        <v>421</v>
      </c>
      <c r="N541" s="67"/>
      <c r="O541" s="67"/>
      <c r="P541" s="67"/>
      <c r="Q541" s="67"/>
      <c r="R541" s="67"/>
      <c r="S541" s="67"/>
      <c r="T541" s="1024" t="s">
        <v>495</v>
      </c>
      <c r="U541" s="1082" t="str">
        <f>IF(OR(AB114=0,AB114=""),"",AB114)</f>
        <v>`</v>
      </c>
      <c r="V541" s="1368"/>
      <c r="W541" s="85"/>
      <c r="X541" s="962" t="s">
        <v>533</v>
      </c>
      <c r="AB541" s="1286"/>
      <c r="AD541" s="1286"/>
    </row>
    <row r="542" spans="1:31" ht="11.25" customHeight="1">
      <c r="A542" s="878">
        <v>14</v>
      </c>
      <c r="B542" s="159"/>
      <c r="C542" s="67"/>
      <c r="D542" s="67"/>
      <c r="E542" s="67"/>
      <c r="F542" s="67"/>
      <c r="G542" s="67"/>
      <c r="H542" s="67"/>
      <c r="I542" s="67"/>
      <c r="J542" s="67"/>
      <c r="K542" s="85"/>
      <c r="L542" s="981" t="s">
        <v>533</v>
      </c>
      <c r="M542" s="159"/>
      <c r="N542" s="187" t="s">
        <v>735</v>
      </c>
      <c r="O542" s="1157">
        <f>IF(O543&lt;&gt;"",O543,IF(OR(AB111=0,AB111=""),"",AB111))</f>
        <v>80</v>
      </c>
      <c r="P542" s="187" t="s">
        <v>736</v>
      </c>
      <c r="Q542" s="1157" t="str">
        <f>IF(Q543&lt;&gt;"",Q543,IF(OR(AB112=0,AB112=""),"",AB112))</f>
        <v/>
      </c>
      <c r="R542" s="187" t="s">
        <v>737</v>
      </c>
      <c r="S542" s="1200" t="str">
        <f>IF(S543&lt;&gt;"",S543,IF(OR(AB113=0,AB113=""),"",AB113))</f>
        <v/>
      </c>
      <c r="T542" s="187" t="s">
        <v>738</v>
      </c>
      <c r="U542" s="1199" t="str">
        <f>IF(AND(OR(U543=0,U543=""),OR(Q542=0,Q542=""),OR(S542=0,S542=""),OR(U541=0,U541="")),0.5,IF(U543&lt;&gt;"","See below",IF(AND(Q542&lt;&gt;"",S542&lt;&gt;""),Q542*S542,U541)))</f>
        <v>`</v>
      </c>
      <c r="V542" s="67"/>
      <c r="W542" s="85"/>
      <c r="X542" s="962" t="s">
        <v>533</v>
      </c>
      <c r="AA542" s="979" t="s">
        <v>473</v>
      </c>
      <c r="AB542" s="710"/>
      <c r="AD542" s="1286"/>
    </row>
    <row r="543" spans="1:31" ht="11.25" customHeight="1">
      <c r="A543" s="878">
        <v>15</v>
      </c>
      <c r="B543" s="124" t="s">
        <v>735</v>
      </c>
      <c r="C543" s="61">
        <f>IF(O542="","",O542)</f>
        <v>80</v>
      </c>
      <c r="D543" s="187" t="s">
        <v>736</v>
      </c>
      <c r="E543" s="61" t="str">
        <f>IF($U$543&lt;&gt;"","",IF(Q542="","",Q542))</f>
        <v/>
      </c>
      <c r="F543" s="187" t="s">
        <v>737</v>
      </c>
      <c r="G543" s="61" t="str">
        <f>IF($U$543&lt;&gt;"","",IF(S542="","",S542))</f>
        <v/>
      </c>
      <c r="H543" s="187" t="s">
        <v>738</v>
      </c>
      <c r="I543" s="61" t="str">
        <f>IF(U542="","",IF(U543="",U542,U543))</f>
        <v>`</v>
      </c>
      <c r="J543" s="187" t="s">
        <v>739</v>
      </c>
      <c r="K543" s="240" t="str">
        <f>IF(U423="","",U423&amp;" "&amp;TBCM_IN)</f>
        <v>104.7 cm</v>
      </c>
      <c r="L543" s="981" t="s">
        <v>533</v>
      </c>
      <c r="M543" s="159"/>
      <c r="N543" s="1099" t="s">
        <v>111</v>
      </c>
      <c r="O543" s="1095">
        <v>80</v>
      </c>
      <c r="P543" s="1099" t="s">
        <v>111</v>
      </c>
      <c r="Q543" s="1095"/>
      <c r="R543" s="1099" t="s">
        <v>111</v>
      </c>
      <c r="S543" s="1098"/>
      <c r="T543" s="1207" t="s">
        <v>111</v>
      </c>
      <c r="U543" s="1206"/>
      <c r="V543" s="67"/>
      <c r="W543" s="85"/>
      <c r="X543" s="962" t="s">
        <v>533</v>
      </c>
      <c r="AA543" s="784" t="s">
        <v>739</v>
      </c>
      <c r="AB543" s="1494" t="s">
        <v>533</v>
      </c>
      <c r="AC543" s="797" t="str">
        <f>IF(AND(OR(AB543="",AB543=0),OR(AD543="",AD543=0)),"",IF(AB543&lt;&gt;AD543,"Change",""))</f>
        <v/>
      </c>
      <c r="AD543" s="1510" t="str">
        <f>IF(OR(M1201=0,M1201=""),"",M1201)</f>
        <v/>
      </c>
      <c r="AE543" s="802" t="s">
        <v>749</v>
      </c>
    </row>
    <row r="544" spans="1:31" ht="11.25" customHeight="1" thickBot="1">
      <c r="A544" s="878">
        <v>16</v>
      </c>
      <c r="B544" s="159"/>
      <c r="C544" s="67"/>
      <c r="D544" s="67"/>
      <c r="E544" s="67"/>
      <c r="F544" s="67"/>
      <c r="G544" s="67"/>
      <c r="H544" s="67"/>
      <c r="I544" s="67"/>
      <c r="J544" s="67"/>
      <c r="K544" s="85"/>
      <c r="L544" s="981" t="s">
        <v>533</v>
      </c>
      <c r="M544" s="141"/>
      <c r="N544" s="67"/>
      <c r="O544" s="67"/>
      <c r="P544" s="67"/>
      <c r="Q544" s="67"/>
      <c r="R544" s="67"/>
      <c r="S544" s="67"/>
      <c r="T544" s="67"/>
      <c r="U544" s="67"/>
      <c r="V544" s="67"/>
      <c r="W544" s="85"/>
      <c r="X544" s="962" t="s">
        <v>533</v>
      </c>
      <c r="AA544" s="784" t="s">
        <v>308</v>
      </c>
      <c r="AB544" s="1495" t="s">
        <v>533</v>
      </c>
      <c r="AC544" s="797" t="str">
        <f>IF(AND(OR(AB544="",AB544=0),OR(AD544="",AD544=0)),"",IF(AB544&lt;&gt;AD544,"Change",""))</f>
        <v/>
      </c>
      <c r="AD544" s="1501" t="str">
        <f>IF(OR(N1201=0,N1201=""),"",N1201)</f>
        <v/>
      </c>
      <c r="AE544" s="802" t="s">
        <v>460</v>
      </c>
    </row>
    <row r="545" spans="1:33" ht="11.25" customHeight="1">
      <c r="A545" s="878">
        <v>17</v>
      </c>
      <c r="B545" s="159"/>
      <c r="C545" s="257" t="s">
        <v>741</v>
      </c>
      <c r="D545" s="135"/>
      <c r="E545" s="67"/>
      <c r="F545" s="67"/>
      <c r="G545" s="67"/>
      <c r="H545" s="67"/>
      <c r="I545" s="67"/>
      <c r="J545" s="60"/>
      <c r="K545" s="85"/>
      <c r="L545" s="981" t="s">
        <v>533</v>
      </c>
      <c r="M545" s="629"/>
      <c r="N545" s="700" t="s">
        <v>747</v>
      </c>
      <c r="O545" s="627"/>
      <c r="P545" s="627"/>
      <c r="Q545" s="1201" t="s">
        <v>741</v>
      </c>
      <c r="R545" s="1202"/>
      <c r="S545" s="67"/>
      <c r="T545" s="67"/>
      <c r="U545" s="67"/>
      <c r="V545" s="67"/>
      <c r="W545" s="85"/>
      <c r="X545" s="962" t="s">
        <v>533</v>
      </c>
      <c r="AA545" s="784" t="s">
        <v>735</v>
      </c>
      <c r="AB545" s="1495" t="s">
        <v>533</v>
      </c>
      <c r="AC545" s="797" t="str">
        <f>IF(AND(OR(AB545="",AB545=0),OR(AD545="",AD545=0)),"",IF(AB545&lt;&gt;AD545,"Change",""))</f>
        <v/>
      </c>
      <c r="AD545" s="1510" t="str">
        <f>IF(OR(M1206=0,M1206=""),"",M1206)</f>
        <v/>
      </c>
      <c r="AE545" s="802" t="s">
        <v>461</v>
      </c>
    </row>
    <row r="546" spans="1:33" ht="11.25" customHeight="1" thickBot="1">
      <c r="A546" s="878">
        <v>18</v>
      </c>
      <c r="B546" s="159"/>
      <c r="C546" s="258" t="str">
        <f>"Distance ("&amp;TBCM_IN&amp;")"</f>
        <v>Distance (cm)</v>
      </c>
      <c r="D546" s="196"/>
      <c r="E546" s="67"/>
      <c r="F546" s="67"/>
      <c r="G546" s="67"/>
      <c r="H546" s="67"/>
      <c r="I546" s="197" t="s">
        <v>741</v>
      </c>
      <c r="J546" s="196"/>
      <c r="K546" s="85"/>
      <c r="L546" s="981" t="s">
        <v>533</v>
      </c>
      <c r="M546" s="887"/>
      <c r="N546" s="699" t="s">
        <v>750</v>
      </c>
      <c r="O546" s="627"/>
      <c r="P546" s="627"/>
      <c r="Q546" s="1203" t="str">
        <f>"Distance ("&amp;TBCM_IN&amp;")"</f>
        <v>Distance (cm)</v>
      </c>
      <c r="R546" s="1204"/>
      <c r="S546" s="67"/>
      <c r="T546" s="197" t="s">
        <v>741</v>
      </c>
      <c r="U546" s="196"/>
      <c r="V546" s="67"/>
      <c r="W546" s="85"/>
      <c r="X546" s="962" t="s">
        <v>533</v>
      </c>
      <c r="AA546" s="784" t="s">
        <v>445</v>
      </c>
      <c r="AB546" s="1497" t="s">
        <v>533</v>
      </c>
      <c r="AC546" s="797" t="str">
        <f>IF(AND(OR(AB546="",AB546=0),OR(AD546="",AD546=0)),"",IF(AB546&lt;&gt;AD546,"Change",""))</f>
        <v/>
      </c>
      <c r="AD546" s="1521" t="str">
        <f>IF(OR(N1206=0,N1206=""),"",N1206)</f>
        <v/>
      </c>
      <c r="AE546" s="802" t="s">
        <v>462</v>
      </c>
    </row>
    <row r="547" spans="1:33" ht="11.25" customHeight="1" thickBot="1">
      <c r="A547" s="878">
        <v>19</v>
      </c>
      <c r="B547" s="159"/>
      <c r="C547" s="254">
        <f>IF(M546&lt;&gt;"","NA",Q547)</f>
        <v>0</v>
      </c>
      <c r="D547" s="209"/>
      <c r="E547" s="67"/>
      <c r="F547" s="67"/>
      <c r="G547" s="67"/>
      <c r="H547" s="67"/>
      <c r="I547" s="255" t="s">
        <v>698</v>
      </c>
      <c r="J547" s="256" t="str">
        <f>U547</f>
        <v>TBD</v>
      </c>
      <c r="K547" s="85"/>
      <c r="L547" s="981" t="s">
        <v>533</v>
      </c>
      <c r="M547" s="887"/>
      <c r="N547" s="699" t="s">
        <v>756</v>
      </c>
      <c r="O547" s="627"/>
      <c r="P547" s="627"/>
      <c r="Q547" s="1690"/>
      <c r="R547" s="1691"/>
      <c r="S547" s="67"/>
      <c r="T547" s="1076" t="s">
        <v>698</v>
      </c>
      <c r="U547" s="1056" t="str">
        <f>IF(OR($Q$547="NA",$M$409=2),"NA",IF($M$546=1,"YES",IF($M$546=2,"NO",IF(Q547="","TBD",IF(TBCM_IN="cm",IF(Q547&gt;0.02*U423,"NO","YES"),IF(Q547&gt;0.02*U423,"NO","YES"))))))</f>
        <v>TBD</v>
      </c>
      <c r="V547" s="67"/>
      <c r="W547" s="85"/>
      <c r="X547" s="962" t="s">
        <v>533</v>
      </c>
      <c r="AB547" s="1286"/>
      <c r="AD547" s="1286"/>
    </row>
    <row r="548" spans="1:33" ht="11.25" customHeight="1" thickBot="1">
      <c r="A548" s="878">
        <v>20</v>
      </c>
      <c r="B548" s="159"/>
      <c r="C548" s="123"/>
      <c r="D548" s="67"/>
      <c r="E548" s="67"/>
      <c r="F548" s="67"/>
      <c r="G548" s="67"/>
      <c r="H548" s="67"/>
      <c r="I548" s="43"/>
      <c r="J548" s="67"/>
      <c r="K548" s="85"/>
      <c r="L548" s="981" t="s">
        <v>533</v>
      </c>
      <c r="M548" s="887"/>
      <c r="N548" s="699" t="s">
        <v>758</v>
      </c>
      <c r="O548" s="627"/>
      <c r="P548" s="627"/>
      <c r="Q548" s="1079" t="s">
        <v>495</v>
      </c>
      <c r="R548" s="1349">
        <f>IF(OR(AB476=0,AB476=""),"",AB476)</f>
        <v>0.3</v>
      </c>
      <c r="S548" s="67"/>
      <c r="T548" s="67"/>
      <c r="U548" s="67"/>
      <c r="V548" s="67"/>
      <c r="W548" s="85"/>
      <c r="X548" s="962" t="s">
        <v>533</v>
      </c>
      <c r="AA548" s="979" t="s">
        <v>472</v>
      </c>
      <c r="AB548" s="710"/>
      <c r="AC548" s="797" t="str">
        <f>IF(AND(OR(AB548="",AB548=0),OR(AD548="",AD548=0)),"",IF(AB548&lt;&gt;AD548,"Change",""))</f>
        <v/>
      </c>
      <c r="AD548" s="785"/>
    </row>
    <row r="549" spans="1:33" ht="11.25" customHeight="1">
      <c r="A549" s="878">
        <v>21</v>
      </c>
      <c r="B549" s="251" t="s">
        <v>699</v>
      </c>
      <c r="C549" s="119" t="s">
        <v>746</v>
      </c>
      <c r="D549" s="67"/>
      <c r="E549" s="67"/>
      <c r="F549" s="67"/>
      <c r="G549" s="67"/>
      <c r="H549" s="67"/>
      <c r="I549" s="67"/>
      <c r="J549" s="67"/>
      <c r="K549" s="85"/>
      <c r="L549" s="981" t="s">
        <v>533</v>
      </c>
      <c r="M549" s="159"/>
      <c r="N549" s="166" t="s">
        <v>699</v>
      </c>
      <c r="O549" s="119" t="s">
        <v>35</v>
      </c>
      <c r="P549" s="67"/>
      <c r="Q549" s="67"/>
      <c r="R549" s="67"/>
      <c r="S549" s="67"/>
      <c r="T549" s="67"/>
      <c r="U549" s="67"/>
      <c r="V549" s="67"/>
      <c r="W549" s="85"/>
      <c r="X549" s="962" t="s">
        <v>533</v>
      </c>
      <c r="AA549" s="784" t="s">
        <v>739</v>
      </c>
      <c r="AB549" s="1494" t="s">
        <v>1307</v>
      </c>
      <c r="AC549" s="797" t="str">
        <f>IF(AND(OR(AB549="",AB549=0),OR(AD549="",AD549=0)),"",IF(AB549&lt;&gt;AD549,"Change",""))</f>
        <v/>
      </c>
      <c r="AD549" s="1509" t="str">
        <f>IF(OR(Q1261=0,Q1261=""),"",Q1261)</f>
        <v xml:space="preserve"> cm</v>
      </c>
      <c r="AE549" s="802" t="s">
        <v>463</v>
      </c>
    </row>
    <row r="550" spans="1:33" ht="11.25" customHeight="1" thickBot="1">
      <c r="A550" s="878">
        <v>22</v>
      </c>
      <c r="B550" s="159"/>
      <c r="C550" s="67"/>
      <c r="D550" s="67"/>
      <c r="E550" s="67"/>
      <c r="F550" s="67"/>
      <c r="G550" s="67"/>
      <c r="H550" s="67"/>
      <c r="I550" s="67"/>
      <c r="J550" s="67"/>
      <c r="K550" s="85"/>
      <c r="L550" s="981" t="s">
        <v>533</v>
      </c>
      <c r="M550" s="159"/>
      <c r="N550" s="67"/>
      <c r="O550" s="67"/>
      <c r="P550" s="67"/>
      <c r="Q550" s="67"/>
      <c r="R550" s="67"/>
      <c r="S550" s="67"/>
      <c r="T550" s="67"/>
      <c r="U550" s="67"/>
      <c r="V550" s="67"/>
      <c r="W550" s="85"/>
      <c r="X550" s="962" t="s">
        <v>533</v>
      </c>
      <c r="AA550" s="784" t="s">
        <v>308</v>
      </c>
      <c r="AB550" s="1495" t="s">
        <v>533</v>
      </c>
      <c r="AC550" s="797" t="str">
        <f>IF(AND(OR(AB550="",AB550=0),OR(AD550="",AD550=0)),"",IF(AB550&lt;&gt;AD550,"Change",""))</f>
        <v/>
      </c>
      <c r="AD550" s="1522" t="str">
        <f>IF(OR(Q1262=0,Q1262=""),"",Q1262)</f>
        <v/>
      </c>
      <c r="AE550" s="802" t="s">
        <v>464</v>
      </c>
    </row>
    <row r="551" spans="1:33" ht="11.25" customHeight="1">
      <c r="A551" s="878">
        <v>23</v>
      </c>
      <c r="B551" s="1360" t="s">
        <v>751</v>
      </c>
      <c r="C551" s="1361"/>
      <c r="D551" s="1362" t="s">
        <v>752</v>
      </c>
      <c r="E551" s="1361"/>
      <c r="F551" s="1362" t="s">
        <v>753</v>
      </c>
      <c r="G551" s="1357"/>
      <c r="H551" s="233" t="s">
        <v>754</v>
      </c>
      <c r="I551" s="1355"/>
      <c r="J551" s="1356" t="s">
        <v>755</v>
      </c>
      <c r="K551" s="1367"/>
      <c r="L551" s="981" t="s">
        <v>533</v>
      </c>
      <c r="M551" s="331" t="s">
        <v>751</v>
      </c>
      <c r="N551" s="226"/>
      <c r="O551" s="330" t="s">
        <v>752</v>
      </c>
      <c r="P551" s="226"/>
      <c r="Q551" s="330" t="s">
        <v>753</v>
      </c>
      <c r="R551" s="332"/>
      <c r="S551" s="67"/>
      <c r="T551" s="280" t="s">
        <v>754</v>
      </c>
      <c r="U551" s="161"/>
      <c r="V551" s="133" t="s">
        <v>755</v>
      </c>
      <c r="W551" s="241"/>
      <c r="X551" s="962" t="s">
        <v>533</v>
      </c>
      <c r="AA551" s="784" t="s">
        <v>735</v>
      </c>
      <c r="AB551" s="1495" t="s">
        <v>533</v>
      </c>
      <c r="AC551" s="797" t="str">
        <f>IF(AND(OR(AB551="",AB551=0),OR(AD551="",AD551=0)),"",IF(AB551&lt;&gt;AD551,"Change",""))</f>
        <v/>
      </c>
      <c r="AD551" s="1510" t="str">
        <f>IF(OR(Q1263=0,Q1263=""),"",Q1263)</f>
        <v/>
      </c>
      <c r="AE551" s="802" t="s">
        <v>465</v>
      </c>
    </row>
    <row r="552" spans="1:33" ht="11.25" customHeight="1" thickBot="1">
      <c r="A552" s="878">
        <v>24</v>
      </c>
      <c r="B552" s="213" t="str">
        <f>"("&amp;TBCM_IN&amp;")"</f>
        <v>(cm)</v>
      </c>
      <c r="C552" s="226"/>
      <c r="D552" s="225" t="str">
        <f>"("&amp;TBCM_IN&amp;")"</f>
        <v>(cm)</v>
      </c>
      <c r="E552" s="226"/>
      <c r="F552" s="225" t="str">
        <f>"("&amp;TBCM_IN&amp;")"</f>
        <v>(cm)</v>
      </c>
      <c r="G552" s="332"/>
      <c r="H552" s="218" t="s">
        <v>757</v>
      </c>
      <c r="I552" s="215"/>
      <c r="J552" s="219" t="s">
        <v>757</v>
      </c>
      <c r="K552" s="241"/>
      <c r="L552" s="981" t="s">
        <v>533</v>
      </c>
      <c r="M552" s="213" t="str">
        <f>"("&amp;TBCM_IN&amp;")"</f>
        <v>(cm)</v>
      </c>
      <c r="N552" s="226"/>
      <c r="O552" s="225" t="str">
        <f>"("&amp;TBCM_IN&amp;")"</f>
        <v>(cm)</v>
      </c>
      <c r="P552" s="226"/>
      <c r="Q552" s="225" t="str">
        <f>"("&amp;TBCM_IN&amp;")"</f>
        <v>(cm)</v>
      </c>
      <c r="R552" s="332"/>
      <c r="S552" s="67"/>
      <c r="T552" s="192" t="s">
        <v>757</v>
      </c>
      <c r="U552" s="215"/>
      <c r="V552" s="219" t="s">
        <v>757</v>
      </c>
      <c r="W552" s="241"/>
      <c r="X552" s="962" t="s">
        <v>533</v>
      </c>
      <c r="AA552" s="784" t="s">
        <v>445</v>
      </c>
      <c r="AB552" s="1497" t="s">
        <v>533</v>
      </c>
      <c r="AC552" s="797" t="str">
        <f>IF(AND(OR(AB552="",AB552=0),OR(AD552="",AD552=0)),"",IF(AB552&lt;&gt;AD552,"Change",""))</f>
        <v/>
      </c>
      <c r="AD552" s="1521" t="str">
        <f>IF(OR(Q1264=0,Q1264=""),"",Q1264)</f>
        <v/>
      </c>
      <c r="AE552" s="802" t="s">
        <v>466</v>
      </c>
    </row>
    <row r="553" spans="1:33" ht="11.25" customHeight="1" thickBot="1">
      <c r="A553" s="878">
        <v>25</v>
      </c>
      <c r="B553" s="214" t="s">
        <v>582</v>
      </c>
      <c r="C553" s="221" t="s">
        <v>583</v>
      </c>
      <c r="D553" s="222" t="s">
        <v>582</v>
      </c>
      <c r="E553" s="221" t="s">
        <v>583</v>
      </c>
      <c r="F553" s="222" t="s">
        <v>582</v>
      </c>
      <c r="G553" s="224" t="s">
        <v>583</v>
      </c>
      <c r="H553" s="220" t="s">
        <v>582</v>
      </c>
      <c r="I553" s="221" t="s">
        <v>583</v>
      </c>
      <c r="J553" s="222" t="s">
        <v>582</v>
      </c>
      <c r="K553" s="242" t="s">
        <v>583</v>
      </c>
      <c r="L553" s="981" t="s">
        <v>533</v>
      </c>
      <c r="M553" s="333" t="s">
        <v>582</v>
      </c>
      <c r="N553" s="334" t="s">
        <v>583</v>
      </c>
      <c r="O553" s="335" t="s">
        <v>582</v>
      </c>
      <c r="P553" s="334" t="s">
        <v>583</v>
      </c>
      <c r="Q553" s="335" t="s">
        <v>582</v>
      </c>
      <c r="R553" s="336" t="s">
        <v>583</v>
      </c>
      <c r="S553" s="759" t="str">
        <f t="array" ref="S553:S555">Gen_form!$R$414:$R$416</f>
        <v>CR</v>
      </c>
      <c r="T553" s="336" t="s">
        <v>582</v>
      </c>
      <c r="U553" s="334" t="s">
        <v>583</v>
      </c>
      <c r="V553" s="335" t="s">
        <v>582</v>
      </c>
      <c r="W553" s="339" t="s">
        <v>583</v>
      </c>
      <c r="X553" s="962" t="s">
        <v>533</v>
      </c>
      <c r="AB553" s="1286"/>
      <c r="AD553" s="1286"/>
    </row>
    <row r="554" spans="1:33" ht="11.25" customHeight="1" thickBot="1">
      <c r="A554" s="878">
        <v>26</v>
      </c>
      <c r="B554" s="530">
        <f t="shared" ref="B554:G555" si="59">IF(M554="","",M554)</f>
        <v>12.192</v>
      </c>
      <c r="C554" s="518">
        <f t="shared" si="59"/>
        <v>18.796000000000003</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533</v>
      </c>
      <c r="M554" s="1158">
        <f>IF(M560&lt;&gt;"",M560,IF(OR(AB117=0,AB117=""),"",AB117))</f>
        <v>12.192</v>
      </c>
      <c r="N554" s="1159">
        <f>IF(N560&lt;&gt;"",N560,IF(OR(AB118=0,AB118=""),"",AB118))</f>
        <v>18.796000000000003</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533</v>
      </c>
      <c r="AA554" s="979" t="s">
        <v>474</v>
      </c>
      <c r="AB554" s="710"/>
      <c r="AC554" s="797" t="str">
        <f>IF(AND(OR(AB554="",AB554=0),OR(AD554="",AD554=0)),"",IF(AB554&lt;&gt;AD554,"Change",""))</f>
        <v/>
      </c>
      <c r="AD554" s="785"/>
      <c r="AG554" s="1369"/>
    </row>
    <row r="555" spans="1:33" ht="11.25" customHeight="1" thickBot="1">
      <c r="A555" s="878">
        <v>27</v>
      </c>
      <c r="B555" s="530">
        <f t="shared" si="59"/>
        <v>25.4</v>
      </c>
      <c r="C555" s="518">
        <f t="shared" si="59"/>
        <v>30.48</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533</v>
      </c>
      <c r="M555" s="1158">
        <f>IF(M561&lt;&gt;"",M561,IF(OR(AB119=0,AB119=""),"",AB119))</f>
        <v>25.4</v>
      </c>
      <c r="N555" s="1159">
        <f>IF(N561&lt;&gt;"",N561,IF(OR(AB120=0,AB120=""),"",AB120))</f>
        <v>30.48</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533</v>
      </c>
      <c r="AA555" s="784" t="s">
        <v>739</v>
      </c>
      <c r="AB555" s="1494" t="s">
        <v>1307</v>
      </c>
      <c r="AC555" s="797" t="str">
        <f>IF(AND(OR(AB555="",AB555=0),OR(AD555="",AD555=0)),"",IF(AB555&lt;&gt;AD555,"Change",""))</f>
        <v/>
      </c>
      <c r="AD555" s="1522" t="str">
        <f>IF(OR(R1325=0,R1325=""),"",R1325)</f>
        <v xml:space="preserve"> cm</v>
      </c>
      <c r="AE555" s="802" t="s">
        <v>467</v>
      </c>
      <c r="AG555" s="1369"/>
    </row>
    <row r="556" spans="1:33" ht="11.25" customHeight="1" thickBot="1">
      <c r="A556" s="878">
        <v>28</v>
      </c>
      <c r="B556" s="211" t="s">
        <v>759</v>
      </c>
      <c r="C556" s="67"/>
      <c r="D556" s="67"/>
      <c r="E556" s="67"/>
      <c r="F556" s="67"/>
      <c r="G556" s="67"/>
      <c r="H556" s="67"/>
      <c r="I556" s="67"/>
      <c r="J556" s="67"/>
      <c r="K556" s="85"/>
      <c r="L556" s="981" t="s">
        <v>533</v>
      </c>
      <c r="M556" s="211" t="s">
        <v>759</v>
      </c>
      <c r="N556" s="123"/>
      <c r="O556" s="123"/>
      <c r="P556" s="123"/>
      <c r="Q556" s="123"/>
      <c r="R556" s="202"/>
      <c r="S556" s="123"/>
      <c r="T556" s="67"/>
      <c r="U556" s="67"/>
      <c r="V556" s="67"/>
      <c r="W556" s="85"/>
      <c r="X556" s="962" t="s">
        <v>533</v>
      </c>
      <c r="AA556" s="784" t="s">
        <v>308</v>
      </c>
      <c r="AB556" s="1495" t="s">
        <v>533</v>
      </c>
      <c r="AC556" s="797" t="str">
        <f>IF(AND(OR(AB556="",AB556=0),OR(AD556="",AD556=0)),"",IF(AB556&lt;&gt;AD556,"Change",""))</f>
        <v/>
      </c>
      <c r="AD556" s="1510" t="str">
        <f>IF(OR(R1326=0,R1326=""),"",R1326)</f>
        <v/>
      </c>
      <c r="AE556" s="802" t="s">
        <v>468</v>
      </c>
      <c r="AG556" s="1369"/>
    </row>
    <row r="557" spans="1:33" ht="11.25" customHeight="1" thickBot="1">
      <c r="A557" s="878">
        <v>29</v>
      </c>
      <c r="B557" s="212" t="s">
        <v>760</v>
      </c>
      <c r="C557" s="67"/>
      <c r="D557" s="67"/>
      <c r="E557" s="67"/>
      <c r="F557" s="67"/>
      <c r="G557" s="67"/>
      <c r="H557" s="234"/>
      <c r="I557" s="235" t="s">
        <v>761</v>
      </c>
      <c r="J557" s="233"/>
      <c r="K557" s="244"/>
      <c r="L557" s="981" t="s">
        <v>533</v>
      </c>
      <c r="M557" s="212" t="s">
        <v>760</v>
      </c>
      <c r="N557" s="67"/>
      <c r="O557" s="67"/>
      <c r="P557" s="67"/>
      <c r="Q557" s="67"/>
      <c r="R557" s="67"/>
      <c r="S557" s="67"/>
      <c r="T557" s="1150"/>
      <c r="U557" s="1677" t="s">
        <v>761</v>
      </c>
      <c r="V557" s="1677"/>
      <c r="W557" s="1149"/>
      <c r="X557" s="962" t="s">
        <v>533</v>
      </c>
      <c r="AA557" s="784" t="s">
        <v>735</v>
      </c>
      <c r="AB557" s="1495" t="s">
        <v>533</v>
      </c>
      <c r="AC557" s="797" t="str">
        <f>IF(AND(OR(AB557="",AB557=0),OR(AD557="",AD557=0)),"",IF(AB557&lt;&gt;AD557,"Change",""))</f>
        <v/>
      </c>
      <c r="AD557" s="1510" t="str">
        <f>IF(OR(R1327=0,R1327=""),"",R1327)</f>
        <v/>
      </c>
      <c r="AE557" s="802" t="s">
        <v>469</v>
      </c>
      <c r="AG557" s="1369"/>
    </row>
    <row r="558" spans="1:33" ht="11.25" customHeight="1">
      <c r="A558" s="878">
        <v>30</v>
      </c>
      <c r="B558" s="143"/>
      <c r="C558" s="123"/>
      <c r="D558" s="123"/>
      <c r="E558" s="67"/>
      <c r="F558" s="238" t="str">
        <f>"Indicated Field Size ("&amp;TBCM_IN&amp;")"</f>
        <v>Indicated Field Size (cm)</v>
      </c>
      <c r="G558" s="239"/>
      <c r="H558" s="219" t="s">
        <v>754</v>
      </c>
      <c r="I558" s="215"/>
      <c r="J558" s="217" t="s">
        <v>755</v>
      </c>
      <c r="K558" s="340"/>
      <c r="L558" s="981" t="s">
        <v>533</v>
      </c>
      <c r="M558" s="1035" t="s">
        <v>762</v>
      </c>
      <c r="N558" s="1030"/>
      <c r="O558" s="67"/>
      <c r="P558" s="67"/>
      <c r="Q558" s="67"/>
      <c r="R558" s="238" t="str">
        <f>"Indicated Field Size ("&amp;TBCM_IN&amp;")"</f>
        <v>Indicated Field Size (cm)</v>
      </c>
      <c r="S558" s="337"/>
      <c r="T558" s="1064" t="s">
        <v>754</v>
      </c>
      <c r="U558" s="1065"/>
      <c r="V558" s="1066" t="s">
        <v>755</v>
      </c>
      <c r="W558" s="1067"/>
      <c r="X558" s="962" t="s">
        <v>533</v>
      </c>
      <c r="AA558" s="784" t="s">
        <v>445</v>
      </c>
      <c r="AB558" s="1497" t="s">
        <v>533</v>
      </c>
      <c r="AC558" s="797" t="str">
        <f>IF(AND(OR(AB558="",AB558=0),OR(AD558="",AD558=0)),"",IF(AB558&lt;&gt;AD558,"Change",""))</f>
        <v/>
      </c>
      <c r="AD558" s="1521" t="str">
        <f>IF(OR(R1328=0,R1328=""),"",R1328)</f>
        <v/>
      </c>
      <c r="AE558" s="802" t="s">
        <v>470</v>
      </c>
      <c r="AG558" s="1369"/>
    </row>
    <row r="559" spans="1:33" ht="11.25" customHeight="1" thickBot="1">
      <c r="A559" s="878">
        <v>31</v>
      </c>
      <c r="B559" s="141"/>
      <c r="C559" s="62"/>
      <c r="D559" s="204"/>
      <c r="E559" s="67"/>
      <c r="F559" s="222" t="s">
        <v>582</v>
      </c>
      <c r="G559" s="221" t="s">
        <v>583</v>
      </c>
      <c r="H559" s="222" t="s">
        <v>582</v>
      </c>
      <c r="I559" s="221" t="s">
        <v>583</v>
      </c>
      <c r="J559" s="222" t="s">
        <v>582</v>
      </c>
      <c r="K559" s="242" t="s">
        <v>583</v>
      </c>
      <c r="L559" s="981" t="s">
        <v>533</v>
      </c>
      <c r="M559" s="333" t="s">
        <v>582</v>
      </c>
      <c r="N559" s="1032" t="s">
        <v>583</v>
      </c>
      <c r="O559" s="67"/>
      <c r="P559" s="67"/>
      <c r="Q559" s="67"/>
      <c r="R559" s="335" t="s">
        <v>582</v>
      </c>
      <c r="S559" s="334" t="s">
        <v>583</v>
      </c>
      <c r="T559" s="1068" t="s">
        <v>582</v>
      </c>
      <c r="U559" s="1069" t="s">
        <v>583</v>
      </c>
      <c r="V559" s="1068" t="s">
        <v>582</v>
      </c>
      <c r="W559" s="1070" t="s">
        <v>583</v>
      </c>
      <c r="X559" s="962" t="s">
        <v>533</v>
      </c>
      <c r="AB559" s="1236"/>
      <c r="AD559" s="1286"/>
      <c r="AG559" s="1369"/>
    </row>
    <row r="560" spans="1:33" ht="11.25" customHeight="1" thickBot="1">
      <c r="A560" s="878">
        <v>32</v>
      </c>
      <c r="B560" s="143"/>
      <c r="C560" s="123"/>
      <c r="D560" s="123"/>
      <c r="E560" s="67"/>
      <c r="F560" s="517">
        <f t="shared" ref="F560:K561" si="61">R560</f>
        <v>12.192</v>
      </c>
      <c r="G560" s="518">
        <f t="shared" si="61"/>
        <v>18.796000000000003</v>
      </c>
      <c r="H560" s="231" t="str">
        <f t="shared" si="61"/>
        <v>NA</v>
      </c>
      <c r="I560" s="236" t="str">
        <f t="shared" si="61"/>
        <v>NA</v>
      </c>
      <c r="J560" s="231" t="str">
        <f t="shared" si="61"/>
        <v>NA</v>
      </c>
      <c r="K560" s="154" t="str">
        <f t="shared" si="61"/>
        <v>NA</v>
      </c>
      <c r="L560" s="981" t="s">
        <v>533</v>
      </c>
      <c r="M560" s="1014"/>
      <c r="N560" s="1031"/>
      <c r="O560" s="67"/>
      <c r="P560" s="67"/>
      <c r="Q560" s="67"/>
      <c r="R560" s="517">
        <f>IF(M554=0,"",M554)</f>
        <v>12.192</v>
      </c>
      <c r="S560" s="518">
        <f>IF(N554=0,"",N554)</f>
        <v>18.796000000000003</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533</v>
      </c>
      <c r="AA560" s="979" t="s">
        <v>1146</v>
      </c>
      <c r="AB560" s="1236"/>
      <c r="AD560" s="1286"/>
    </row>
    <row r="561" spans="1:31" ht="11.25" customHeight="1" thickBot="1">
      <c r="A561" s="878">
        <v>33</v>
      </c>
      <c r="B561" s="159"/>
      <c r="C561" s="67"/>
      <c r="D561" s="67"/>
      <c r="E561" s="67"/>
      <c r="F561" s="519">
        <f t="shared" si="61"/>
        <v>25.4</v>
      </c>
      <c r="G561" s="520">
        <f t="shared" si="61"/>
        <v>30.48</v>
      </c>
      <c r="H561" s="232" t="str">
        <f t="shared" si="61"/>
        <v>NA</v>
      </c>
      <c r="I561" s="237" t="str">
        <f t="shared" si="61"/>
        <v>NA</v>
      </c>
      <c r="J561" s="232" t="str">
        <f t="shared" si="61"/>
        <v>NA</v>
      </c>
      <c r="K561" s="245" t="str">
        <f t="shared" si="61"/>
        <v>NA</v>
      </c>
      <c r="L561" s="981" t="s">
        <v>533</v>
      </c>
      <c r="M561" s="1014"/>
      <c r="N561" s="1015"/>
      <c r="O561" s="67"/>
      <c r="P561" s="67"/>
      <c r="Q561" s="67"/>
      <c r="R561" s="519">
        <f>IF(M555=0,"",M555)</f>
        <v>25.4</v>
      </c>
      <c r="S561" s="520">
        <f>IF(N555=0,"",N555)</f>
        <v>30.48</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533</v>
      </c>
      <c r="AA561" s="784"/>
      <c r="AB561" s="1498" t="s">
        <v>533</v>
      </c>
      <c r="AC561" s="797" t="str">
        <f t="shared" ref="AC561:AC566" si="62">IF(AND(OR(AB561="",AB561=0),OR(AD561="",AD561=0)),"",IF(AB561&lt;&gt;AD561,"Change",""))</f>
        <v/>
      </c>
      <c r="AD561" s="1515" t="str">
        <f t="shared" ref="AD561:AD566" si="63">IF(OR(T1="",T1=0),"",T1)</f>
        <v/>
      </c>
      <c r="AE561" s="802" t="s">
        <v>1147</v>
      </c>
    </row>
    <row r="562" spans="1:31" ht="11.25" customHeight="1">
      <c r="A562" s="878">
        <v>34</v>
      </c>
      <c r="B562" s="159"/>
      <c r="C562" s="67"/>
      <c r="D562" s="67"/>
      <c r="E562" s="67"/>
      <c r="F562" s="67"/>
      <c r="G562" s="67"/>
      <c r="H562" s="67"/>
      <c r="I562" s="67"/>
      <c r="J562" s="67"/>
      <c r="K562" s="85"/>
      <c r="L562" s="981" t="s">
        <v>533</v>
      </c>
      <c r="M562" s="159"/>
      <c r="N562" s="67"/>
      <c r="O562" s="67"/>
      <c r="P562" s="67"/>
      <c r="Q562" s="67"/>
      <c r="R562" s="67"/>
      <c r="S562" s="67"/>
      <c r="T562" s="67"/>
      <c r="U562" s="67"/>
      <c r="V562" s="67"/>
      <c r="W562" s="85"/>
      <c r="X562" s="962" t="s">
        <v>533</v>
      </c>
      <c r="AB562" s="1498" t="s">
        <v>533</v>
      </c>
      <c r="AC562" s="797" t="str">
        <f t="shared" si="62"/>
        <v/>
      </c>
      <c r="AD562" s="1515" t="str">
        <f t="shared" si="63"/>
        <v/>
      </c>
      <c r="AE562" s="802" t="s">
        <v>1148</v>
      </c>
    </row>
    <row r="563" spans="1:31" ht="11.25" customHeight="1">
      <c r="A563" s="878">
        <v>35</v>
      </c>
      <c r="B563" s="251" t="s">
        <v>699</v>
      </c>
      <c r="C563" s="246" t="s">
        <v>763</v>
      </c>
      <c r="D563" s="204"/>
      <c r="E563" s="67"/>
      <c r="F563" s="67"/>
      <c r="G563" s="204"/>
      <c r="H563" s="204"/>
      <c r="I563" s="204"/>
      <c r="J563" s="204"/>
      <c r="K563" s="205"/>
      <c r="L563" s="981" t="s">
        <v>533</v>
      </c>
      <c r="M563" s="141"/>
      <c r="N563" s="166" t="s">
        <v>699</v>
      </c>
      <c r="O563" s="246" t="s">
        <v>763</v>
      </c>
      <c r="P563" s="67"/>
      <c r="Q563" s="67"/>
      <c r="R563" s="122"/>
      <c r="S563" s="67"/>
      <c r="T563" s="67"/>
      <c r="U563" s="123"/>
      <c r="V563" s="123"/>
      <c r="W563" s="85"/>
      <c r="X563" s="962" t="s">
        <v>533</v>
      </c>
      <c r="AB563" s="1498" t="s">
        <v>533</v>
      </c>
      <c r="AC563" s="797" t="str">
        <f t="shared" si="62"/>
        <v/>
      </c>
      <c r="AD563" s="1515" t="str">
        <f t="shared" si="63"/>
        <v/>
      </c>
      <c r="AE563" s="802" t="s">
        <v>1149</v>
      </c>
    </row>
    <row r="564" spans="1:31" ht="11.25" customHeight="1">
      <c r="A564" s="878">
        <v>36</v>
      </c>
      <c r="B564" s="262"/>
      <c r="C564" s="119" t="s">
        <v>571</v>
      </c>
      <c r="D564" s="204"/>
      <c r="E564" s="67"/>
      <c r="F564" s="67"/>
      <c r="G564" s="204"/>
      <c r="H564" s="204"/>
      <c r="I564" s="204"/>
      <c r="J564" s="204"/>
      <c r="K564" s="205"/>
      <c r="L564" s="981" t="s">
        <v>533</v>
      </c>
      <c r="M564" s="143"/>
      <c r="N564" s="247"/>
      <c r="O564" s="119" t="s">
        <v>571</v>
      </c>
      <c r="P564" s="67"/>
      <c r="Q564" s="67"/>
      <c r="R564" s="62"/>
      <c r="S564" s="67"/>
      <c r="T564" s="67"/>
      <c r="U564" s="123"/>
      <c r="V564" s="123"/>
      <c r="W564" s="85"/>
      <c r="X564" s="962" t="s">
        <v>533</v>
      </c>
      <c r="AB564" s="1498" t="s">
        <v>533</v>
      </c>
      <c r="AC564" s="797" t="str">
        <f t="shared" si="62"/>
        <v/>
      </c>
      <c r="AD564" s="1515" t="str">
        <f t="shared" si="63"/>
        <v/>
      </c>
      <c r="AE564" s="802" t="s">
        <v>1150</v>
      </c>
    </row>
    <row r="565" spans="1:31" ht="11.25" customHeight="1">
      <c r="A565" s="878">
        <v>37</v>
      </c>
      <c r="B565" s="124" t="s">
        <v>681</v>
      </c>
      <c r="C565" s="1290" t="str">
        <f>IF(O565="","",IF(LEN(O565)&lt;=135,O565,IF(LEN(O565)&lt;=260,LEFT(O565,SEARCH(" ",O565,125)),LEFT(O565,SEARCH(" ",O565,130)))))</f>
        <v/>
      </c>
      <c r="D565" s="61"/>
      <c r="E565" s="61"/>
      <c r="F565" s="61"/>
      <c r="G565" s="61"/>
      <c r="H565" s="61"/>
      <c r="I565" s="61"/>
      <c r="J565" s="61"/>
      <c r="K565" s="100"/>
      <c r="L565" s="981" t="s">
        <v>533</v>
      </c>
      <c r="M565" s="159"/>
      <c r="N565" s="830" t="s">
        <v>681</v>
      </c>
      <c r="O565" s="1025" t="str">
        <f>IF(O567&lt;&gt;"",O567,IF(OR(AB433=0,AB433=""),"",AB433))</f>
        <v/>
      </c>
      <c r="P565" s="59"/>
      <c r="Q565" s="59"/>
      <c r="R565" s="59"/>
      <c r="S565" s="59"/>
      <c r="T565" s="59"/>
      <c r="U565" s="59"/>
      <c r="V565" s="59"/>
      <c r="W565" s="126"/>
      <c r="X565" s="962" t="s">
        <v>533</v>
      </c>
      <c r="AB565" s="1498" t="s">
        <v>533</v>
      </c>
      <c r="AC565" s="797" t="str">
        <f t="shared" si="62"/>
        <v/>
      </c>
      <c r="AD565" s="1515" t="str">
        <f t="shared" si="63"/>
        <v/>
      </c>
      <c r="AE565" s="802" t="s">
        <v>1151</v>
      </c>
    </row>
    <row r="566" spans="1:31" ht="11.25" customHeight="1">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533</v>
      </c>
      <c r="M566" s="125"/>
      <c r="N566" s="876" t="s">
        <v>373</v>
      </c>
      <c r="O566" s="128"/>
      <c r="P566" s="1289">
        <f>LEN(O565)</f>
        <v>0</v>
      </c>
      <c r="Q566" s="128"/>
      <c r="R566" s="128"/>
      <c r="S566" s="128"/>
      <c r="T566" s="128"/>
      <c r="U566" s="128"/>
      <c r="V566" s="128"/>
      <c r="W566" s="129"/>
      <c r="X566" s="962" t="s">
        <v>533</v>
      </c>
      <c r="AB566" s="1498" t="s">
        <v>533</v>
      </c>
      <c r="AC566" s="797" t="str">
        <f t="shared" si="62"/>
        <v/>
      </c>
      <c r="AD566" s="1515" t="str">
        <f t="shared" si="63"/>
        <v/>
      </c>
      <c r="AE566" s="802" t="s">
        <v>1152</v>
      </c>
    </row>
    <row r="567" spans="1:31" ht="11.25" customHeight="1">
      <c r="A567" s="878">
        <v>39</v>
      </c>
      <c r="B567" s="101"/>
      <c r="C567" s="1290" t="str">
        <f>IF(LEN(O565)&lt;=265,"",RIGHT(O565,LEN(O565)-SEARCH(" ",O565,255)))</f>
        <v/>
      </c>
      <c r="D567" s="61"/>
      <c r="E567" s="61"/>
      <c r="F567" s="61"/>
      <c r="G567" s="61"/>
      <c r="H567" s="61"/>
      <c r="I567" s="61"/>
      <c r="J567" s="61"/>
      <c r="K567" s="100"/>
      <c r="L567" s="981" t="s">
        <v>533</v>
      </c>
      <c r="M567" s="150"/>
      <c r="N567" s="1447" t="s">
        <v>748</v>
      </c>
      <c r="O567" s="1449"/>
      <c r="P567" s="128"/>
      <c r="Q567" s="128"/>
      <c r="R567" s="59"/>
      <c r="S567" s="59"/>
      <c r="T567" s="59"/>
      <c r="U567" s="59"/>
      <c r="V567" s="59"/>
      <c r="W567" s="126"/>
      <c r="X567" s="962" t="s">
        <v>533</v>
      </c>
    </row>
    <row r="568" spans="1:31" ht="11.25" customHeight="1">
      <c r="A568" s="878">
        <v>40</v>
      </c>
      <c r="B568" s="159"/>
      <c r="C568" s="67"/>
      <c r="D568" s="67"/>
      <c r="E568" s="67"/>
      <c r="F568" s="67"/>
      <c r="G568" s="67"/>
      <c r="H568" s="67"/>
      <c r="I568" s="67"/>
      <c r="J568" s="67"/>
      <c r="K568" s="85"/>
      <c r="L568" s="981" t="s">
        <v>533</v>
      </c>
      <c r="M568" s="159"/>
      <c r="N568" s="67"/>
      <c r="O568" s="67"/>
      <c r="P568" s="67"/>
      <c r="Q568" s="67"/>
      <c r="R568" s="67"/>
      <c r="S568" s="67"/>
      <c r="T568" s="67"/>
      <c r="U568" s="67"/>
      <c r="V568" s="67"/>
      <c r="W568" s="85"/>
      <c r="X568" s="962" t="s">
        <v>533</v>
      </c>
    </row>
    <row r="569" spans="1:31" ht="11.25" customHeight="1">
      <c r="A569" s="878">
        <v>41</v>
      </c>
      <c r="B569" s="395" t="s">
        <v>764</v>
      </c>
      <c r="C569" s="65"/>
      <c r="D569" s="65"/>
      <c r="E569" s="274"/>
      <c r="F569" s="67"/>
      <c r="G569" s="67"/>
      <c r="H569" s="67"/>
      <c r="I569" s="67"/>
      <c r="J569" s="67"/>
      <c r="K569" s="85"/>
      <c r="L569" s="981" t="s">
        <v>533</v>
      </c>
      <c r="M569" s="159"/>
      <c r="N569" s="67"/>
      <c r="O569" s="67"/>
      <c r="P569" s="67"/>
      <c r="Q569" s="67"/>
      <c r="R569" s="67"/>
      <c r="S569" s="67"/>
      <c r="T569" s="67"/>
      <c r="U569" s="67"/>
      <c r="V569" s="67"/>
      <c r="W569" s="85"/>
      <c r="X569" s="962" t="s">
        <v>533</v>
      </c>
    </row>
    <row r="570" spans="1:31" ht="11.25" customHeight="1">
      <c r="A570" s="878">
        <v>42</v>
      </c>
      <c r="B570" s="159"/>
      <c r="C570" s="65"/>
      <c r="D570" s="67"/>
      <c r="E570" s="67"/>
      <c r="F570" s="67"/>
      <c r="G570" s="67"/>
      <c r="H570" s="67"/>
      <c r="I570" s="67"/>
      <c r="J570" s="121" t="s">
        <v>538</v>
      </c>
      <c r="K570" s="85"/>
      <c r="L570" s="981" t="s">
        <v>533</v>
      </c>
      <c r="M570" s="395" t="s">
        <v>764</v>
      </c>
      <c r="N570" s="65"/>
      <c r="O570" s="65"/>
      <c r="P570" s="65"/>
      <c r="Q570" s="67"/>
      <c r="R570" s="67"/>
      <c r="S570" s="67"/>
      <c r="T570" s="67"/>
      <c r="U570" s="67"/>
      <c r="V570" s="67"/>
      <c r="W570" s="85"/>
      <c r="X570" s="962" t="s">
        <v>533</v>
      </c>
    </row>
    <row r="571" spans="1:31" ht="11.25" customHeight="1">
      <c r="A571" s="878">
        <v>43</v>
      </c>
      <c r="B571" s="159"/>
      <c r="C571" s="65"/>
      <c r="D571" s="67"/>
      <c r="E571" s="62" t="s">
        <v>765</v>
      </c>
      <c r="F571" s="67"/>
      <c r="G571" s="67"/>
      <c r="H571" s="67"/>
      <c r="I571" s="67"/>
      <c r="J571" s="158" t="str">
        <f>IF(M409=2,"NA",IF($M572="","TBD",IF($M572=1,"YES",IF($M572=3,"NA",""))))</f>
        <v>NA</v>
      </c>
      <c r="K571" s="139" t="str">
        <f>IF($M572=2,"NO","")</f>
        <v/>
      </c>
      <c r="L571" s="981" t="s">
        <v>533</v>
      </c>
      <c r="M571" s="264" t="s">
        <v>766</v>
      </c>
      <c r="N571" s="67"/>
      <c r="O571" s="67"/>
      <c r="P571" s="67"/>
      <c r="Q571" s="67"/>
      <c r="R571" s="67"/>
      <c r="S571" s="67"/>
      <c r="T571" s="67"/>
      <c r="U571" s="67"/>
      <c r="V571" s="67"/>
      <c r="W571" s="85"/>
      <c r="X571" s="962" t="s">
        <v>533</v>
      </c>
    </row>
    <row r="572" spans="1:31" ht="11.25" customHeight="1" thickBot="1">
      <c r="A572" s="878">
        <v>44</v>
      </c>
      <c r="B572" s="159"/>
      <c r="C572" s="67"/>
      <c r="D572" s="67"/>
      <c r="E572" s="67"/>
      <c r="F572" s="67"/>
      <c r="G572" s="67"/>
      <c r="H572" s="67"/>
      <c r="I572" s="67"/>
      <c r="J572" s="67"/>
      <c r="K572" s="85"/>
      <c r="L572" s="981" t="s">
        <v>533</v>
      </c>
      <c r="M572" s="1160">
        <f>IF(N572&lt;&gt;"",N572,IF(OR(AB122=0,AB122=""),"",AB122))</f>
        <v>3</v>
      </c>
      <c r="N572" s="1006"/>
      <c r="O572" s="62" t="s">
        <v>767</v>
      </c>
      <c r="P572" s="67"/>
      <c r="Q572" s="67"/>
      <c r="R572" s="67"/>
      <c r="S572" s="67"/>
      <c r="T572" s="67"/>
      <c r="U572" s="67"/>
      <c r="V572" s="67"/>
      <c r="W572" s="85"/>
      <c r="X572" s="962" t="s">
        <v>533</v>
      </c>
    </row>
    <row r="573" spans="1:31" ht="11.25" customHeight="1">
      <c r="A573" s="878">
        <v>45</v>
      </c>
      <c r="B573" s="1360" t="str">
        <f>"Cassette/Film Size ("&amp;TBCM_IN&amp;")"</f>
        <v>Cassette/Film Size (cm)</v>
      </c>
      <c r="C573" s="1361"/>
      <c r="D573" s="1362" t="str">
        <f>"Measured* Radiation ("&amp;TBCM_IN&amp;")"</f>
        <v>Measured* Radiation (cm)</v>
      </c>
      <c r="E573" s="1361"/>
      <c r="F573" s="1692" t="s">
        <v>757</v>
      </c>
      <c r="G573" s="1693"/>
      <c r="H573" s="1694"/>
      <c r="I573" s="1703" t="s">
        <v>761</v>
      </c>
      <c r="J573" s="1704"/>
      <c r="K573" s="1705"/>
      <c r="L573" s="981" t="s">
        <v>533</v>
      </c>
      <c r="M573" s="159"/>
      <c r="N573" s="329" t="str">
        <f>"Cassette/Film Size ("&amp;TBCM_IN&amp;")"</f>
        <v>Cassette/Film Size (cm)</v>
      </c>
      <c r="O573" s="226"/>
      <c r="P573" s="330" t="str">
        <f>"Measured* Radiation ("&amp;TBCM_IN&amp;")"</f>
        <v>Measured* Radiation (cm)</v>
      </c>
      <c r="Q573" s="226"/>
      <c r="R573" s="1683" t="s">
        <v>757</v>
      </c>
      <c r="S573" s="1684"/>
      <c r="T573" s="1685"/>
      <c r="U573" s="1680" t="s">
        <v>761</v>
      </c>
      <c r="V573" s="1681"/>
      <c r="W573" s="1682"/>
      <c r="X573" s="962" t="s">
        <v>533</v>
      </c>
      <c r="AA573" s="1236"/>
      <c r="AB573" s="1236"/>
      <c r="AC573" s="1286"/>
      <c r="AD573" s="1286"/>
    </row>
    <row r="574" spans="1:31" ht="11.25" customHeight="1" thickBot="1">
      <c r="A574" s="878">
        <v>46</v>
      </c>
      <c r="B574" s="214" t="s">
        <v>582</v>
      </c>
      <c r="C574" s="221" t="s">
        <v>583</v>
      </c>
      <c r="D574" s="222" t="s">
        <v>582</v>
      </c>
      <c r="E574" s="267" t="s">
        <v>583</v>
      </c>
      <c r="F574" s="222" t="s">
        <v>582</v>
      </c>
      <c r="G574" s="195" t="s">
        <v>583</v>
      </c>
      <c r="H574" s="195" t="s">
        <v>41</v>
      </c>
      <c r="I574" s="270" t="s">
        <v>582</v>
      </c>
      <c r="J574" s="195" t="s">
        <v>583</v>
      </c>
      <c r="K574" s="751" t="s">
        <v>41</v>
      </c>
      <c r="L574" s="981" t="s">
        <v>533</v>
      </c>
      <c r="M574" s="159"/>
      <c r="N574" s="336" t="s">
        <v>582</v>
      </c>
      <c r="O574" s="334" t="s">
        <v>583</v>
      </c>
      <c r="P574" s="335" t="s">
        <v>582</v>
      </c>
      <c r="Q574" s="338" t="s">
        <v>583</v>
      </c>
      <c r="R574" s="335" t="s">
        <v>582</v>
      </c>
      <c r="S574" s="336" t="s">
        <v>583</v>
      </c>
      <c r="T574" s="336" t="s">
        <v>41</v>
      </c>
      <c r="U574" s="1071" t="s">
        <v>582</v>
      </c>
      <c r="V574" s="1069" t="s">
        <v>583</v>
      </c>
      <c r="W574" s="1466" t="s">
        <v>41</v>
      </c>
      <c r="X574" s="962" t="s">
        <v>533</v>
      </c>
      <c r="AA574" s="1236"/>
      <c r="AB574" s="1236"/>
      <c r="AC574" s="1286"/>
      <c r="AD574" s="1286"/>
    </row>
    <row r="575" spans="1:31" ht="11.25" customHeight="1" thickBot="1">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533</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533</v>
      </c>
      <c r="AA575" s="1236"/>
      <c r="AB575" s="1236"/>
      <c r="AC575" s="1286"/>
      <c r="AD575" s="1286"/>
    </row>
    <row r="576" spans="1:31" ht="11.25" customHeight="1" thickBot="1">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533</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533</v>
      </c>
      <c r="AA576" s="1236"/>
      <c r="AB576" s="1236"/>
      <c r="AC576" s="1286"/>
      <c r="AD576" s="1286"/>
    </row>
    <row r="577" spans="1:30" ht="11.25" customHeight="1">
      <c r="A577" s="878">
        <v>49</v>
      </c>
      <c r="B577" s="159"/>
      <c r="C577" s="265" t="s">
        <v>759</v>
      </c>
      <c r="D577" s="67"/>
      <c r="E577" s="67"/>
      <c r="F577" s="67"/>
      <c r="G577" s="67"/>
      <c r="H577" s="67"/>
      <c r="I577" s="67"/>
      <c r="J577" s="67"/>
      <c r="K577" s="85"/>
      <c r="L577" s="981" t="s">
        <v>533</v>
      </c>
      <c r="M577" s="159"/>
      <c r="N577" s="265" t="s">
        <v>759</v>
      </c>
      <c r="O577" s="67"/>
      <c r="P577" s="67"/>
      <c r="Q577" s="67"/>
      <c r="R577" s="67"/>
      <c r="S577" s="67"/>
      <c r="T577" s="67"/>
      <c r="U577" s="67"/>
      <c r="V577" s="67"/>
      <c r="W577" s="85"/>
      <c r="X577" s="962" t="s">
        <v>533</v>
      </c>
      <c r="AA577" s="1236"/>
      <c r="AB577" s="1236"/>
      <c r="AC577" s="1286"/>
      <c r="AD577" s="1286"/>
    </row>
    <row r="578" spans="1:30" ht="11.25" customHeight="1">
      <c r="A578" s="878">
        <v>50</v>
      </c>
      <c r="B578" s="159"/>
      <c r="C578" s="67"/>
      <c r="D578" s="67"/>
      <c r="E578" s="67"/>
      <c r="F578" s="67"/>
      <c r="G578" s="67"/>
      <c r="H578" s="67"/>
      <c r="I578" s="67"/>
      <c r="J578" s="67"/>
      <c r="K578" s="85"/>
      <c r="L578" s="981" t="s">
        <v>533</v>
      </c>
      <c r="M578" s="1050" t="s">
        <v>748</v>
      </c>
      <c r="N578" s="1103"/>
      <c r="O578" s="1103"/>
      <c r="P578" s="1102"/>
      <c r="Q578" s="1102"/>
      <c r="R578" s="60"/>
      <c r="S578" s="1104"/>
      <c r="T578" s="60"/>
      <c r="U578" s="60"/>
      <c r="V578" s="60"/>
      <c r="W578" s="83"/>
      <c r="X578" s="962" t="s">
        <v>533</v>
      </c>
      <c r="AA578" s="1236"/>
      <c r="AB578" s="1236"/>
      <c r="AC578" s="1286"/>
      <c r="AD578" s="1286"/>
    </row>
    <row r="579" spans="1:30" ht="11.25" customHeight="1">
      <c r="A579" s="878">
        <v>51</v>
      </c>
      <c r="B579" s="251" t="s">
        <v>699</v>
      </c>
      <c r="C579" s="246" t="s">
        <v>573</v>
      </c>
      <c r="D579" s="122"/>
      <c r="E579" s="123"/>
      <c r="F579" s="123"/>
      <c r="G579" s="123"/>
      <c r="H579" s="123"/>
      <c r="I579" s="123"/>
      <c r="J579" s="158"/>
      <c r="K579" s="139" t="str">
        <f>IF(M581=2,"NO","")</f>
        <v/>
      </c>
      <c r="L579" s="981" t="s">
        <v>533</v>
      </c>
      <c r="M579" s="1051" t="s">
        <v>404</v>
      </c>
      <c r="N579" s="1103"/>
      <c r="O579" s="1103"/>
      <c r="P579" s="1102"/>
      <c r="Q579" s="1102"/>
      <c r="R579" s="67"/>
      <c r="S579" s="67"/>
      <c r="T579" s="67"/>
      <c r="U579" s="67"/>
      <c r="V579" s="67"/>
      <c r="W579" s="85"/>
      <c r="X579" s="962" t="s">
        <v>533</v>
      </c>
      <c r="AA579" s="1236"/>
      <c r="AB579" s="1236"/>
      <c r="AC579" s="1286"/>
      <c r="AD579" s="1286"/>
    </row>
    <row r="580" spans="1:30" ht="11.25" customHeight="1">
      <c r="A580" s="878">
        <v>52</v>
      </c>
      <c r="B580" s="159"/>
      <c r="C580" s="990" t="s">
        <v>48</v>
      </c>
      <c r="D580" s="67"/>
      <c r="E580" s="67"/>
      <c r="F580" s="67"/>
      <c r="G580" s="67"/>
      <c r="H580" s="67"/>
      <c r="I580" s="67"/>
      <c r="J580" s="67"/>
      <c r="K580" s="85"/>
      <c r="L580" s="981" t="s">
        <v>533</v>
      </c>
      <c r="M580" s="159"/>
      <c r="N580" s="166" t="s">
        <v>699</v>
      </c>
      <c r="O580" s="246" t="s">
        <v>49</v>
      </c>
      <c r="P580" s="67"/>
      <c r="Q580" s="67"/>
      <c r="R580" s="67"/>
      <c r="S580" s="67"/>
      <c r="T580" s="67"/>
      <c r="U580" s="67"/>
      <c r="V580" s="67"/>
      <c r="W580" s="85"/>
      <c r="X580" s="962" t="s">
        <v>533</v>
      </c>
      <c r="AA580" s="1236"/>
      <c r="AB580" s="1236"/>
      <c r="AC580" s="1286"/>
      <c r="AD580" s="1286"/>
    </row>
    <row r="581" spans="1:30" ht="11.25" customHeight="1">
      <c r="A581" s="878">
        <v>53</v>
      </c>
      <c r="B581" s="124" t="s">
        <v>681</v>
      </c>
      <c r="C581" s="1290" t="str">
        <f>IF(O582="","",IF(LEN(O582)&lt;=135,O582,IF(LEN(O582)&lt;=260,LEFT(O582,SEARCH(" ",O582,125)),LEFT(O582,SEARCH(" ",O582,130)))))</f>
        <v/>
      </c>
      <c r="D581" s="61"/>
      <c r="E581" s="61"/>
      <c r="F581" s="61"/>
      <c r="G581" s="61"/>
      <c r="H581" s="61"/>
      <c r="I581" s="61"/>
      <c r="J581" s="61"/>
      <c r="K581" s="100"/>
      <c r="L581" s="981" t="s">
        <v>533</v>
      </c>
      <c r="M581" s="275"/>
      <c r="N581" s="67"/>
      <c r="O581" s="990" t="s">
        <v>48</v>
      </c>
      <c r="P581" s="123"/>
      <c r="Q581" s="123"/>
      <c r="R581" s="62"/>
      <c r="S581" s="62"/>
      <c r="T581" s="62"/>
      <c r="U581" s="62"/>
      <c r="V581" s="62"/>
      <c r="W581" s="84"/>
      <c r="X581" s="962" t="s">
        <v>533</v>
      </c>
      <c r="AA581" s="1236"/>
      <c r="AB581" s="1236"/>
      <c r="AC581" s="1286"/>
      <c r="AD581" s="1286"/>
    </row>
    <row r="582" spans="1:30" ht="11.25" customHeight="1">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533</v>
      </c>
      <c r="M582" s="159"/>
      <c r="N582" s="830" t="s">
        <v>681</v>
      </c>
      <c r="O582" s="1025" t="str">
        <f>IF(O584&lt;&gt;"",O584,IF(OR(AB434=0,AB434=""),"",AB434))</f>
        <v/>
      </c>
      <c r="P582" s="59"/>
      <c r="Q582" s="59"/>
      <c r="R582" s="59"/>
      <c r="S582" s="59"/>
      <c r="T582" s="59"/>
      <c r="U582" s="59"/>
      <c r="V582" s="59"/>
      <c r="W582" s="126"/>
      <c r="X582" s="962" t="s">
        <v>533</v>
      </c>
      <c r="AA582" s="1236"/>
      <c r="AB582" s="1236"/>
      <c r="AC582" s="1286"/>
      <c r="AD582" s="1286"/>
    </row>
    <row r="583" spans="1:30" ht="11.25" customHeight="1">
      <c r="A583" s="878">
        <v>55</v>
      </c>
      <c r="B583" s="101"/>
      <c r="C583" s="1290" t="str">
        <f>IF(LEN(O582)&lt;=265,"",RIGHT(O582,LEN(O582)-SEARCH(" ",O582,255)))</f>
        <v/>
      </c>
      <c r="D583" s="61"/>
      <c r="E583" s="61"/>
      <c r="F583" s="61"/>
      <c r="G583" s="61"/>
      <c r="H583" s="61"/>
      <c r="I583" s="61"/>
      <c r="J583" s="61"/>
      <c r="K583" s="100"/>
      <c r="L583" s="981" t="s">
        <v>533</v>
      </c>
      <c r="M583" s="125"/>
      <c r="N583" s="876" t="s">
        <v>373</v>
      </c>
      <c r="O583" s="128"/>
      <c r="P583" s="1289">
        <f>LEN(O582)</f>
        <v>0</v>
      </c>
      <c r="Q583" s="128"/>
      <c r="R583" s="128"/>
      <c r="S583" s="128"/>
      <c r="T583" s="128"/>
      <c r="U583" s="128"/>
      <c r="V583" s="128"/>
      <c r="W583" s="129"/>
      <c r="X583" s="962" t="s">
        <v>533</v>
      </c>
      <c r="AA583" s="1236"/>
      <c r="AB583" s="1236"/>
      <c r="AC583" s="1286"/>
      <c r="AD583" s="1286"/>
    </row>
    <row r="584" spans="1:30" ht="11.25" customHeight="1">
      <c r="A584" s="878">
        <v>56</v>
      </c>
      <c r="B584" s="159"/>
      <c r="D584" s="67"/>
      <c r="E584" s="67"/>
      <c r="F584" s="67"/>
      <c r="G584" s="67"/>
      <c r="H584" s="67"/>
      <c r="I584" s="67"/>
      <c r="J584" s="67"/>
      <c r="K584" s="85"/>
      <c r="L584" s="981" t="s">
        <v>533</v>
      </c>
      <c r="M584" s="150"/>
      <c r="N584" s="1447" t="s">
        <v>748</v>
      </c>
      <c r="O584" s="1449"/>
      <c r="P584" s="67"/>
      <c r="Q584" s="67"/>
      <c r="R584" s="67"/>
      <c r="S584" s="67"/>
      <c r="T584" s="67"/>
      <c r="U584" s="67"/>
      <c r="V584" s="67"/>
      <c r="W584" s="85"/>
      <c r="X584" s="962" t="s">
        <v>533</v>
      </c>
    </row>
    <row r="585" spans="1:30" ht="11.25" customHeight="1">
      <c r="A585" s="878">
        <v>57</v>
      </c>
      <c r="B585" s="260" t="s">
        <v>536</v>
      </c>
      <c r="C585" s="133"/>
      <c r="D585" s="67"/>
      <c r="E585" s="261" t="s">
        <v>769</v>
      </c>
      <c r="F585" s="65"/>
      <c r="G585" s="47"/>
      <c r="H585" s="47"/>
      <c r="I585" s="47"/>
      <c r="J585" s="534" t="s">
        <v>538</v>
      </c>
      <c r="K585" s="535"/>
      <c r="L585" s="981" t="s">
        <v>533</v>
      </c>
      <c r="M585" s="159"/>
      <c r="N585" s="67"/>
      <c r="O585" s="67"/>
      <c r="P585" s="67"/>
      <c r="Q585" s="67"/>
      <c r="R585" s="67"/>
      <c r="S585" s="67"/>
      <c r="T585" s="67"/>
      <c r="U585" s="67"/>
      <c r="V585" s="67"/>
      <c r="W585" s="85"/>
      <c r="X585" s="962" t="s">
        <v>533</v>
      </c>
    </row>
    <row r="586" spans="1:30" ht="11.25" customHeight="1">
      <c r="A586" s="878">
        <v>58</v>
      </c>
      <c r="B586" s="134"/>
      <c r="C586" s="135"/>
      <c r="D586" s="122" t="s">
        <v>574</v>
      </c>
      <c r="E586" s="123"/>
      <c r="F586" s="123"/>
      <c r="G586" s="123"/>
      <c r="H586" s="123"/>
      <c r="I586" s="123"/>
      <c r="J586" s="158" t="str">
        <f>IF($M$409=2,"NA",IF($M588="","TBD",IF($M588=1,"YES",IF($M588=3,"NA",""))))</f>
        <v>TBD</v>
      </c>
      <c r="K586" s="139" t="str">
        <f>IF($M$409=2,"",IF($M588=2,"NO",""))</f>
        <v/>
      </c>
      <c r="L586" s="981" t="s">
        <v>533</v>
      </c>
      <c r="M586" s="159"/>
      <c r="N586" s="67"/>
      <c r="O586" s="67"/>
      <c r="P586" s="67"/>
      <c r="Q586" s="67"/>
      <c r="R586" s="67"/>
      <c r="S586" s="67"/>
      <c r="T586" s="67"/>
      <c r="U586" s="67"/>
      <c r="V586" s="67"/>
      <c r="W586" s="85"/>
      <c r="X586" s="962" t="s">
        <v>533</v>
      </c>
    </row>
    <row r="587" spans="1:30" ht="11.25" customHeight="1">
      <c r="A587" s="878">
        <v>59</v>
      </c>
      <c r="B587" s="125"/>
      <c r="C587" s="62"/>
      <c r="D587" s="62" t="s">
        <v>1225</v>
      </c>
      <c r="E587" s="67"/>
      <c r="F587" s="67"/>
      <c r="G587" s="67"/>
      <c r="H587" s="67"/>
      <c r="I587" s="67"/>
      <c r="J587" s="158" t="str">
        <f>IF($M$409=2,"NA",IF($M589="","TBD",IF($M589=1,"Stationary",IF($M589=2,"Reciprocating",IF($M589=3,"NA","")))))</f>
        <v>Stationary</v>
      </c>
      <c r="K587" s="139"/>
      <c r="L587" s="981" t="s">
        <v>533</v>
      </c>
      <c r="M587" s="264" t="s">
        <v>539</v>
      </c>
      <c r="N587" s="67"/>
      <c r="O587" s="274"/>
      <c r="P587" s="67"/>
      <c r="Q587" s="261" t="s">
        <v>769</v>
      </c>
      <c r="R587" s="65"/>
      <c r="S587" s="67"/>
      <c r="T587" s="67"/>
      <c r="U587" s="67"/>
      <c r="V587" s="67"/>
      <c r="W587" s="85"/>
      <c r="X587" s="962" t="s">
        <v>533</v>
      </c>
    </row>
    <row r="588" spans="1:30" ht="11.25" customHeight="1">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NA</v>
      </c>
      <c r="K588" s="139" t="str">
        <f>IF(OR($M$409=2,M589=1),"",IF(M590=2,"NO",""))</f>
        <v/>
      </c>
      <c r="L588" s="981" t="s">
        <v>533</v>
      </c>
      <c r="M588" s="887"/>
      <c r="N588" s="62"/>
      <c r="O588" s="122" t="s">
        <v>574</v>
      </c>
      <c r="P588" s="123"/>
      <c r="Q588" s="123"/>
      <c r="R588" s="123"/>
      <c r="S588" s="123"/>
      <c r="T588" s="123"/>
      <c r="U588" s="60"/>
      <c r="V588" s="60"/>
      <c r="W588" s="83"/>
      <c r="X588" s="962" t="s">
        <v>533</v>
      </c>
    </row>
    <row r="589" spans="1:30" ht="11.25" customHeight="1">
      <c r="A589" s="878">
        <v>61</v>
      </c>
      <c r="B589" s="124" t="s">
        <v>681</v>
      </c>
      <c r="C589" s="1290" t="str">
        <f>IF(O591="","",IF(LEN(O591)&lt;=135,O591,IF(LEN(O591)&lt;=260,LEFT(O591,SEARCH(" ",O591,125)),LEFT(O591,SEARCH(" ",O591,130)))))</f>
        <v/>
      </c>
      <c r="D589" s="502"/>
      <c r="E589" s="502"/>
      <c r="F589" s="502"/>
      <c r="G589" s="502"/>
      <c r="H589" s="502"/>
      <c r="I589" s="502"/>
      <c r="J589" s="502"/>
      <c r="K589" s="100"/>
      <c r="L589" s="981" t="s">
        <v>533</v>
      </c>
      <c r="M589" s="1162">
        <f>IF(N589&lt;&gt;"",N589,IF(OR(AB123=0,AB123=""),"",AB123))</f>
        <v>1</v>
      </c>
      <c r="N589" s="1006"/>
      <c r="O589" s="62" t="s">
        <v>770</v>
      </c>
      <c r="P589" s="67"/>
      <c r="R589" s="67"/>
      <c r="S589" s="67"/>
      <c r="T589" s="67"/>
      <c r="U589" s="67"/>
      <c r="V589" s="67"/>
      <c r="W589" s="85"/>
      <c r="X589" s="962" t="s">
        <v>533</v>
      </c>
    </row>
    <row r="590" spans="1:30" ht="11.25" customHeight="1">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533</v>
      </c>
      <c r="M590" s="887"/>
      <c r="N590" s="62"/>
      <c r="O590" s="62" t="str">
        <f>IF(M589=1,"","Radiographic image is free of grid lines.")</f>
        <v/>
      </c>
      <c r="P590" s="62"/>
      <c r="Q590" s="62"/>
      <c r="R590" s="62"/>
      <c r="S590" s="62"/>
      <c r="T590" s="62"/>
      <c r="U590" s="62"/>
      <c r="V590" s="62"/>
      <c r="W590" s="84"/>
      <c r="X590" s="962" t="s">
        <v>533</v>
      </c>
    </row>
    <row r="591" spans="1:30" ht="11.25" customHeight="1">
      <c r="A591" s="878">
        <v>63</v>
      </c>
      <c r="B591" s="159"/>
      <c r="C591" s="1290" t="str">
        <f>IF(LEN(O591)&lt;=265,"",RIGHT(O591,LEN(O591)-SEARCH(" ",O591,255)))</f>
        <v/>
      </c>
      <c r="D591" s="502"/>
      <c r="E591" s="502"/>
      <c r="F591" s="502"/>
      <c r="G591" s="502"/>
      <c r="H591" s="502"/>
      <c r="I591" s="502"/>
      <c r="J591" s="502"/>
      <c r="K591" s="85"/>
      <c r="L591" s="981" t="s">
        <v>533</v>
      </c>
      <c r="M591" s="159"/>
      <c r="N591" s="830" t="s">
        <v>681</v>
      </c>
      <c r="O591" s="1025" t="str">
        <f>IF(O593&lt;&gt;"",O593,IF(OR(AB435=0,AB435=""),"",AB435))</f>
        <v/>
      </c>
      <c r="P591" s="59"/>
      <c r="Q591" s="59"/>
      <c r="R591" s="59"/>
      <c r="S591" s="59"/>
      <c r="T591" s="59"/>
      <c r="U591" s="59"/>
      <c r="V591" s="59"/>
      <c r="W591" s="126"/>
      <c r="X591" s="962" t="s">
        <v>533</v>
      </c>
    </row>
    <row r="592" spans="1:30" ht="11.25" customHeight="1" thickBot="1">
      <c r="A592" s="878">
        <v>64</v>
      </c>
      <c r="B592" s="263"/>
      <c r="C592" s="185"/>
      <c r="D592" s="186"/>
      <c r="E592" s="186"/>
      <c r="F592" s="186"/>
      <c r="G592" s="186"/>
      <c r="H592" s="186"/>
      <c r="I592" s="186"/>
      <c r="J592" s="186"/>
      <c r="K592" s="88"/>
      <c r="L592" s="981" t="s">
        <v>533</v>
      </c>
      <c r="M592" s="125"/>
      <c r="N592" s="876" t="s">
        <v>373</v>
      </c>
      <c r="O592" s="128"/>
      <c r="P592" s="1289">
        <f>LEN(O591)</f>
        <v>0</v>
      </c>
      <c r="Q592" s="128"/>
      <c r="R592" s="128"/>
      <c r="S592" s="128"/>
      <c r="T592" s="128"/>
      <c r="U592" s="128"/>
      <c r="V592" s="128"/>
      <c r="W592" s="129"/>
      <c r="X592" s="962" t="s">
        <v>533</v>
      </c>
    </row>
    <row r="593" spans="1:24" ht="11.25" customHeight="1" thickTop="1">
      <c r="A593" s="878">
        <v>65</v>
      </c>
      <c r="B593" s="64" t="str">
        <f t="array" ref="B593:C594">$B$65:$C$66</f>
        <v>Date:</v>
      </c>
      <c r="C593" s="1467">
        <v>43039</v>
      </c>
      <c r="D593" s="69"/>
      <c r="E593" s="142"/>
      <c r="F593" s="142"/>
      <c r="G593" s="142"/>
      <c r="H593" s="142"/>
      <c r="I593" s="64" t="str">
        <f t="array" ref="I593:J594">$I$65:$J$66</f>
        <v>Inspector:</v>
      </c>
      <c r="J593" s="565" t="str">
        <v>Eugene Mah</v>
      </c>
      <c r="L593" s="981" t="s">
        <v>533</v>
      </c>
      <c r="M593" s="150"/>
      <c r="N593" s="1447" t="s">
        <v>748</v>
      </c>
      <c r="O593" s="1449"/>
      <c r="P593" s="128"/>
      <c r="Q593" s="128"/>
      <c r="R593" s="59"/>
      <c r="S593" s="59"/>
      <c r="T593" s="59"/>
      <c r="U593" s="59"/>
      <c r="V593" s="59"/>
      <c r="W593" s="126"/>
      <c r="X593" s="962" t="s">
        <v>533</v>
      </c>
    </row>
    <row r="594" spans="1:24" ht="11.25" customHeight="1" thickBot="1">
      <c r="A594" s="878">
        <v>66</v>
      </c>
      <c r="B594" s="64" t="str">
        <v>Room Number:</v>
      </c>
      <c r="C594" s="508" t="str">
        <v>Room 04 RT 127M - Tube 1</v>
      </c>
      <c r="D594" s="115"/>
      <c r="E594" s="142"/>
      <c r="F594" s="142"/>
      <c r="G594" s="142"/>
      <c r="H594" s="142"/>
      <c r="I594" s="64" t="str">
        <v>Survey ID:</v>
      </c>
      <c r="J594" s="1475">
        <v>1976</v>
      </c>
      <c r="L594" s="981" t="s">
        <v>533</v>
      </c>
      <c r="M594" s="168"/>
      <c r="N594" s="87"/>
      <c r="O594" s="87"/>
      <c r="P594" s="87"/>
      <c r="Q594" s="87"/>
      <c r="R594" s="87"/>
      <c r="S594" s="87"/>
      <c r="T594" s="87"/>
      <c r="U594" s="87"/>
      <c r="V594" s="87"/>
      <c r="W594" s="88"/>
      <c r="X594" s="962" t="s">
        <v>533</v>
      </c>
    </row>
    <row r="595" spans="1:24" ht="11.25" customHeight="1" thickTop="1">
      <c r="A595" s="878">
        <v>1</v>
      </c>
      <c r="B595" s="67"/>
      <c r="C595" s="67"/>
      <c r="D595" s="67"/>
      <c r="E595" s="67"/>
      <c r="G595" s="67"/>
      <c r="H595" s="67"/>
      <c r="I595" s="67"/>
      <c r="J595" s="67"/>
      <c r="K595" s="165" t="str">
        <f>$F$2</f>
        <v>Medical University of South Carolina</v>
      </c>
      <c r="L595" s="981" t="s">
        <v>533</v>
      </c>
      <c r="M595" s="115"/>
      <c r="N595" s="67"/>
      <c r="O595" s="67"/>
      <c r="P595" s="67"/>
      <c r="Q595" s="67"/>
      <c r="S595" s="67"/>
      <c r="T595" s="67"/>
      <c r="U595" s="67"/>
      <c r="V595" s="67"/>
      <c r="W595" s="165" t="str">
        <f>$F$2</f>
        <v>Medical University of South Carolina</v>
      </c>
      <c r="X595" s="962" t="s">
        <v>533</v>
      </c>
    </row>
    <row r="596" spans="1:24" ht="11.25" customHeight="1" thickBot="1">
      <c r="A596" s="878">
        <v>2</v>
      </c>
      <c r="B596" s="67"/>
      <c r="C596" s="67"/>
      <c r="D596" s="67"/>
      <c r="E596" s="67"/>
      <c r="F596" s="344" t="str">
        <f>$F$464</f>
        <v>Measurement Data</v>
      </c>
      <c r="G596" s="67"/>
      <c r="H596" s="67"/>
      <c r="I596" s="67"/>
      <c r="J596" s="67"/>
      <c r="K596" s="166" t="str">
        <f>$F$5</f>
        <v>Radiographic System Compliance Inspection</v>
      </c>
      <c r="L596" s="981" t="s">
        <v>533</v>
      </c>
      <c r="N596" s="104"/>
      <c r="O596" s="104"/>
      <c r="P596" s="3"/>
      <c r="Q596" s="67"/>
      <c r="R596" s="344" t="str">
        <f>$F$464</f>
        <v>Measurement Data</v>
      </c>
      <c r="S596" s="67"/>
      <c r="T596" s="67"/>
      <c r="U596" s="67"/>
      <c r="V596" s="67"/>
      <c r="W596" s="166" t="str">
        <f>$F$5</f>
        <v>Radiographic System Compliance Inspection</v>
      </c>
      <c r="X596" s="962" t="s">
        <v>533</v>
      </c>
    </row>
    <row r="597" spans="1:24" ht="11.25" customHeight="1" thickTop="1" thickBot="1">
      <c r="A597" s="878">
        <v>3</v>
      </c>
      <c r="L597" s="981" t="s">
        <v>533</v>
      </c>
      <c r="M597" s="93"/>
      <c r="N597" s="76"/>
      <c r="O597" s="76"/>
      <c r="P597" s="76"/>
      <c r="Q597" s="259"/>
      <c r="R597" s="76"/>
      <c r="S597" s="76"/>
      <c r="T597" s="76"/>
      <c r="U597" s="76"/>
      <c r="V597" s="76"/>
      <c r="W597" s="94"/>
      <c r="X597" s="962" t="s">
        <v>533</v>
      </c>
    </row>
    <row r="598" spans="1:24" ht="11.25" customHeight="1" thickTop="1" thickBot="1">
      <c r="A598" s="878">
        <v>4</v>
      </c>
      <c r="B598" s="93"/>
      <c r="C598" s="76"/>
      <c r="D598" s="76"/>
      <c r="E598" s="76"/>
      <c r="F598" s="259"/>
      <c r="G598" s="76"/>
      <c r="H598" s="76"/>
      <c r="I598" s="76"/>
      <c r="J598" s="76"/>
      <c r="K598" s="94"/>
      <c r="L598" s="981" t="s">
        <v>533</v>
      </c>
      <c r="M598" s="159"/>
      <c r="N598" s="67"/>
      <c r="O598" s="67"/>
      <c r="P598" s="1414" t="str">
        <f>IF(M434=2,"**SKIP**","**TEST**")</f>
        <v>**TEST**</v>
      </c>
      <c r="Q598" s="67"/>
      <c r="R598" s="1227" t="s">
        <v>426</v>
      </c>
      <c r="S598" s="67"/>
      <c r="T598" s="67"/>
      <c r="U598" s="67"/>
      <c r="V598" s="67"/>
      <c r="W598" s="85"/>
      <c r="X598" s="962" t="s">
        <v>533</v>
      </c>
    </row>
    <row r="599" spans="1:24" ht="11.25" customHeight="1">
      <c r="A599" s="878">
        <v>5</v>
      </c>
      <c r="B599" s="80"/>
      <c r="C599" s="115"/>
      <c r="D599" s="115"/>
      <c r="E599" s="115"/>
      <c r="F599" s="248" t="s">
        <v>578</v>
      </c>
      <c r="G599" s="115"/>
      <c r="H599" s="115"/>
      <c r="I599" s="115"/>
      <c r="J599" s="115"/>
      <c r="K599" s="100"/>
      <c r="L599" s="981" t="s">
        <v>533</v>
      </c>
      <c r="M599" s="159"/>
      <c r="N599" s="67"/>
      <c r="O599" s="67"/>
      <c r="P599" s="67"/>
      <c r="Q599" s="67"/>
      <c r="R599" s="67"/>
      <c r="S599" s="67"/>
      <c r="T599" s="67"/>
      <c r="U599" s="67"/>
      <c r="V599" s="67"/>
      <c r="W599" s="85"/>
      <c r="X599" s="962" t="s">
        <v>533</v>
      </c>
    </row>
    <row r="600" spans="1:24" ht="11.25" customHeight="1">
      <c r="A600" s="878">
        <v>6</v>
      </c>
      <c r="B600" s="80"/>
      <c r="C600" s="115"/>
      <c r="D600" s="115"/>
      <c r="E600" s="115"/>
      <c r="F600" s="248"/>
      <c r="G600" s="115"/>
      <c r="H600" s="115"/>
      <c r="I600" s="115"/>
      <c r="J600" s="115"/>
      <c r="K600" s="100"/>
      <c r="L600" s="981" t="s">
        <v>533</v>
      </c>
      <c r="M600" s="466" t="s">
        <v>421</v>
      </c>
      <c r="N600" s="67"/>
      <c r="O600" s="67"/>
      <c r="P600" s="67"/>
      <c r="Q600" s="67"/>
      <c r="R600" s="67"/>
      <c r="S600" s="67"/>
      <c r="T600" s="1101" t="s">
        <v>745</v>
      </c>
      <c r="U600" s="1280">
        <f>IF(OR(AB139=0,AB139=""),"",AB139)</f>
        <v>2</v>
      </c>
      <c r="V600" s="67"/>
      <c r="W600" s="85"/>
      <c r="X600" s="962" t="s">
        <v>533</v>
      </c>
    </row>
    <row r="601" spans="1:24" ht="11.25" customHeight="1">
      <c r="A601" s="878">
        <v>7</v>
      </c>
      <c r="B601" s="80"/>
      <c r="C601" s="115"/>
      <c r="D601" s="115"/>
      <c r="E601" s="115"/>
      <c r="F601" s="248"/>
      <c r="G601" s="115"/>
      <c r="H601" s="115"/>
      <c r="I601" s="115"/>
      <c r="J601" s="115"/>
      <c r="K601" s="100"/>
      <c r="L601" s="981" t="s">
        <v>533</v>
      </c>
      <c r="M601" s="159"/>
      <c r="N601" s="1224" t="s">
        <v>735</v>
      </c>
      <c r="O601" s="1165">
        <f>IF(O602&lt;&gt;"",O602,IF(OR(AB136=0,AB136=""),"",AB136))</f>
        <v>80</v>
      </c>
      <c r="P601" s="187" t="s">
        <v>736</v>
      </c>
      <c r="Q601" s="1165" t="str">
        <f>IF(Q602&lt;&gt;"",Q602,IF(OR(AB137=0,AB137=""),"",AB137))</f>
        <v/>
      </c>
      <c r="R601" s="187" t="s">
        <v>737</v>
      </c>
      <c r="S601" s="1223" t="str">
        <f>IF(S602&lt;&gt;"",S602,IF(OR(AB138=0,AB138=""),"",AB138))</f>
        <v/>
      </c>
      <c r="T601" s="187" t="s">
        <v>738</v>
      </c>
      <c r="U601" s="635">
        <f>IF(AND(OR(U602=0,U602=""),OR(Q601=0,Q601=""),OR(S601=0,S601=""),OR(U600=0,U600="")),2,IF(U602&lt;&gt;"","See below",IF(AND(Q601&lt;&gt;"",S601&lt;&gt;""),Q601*S601,U600)))</f>
        <v>2</v>
      </c>
      <c r="V601" s="482"/>
      <c r="W601" s="490"/>
      <c r="X601" s="962" t="s">
        <v>533</v>
      </c>
    </row>
    <row r="602" spans="1:24" ht="11.25" customHeight="1">
      <c r="A602" s="878">
        <v>8</v>
      </c>
      <c r="B602" s="395" t="s">
        <v>734</v>
      </c>
      <c r="C602" s="261"/>
      <c r="D602" s="161"/>
      <c r="E602" s="123"/>
      <c r="F602" s="67"/>
      <c r="G602" s="67"/>
      <c r="H602" s="67"/>
      <c r="I602" s="67"/>
      <c r="J602" s="67"/>
      <c r="K602" s="85"/>
      <c r="L602" s="981" t="s">
        <v>533</v>
      </c>
      <c r="M602" s="159"/>
      <c r="N602" s="1225" t="s">
        <v>111</v>
      </c>
      <c r="O602" s="1095">
        <v>80</v>
      </c>
      <c r="P602" s="1099" t="s">
        <v>111</v>
      </c>
      <c r="Q602" s="1095"/>
      <c r="R602" s="1099" t="s">
        <v>111</v>
      </c>
      <c r="S602" s="1098"/>
      <c r="T602" s="1099" t="s">
        <v>111</v>
      </c>
      <c r="U602" s="1100"/>
      <c r="V602" s="67"/>
      <c r="W602" s="85"/>
      <c r="X602" s="962" t="s">
        <v>533</v>
      </c>
    </row>
    <row r="603" spans="1:24" ht="11.25" customHeight="1">
      <c r="A603" s="878">
        <v>9</v>
      </c>
      <c r="B603" s="159"/>
      <c r="C603" s="67"/>
      <c r="D603" s="67"/>
      <c r="E603" s="67"/>
      <c r="F603" s="67"/>
      <c r="G603" s="67"/>
      <c r="H603" s="67"/>
      <c r="I603" s="67"/>
      <c r="J603" s="67"/>
      <c r="K603" s="85"/>
      <c r="L603" s="981" t="s">
        <v>533</v>
      </c>
      <c r="M603" s="159"/>
      <c r="N603" s="67"/>
      <c r="O603" s="67"/>
      <c r="P603" s="67"/>
      <c r="Q603" s="67"/>
      <c r="R603" s="67"/>
      <c r="S603" s="67"/>
      <c r="T603" s="67"/>
      <c r="U603" s="67"/>
      <c r="V603" s="323"/>
      <c r="W603" s="85"/>
      <c r="X603" s="962" t="s">
        <v>533</v>
      </c>
    </row>
    <row r="604" spans="1:24" ht="11.25" customHeight="1">
      <c r="A604" s="878">
        <v>10</v>
      </c>
      <c r="B604" s="124" t="s">
        <v>735</v>
      </c>
      <c r="C604" s="61">
        <f>IF(O601="","",O601)</f>
        <v>80</v>
      </c>
      <c r="D604" s="187" t="s">
        <v>736</v>
      </c>
      <c r="E604" s="61" t="str">
        <f>IF($U$602&lt;&gt;"","",IF(Q601="","",Q601))</f>
        <v/>
      </c>
      <c r="F604" s="187" t="s">
        <v>737</v>
      </c>
      <c r="G604" s="61" t="str">
        <f>IF($U$602&lt;&gt;"","",IF(S601="","",S601))</f>
        <v/>
      </c>
      <c r="H604" s="187" t="s">
        <v>738</v>
      </c>
      <c r="I604" s="61">
        <f>IF(U601="","",IF(U602="",U601,U602))</f>
        <v>2</v>
      </c>
      <c r="J604" s="187"/>
      <c r="K604" s="492"/>
      <c r="L604" s="981" t="s">
        <v>533</v>
      </c>
      <c r="M604" s="159"/>
      <c r="N604" s="67"/>
      <c r="O604" s="67"/>
      <c r="P604" s="67"/>
      <c r="Q604" s="67"/>
      <c r="R604" s="67"/>
      <c r="S604" s="67"/>
      <c r="T604" s="67"/>
      <c r="U604" s="67"/>
      <c r="V604" s="67"/>
      <c r="W604" s="85"/>
      <c r="X604" s="962" t="s">
        <v>533</v>
      </c>
    </row>
    <row r="605" spans="1:24" ht="11.25" customHeight="1" thickBot="1">
      <c r="A605" s="878">
        <v>11</v>
      </c>
      <c r="B605" s="159"/>
      <c r="C605" s="67"/>
      <c r="D605" s="67"/>
      <c r="E605" s="67"/>
      <c r="F605" s="67"/>
      <c r="G605" s="67"/>
      <c r="H605" s="67"/>
      <c r="I605" s="67"/>
      <c r="J605" s="67"/>
      <c r="K605" s="85"/>
      <c r="L605" s="981" t="s">
        <v>533</v>
      </c>
      <c r="M605" s="395" t="s">
        <v>734</v>
      </c>
      <c r="N605" s="67"/>
      <c r="O605" s="67"/>
      <c r="P605" s="67"/>
      <c r="Q605" s="67"/>
      <c r="R605" s="67"/>
      <c r="S605" s="67"/>
      <c r="T605" s="67"/>
      <c r="U605" s="67"/>
      <c r="V605" s="67"/>
      <c r="W605" s="85"/>
      <c r="X605" s="962" t="s">
        <v>533</v>
      </c>
    </row>
    <row r="606" spans="1:24" ht="11.25" customHeight="1">
      <c r="A606" s="878">
        <v>12</v>
      </c>
      <c r="B606" s="159"/>
      <c r="C606" s="257" t="s">
        <v>741</v>
      </c>
      <c r="D606" s="135"/>
      <c r="E606" s="67"/>
      <c r="F606" s="67"/>
      <c r="G606" s="67"/>
      <c r="H606" s="67"/>
      <c r="I606" s="67"/>
      <c r="J606" s="60"/>
      <c r="K606" s="85"/>
      <c r="L606" s="981" t="s">
        <v>533</v>
      </c>
      <c r="M606" s="629"/>
      <c r="N606" s="700" t="s">
        <v>747</v>
      </c>
      <c r="O606" s="627"/>
      <c r="P606" s="67"/>
      <c r="Q606" s="1201" t="s">
        <v>741</v>
      </c>
      <c r="R606" s="1202"/>
      <c r="S606" s="67"/>
      <c r="T606" s="67"/>
      <c r="U606" s="67"/>
      <c r="V606" s="67"/>
      <c r="W606" s="85"/>
      <c r="X606" s="962" t="s">
        <v>533</v>
      </c>
    </row>
    <row r="607" spans="1:24" ht="11.25" customHeight="1" thickBot="1">
      <c r="A607" s="878">
        <v>13</v>
      </c>
      <c r="B607" s="159"/>
      <c r="C607" s="258" t="str">
        <f>"Distance ("&amp;WBCM_IN&amp;")"</f>
        <v>Distance (cm)</v>
      </c>
      <c r="D607" s="196"/>
      <c r="E607" s="67"/>
      <c r="F607" s="67"/>
      <c r="G607" s="67"/>
      <c r="H607" s="67"/>
      <c r="I607" s="197" t="s">
        <v>741</v>
      </c>
      <c r="J607" s="196"/>
      <c r="K607" s="85"/>
      <c r="L607" s="981" t="s">
        <v>533</v>
      </c>
      <c r="M607" s="887"/>
      <c r="N607" s="699" t="s">
        <v>750</v>
      </c>
      <c r="O607" s="627"/>
      <c r="P607" s="67"/>
      <c r="Q607" s="1203" t="str">
        <f>"Distance ("&amp;WBCM_IN&amp;")"</f>
        <v>Distance (cm)</v>
      </c>
      <c r="R607" s="1204"/>
      <c r="S607" s="67"/>
      <c r="T607" s="1678" t="s">
        <v>741</v>
      </c>
      <c r="U607" s="1679"/>
      <c r="V607" s="67"/>
      <c r="W607" s="85"/>
      <c r="X607" s="962" t="s">
        <v>533</v>
      </c>
    </row>
    <row r="608" spans="1:24" ht="11.25" customHeight="1" thickBot="1">
      <c r="A608" s="878">
        <v>14</v>
      </c>
      <c r="B608" s="159"/>
      <c r="C608" s="254">
        <f>Q608</f>
        <v>0</v>
      </c>
      <c r="D608" s="209"/>
      <c r="E608" s="67"/>
      <c r="F608" s="67"/>
      <c r="G608" s="67"/>
      <c r="H608" s="67"/>
      <c r="I608" s="255" t="s">
        <v>698</v>
      </c>
      <c r="J608" s="256" t="str">
        <f>U608</f>
        <v>TBD</v>
      </c>
      <c r="K608" s="85"/>
      <c r="L608" s="981" t="s">
        <v>533</v>
      </c>
      <c r="M608" s="887"/>
      <c r="N608" s="699" t="s">
        <v>756</v>
      </c>
      <c r="O608" s="627"/>
      <c r="P608" s="67"/>
      <c r="Q608" s="1707"/>
      <c r="R608" s="1708"/>
      <c r="S608" s="67"/>
      <c r="T608" s="1076" t="s">
        <v>698</v>
      </c>
      <c r="U608" s="1056" t="str">
        <f>IF(OR($M$434=2,$Q$608="NA"),"NA",IF($M$607=1,"YES",IF($M$607=2,"NO",IF($Q$608="","TBD",IF(WBCM_IN="cm",IF($Q$608&gt;0.02*M616,"NO","YES"),IF($Q$608&gt;0.02*M616,"NO","YES"))))))</f>
        <v>TBD</v>
      </c>
      <c r="V608" s="67"/>
      <c r="W608" s="85"/>
      <c r="X608" s="962" t="s">
        <v>533</v>
      </c>
    </row>
    <row r="609" spans="1:54" ht="11.25" customHeight="1">
      <c r="A609" s="878">
        <v>15</v>
      </c>
      <c r="B609" s="159"/>
      <c r="C609" s="123"/>
      <c r="D609" s="67"/>
      <c r="E609" s="67"/>
      <c r="F609" s="67"/>
      <c r="G609" s="67"/>
      <c r="H609" s="67"/>
      <c r="I609" s="43"/>
      <c r="J609" s="67"/>
      <c r="K609" s="85"/>
      <c r="L609" s="981" t="s">
        <v>533</v>
      </c>
      <c r="M609" s="887"/>
      <c r="N609" s="699" t="s">
        <v>758</v>
      </c>
      <c r="O609" s="627"/>
      <c r="P609" s="67"/>
      <c r="Q609" s="1024" t="s">
        <v>495</v>
      </c>
      <c r="R609" s="1281">
        <f>IF(AB478="","",AB478)</f>
        <v>0.6</v>
      </c>
      <c r="S609" s="67"/>
      <c r="T609" s="67"/>
      <c r="U609" s="67"/>
      <c r="V609" s="67"/>
      <c r="W609" s="85"/>
      <c r="X609" s="962" t="s">
        <v>533</v>
      </c>
    </row>
    <row r="610" spans="1:54" ht="11.25" customHeight="1">
      <c r="A610" s="878">
        <v>16</v>
      </c>
      <c r="B610" s="251" t="s">
        <v>699</v>
      </c>
      <c r="C610" s="119" t="s">
        <v>746</v>
      </c>
      <c r="D610" s="67"/>
      <c r="E610" s="67"/>
      <c r="F610" s="67"/>
      <c r="G610" s="67"/>
      <c r="H610" s="67"/>
      <c r="I610" s="67"/>
      <c r="J610" s="67"/>
      <c r="K610" s="85"/>
      <c r="L610" s="981" t="s">
        <v>533</v>
      </c>
      <c r="M610" s="159"/>
      <c r="N610" s="166" t="s">
        <v>699</v>
      </c>
      <c r="O610" s="119" t="s">
        <v>35</v>
      </c>
      <c r="P610" s="67"/>
      <c r="Q610" s="67"/>
      <c r="R610" s="67"/>
      <c r="S610" s="67"/>
      <c r="T610" s="67"/>
      <c r="U610" s="67"/>
      <c r="V610" s="67"/>
      <c r="W610" s="85"/>
      <c r="X610" s="962" t="s">
        <v>533</v>
      </c>
    </row>
    <row r="611" spans="1:54" ht="11.25" customHeight="1" thickBot="1">
      <c r="A611" s="878">
        <v>17</v>
      </c>
      <c r="B611" s="159"/>
      <c r="C611" s="67"/>
      <c r="D611" s="67"/>
      <c r="E611" s="67"/>
      <c r="F611" s="67"/>
      <c r="G611" s="67"/>
      <c r="H611" s="67"/>
      <c r="I611" s="67"/>
      <c r="J611" s="67"/>
      <c r="K611" s="85"/>
      <c r="L611" s="981" t="s">
        <v>533</v>
      </c>
      <c r="M611" s="159"/>
      <c r="N611" s="67"/>
      <c r="O611" s="67"/>
      <c r="P611" s="67"/>
      <c r="Q611" s="67"/>
      <c r="R611" s="67"/>
      <c r="S611" s="67"/>
      <c r="T611" s="67"/>
      <c r="U611" s="67"/>
      <c r="V611" s="67"/>
      <c r="W611" s="85"/>
      <c r="X611" s="962" t="s">
        <v>533</v>
      </c>
    </row>
    <row r="612" spans="1:54" ht="11.25" customHeight="1">
      <c r="A612" s="878">
        <v>18</v>
      </c>
      <c r="B612" s="159"/>
      <c r="C612" s="1359"/>
      <c r="D612" s="1360" t="s">
        <v>751</v>
      </c>
      <c r="E612" s="1361"/>
      <c r="F612" s="1362" t="s">
        <v>752</v>
      </c>
      <c r="G612" s="1361"/>
      <c r="H612" s="1362" t="s">
        <v>753</v>
      </c>
      <c r="I612" s="1357"/>
      <c r="J612" s="67"/>
      <c r="K612" s="85"/>
      <c r="L612" s="981" t="s">
        <v>533</v>
      </c>
      <c r="M612" s="159"/>
      <c r="N612" s="67"/>
      <c r="O612" s="67"/>
      <c r="P612" s="67"/>
      <c r="Q612" s="67"/>
      <c r="R612" s="67"/>
      <c r="S612" s="67"/>
      <c r="T612" s="67"/>
      <c r="U612" s="67"/>
      <c r="V612" s="67"/>
      <c r="W612" s="85"/>
      <c r="X612" s="962" t="s">
        <v>533</v>
      </c>
    </row>
    <row r="613" spans="1:54" ht="11.25" customHeight="1">
      <c r="A613" s="878">
        <v>19</v>
      </c>
      <c r="B613" s="159"/>
      <c r="C613" s="496" t="s">
        <v>640</v>
      </c>
      <c r="D613" s="225" t="str">
        <f>"("&amp;WBCM_IN&amp;")"</f>
        <v>(cm)</v>
      </c>
      <c r="E613" s="226"/>
      <c r="F613" s="225" t="str">
        <f>"("&amp;WBCM_IN&amp;")"</f>
        <v>(cm)</v>
      </c>
      <c r="G613" s="226"/>
      <c r="H613" s="225" t="str">
        <f>"("&amp;WBCM_IN&amp;")"</f>
        <v>(cm)</v>
      </c>
      <c r="I613" s="223"/>
      <c r="J613" s="67"/>
      <c r="K613" s="85"/>
      <c r="L613" s="981" t="s">
        <v>533</v>
      </c>
      <c r="M613" s="150" t="s">
        <v>774</v>
      </c>
      <c r="N613" s="330" t="s">
        <v>751</v>
      </c>
      <c r="O613" s="226"/>
      <c r="P613" s="330" t="s">
        <v>752</v>
      </c>
      <c r="Q613" s="226"/>
      <c r="R613" s="330" t="s">
        <v>753</v>
      </c>
      <c r="S613" s="332"/>
      <c r="T613" s="280" t="s">
        <v>754</v>
      </c>
      <c r="U613" s="161"/>
      <c r="V613" s="133" t="s">
        <v>755</v>
      </c>
      <c r="W613" s="241"/>
      <c r="X613" s="962" t="s">
        <v>533</v>
      </c>
    </row>
    <row r="614" spans="1:54" ht="11.25" customHeight="1" thickBot="1">
      <c r="A614" s="878">
        <v>20</v>
      </c>
      <c r="B614" s="159"/>
      <c r="C614" s="497" t="str">
        <f>"("&amp;IF(WBCM_IN="","",WBCM_IN)&amp;")"</f>
        <v>(cm)</v>
      </c>
      <c r="D614" s="222" t="s">
        <v>582</v>
      </c>
      <c r="E614" s="221" t="s">
        <v>583</v>
      </c>
      <c r="F614" s="222" t="s">
        <v>582</v>
      </c>
      <c r="G614" s="221" t="s">
        <v>583</v>
      </c>
      <c r="H614" s="222" t="s">
        <v>582</v>
      </c>
      <c r="I614" s="224" t="s">
        <v>583</v>
      </c>
      <c r="J614" s="67"/>
      <c r="K614" s="85"/>
      <c r="L614" s="981" t="s">
        <v>533</v>
      </c>
      <c r="M614" s="150" t="s">
        <v>640</v>
      </c>
      <c r="N614" s="225" t="str">
        <f>"("&amp;WBCM_IN&amp;")"</f>
        <v>(cm)</v>
      </c>
      <c r="O614" s="226"/>
      <c r="P614" s="225" t="str">
        <f>"("&amp;WBCM_IN&amp;")"</f>
        <v>(cm)</v>
      </c>
      <c r="Q614" s="226"/>
      <c r="R614" s="225" t="str">
        <f>"("&amp;WBCM_IN&amp;")"</f>
        <v>(cm)</v>
      </c>
      <c r="S614" s="332"/>
      <c r="T614" s="192" t="s">
        <v>757</v>
      </c>
      <c r="U614" s="215"/>
      <c r="V614" s="219" t="s">
        <v>757</v>
      </c>
      <c r="W614" s="241"/>
      <c r="X614" s="962" t="s">
        <v>533</v>
      </c>
    </row>
    <row r="615" spans="1:54" ht="11.25" customHeight="1" thickBot="1">
      <c r="A615" s="878">
        <v>21</v>
      </c>
      <c r="B615" s="159"/>
      <c r="C615" s="521">
        <f t="shared" ref="C615:I616" si="65">IF(M616="","",M616)</f>
        <v>182.88</v>
      </c>
      <c r="D615" s="517">
        <f t="shared" si="65"/>
        <v>17.271999999999998</v>
      </c>
      <c r="E615" s="518">
        <f t="shared" si="65"/>
        <v>12.7</v>
      </c>
      <c r="F615" s="517" t="str">
        <f t="shared" si="65"/>
        <v/>
      </c>
      <c r="G615" s="518" t="str">
        <f t="shared" si="65"/>
        <v/>
      </c>
      <c r="H615" s="517">
        <f t="shared" si="65"/>
        <v>14</v>
      </c>
      <c r="I615" s="522">
        <f t="shared" si="65"/>
        <v>18</v>
      </c>
      <c r="J615" s="67"/>
      <c r="K615" s="85"/>
      <c r="L615" s="981" t="s">
        <v>533</v>
      </c>
      <c r="M615" s="445" t="str">
        <f>"("&amp;IF(WBCM_IN="","",WBCM_IN)&amp;")"</f>
        <v>(cm)</v>
      </c>
      <c r="N615" s="335" t="s">
        <v>582</v>
      </c>
      <c r="O615" s="334" t="s">
        <v>775</v>
      </c>
      <c r="P615" s="335" t="s">
        <v>582</v>
      </c>
      <c r="Q615" s="334" t="s">
        <v>775</v>
      </c>
      <c r="R615" s="335" t="s">
        <v>582</v>
      </c>
      <c r="S615" s="336" t="s">
        <v>775</v>
      </c>
      <c r="T615" s="336" t="s">
        <v>582</v>
      </c>
      <c r="U615" s="334" t="s">
        <v>775</v>
      </c>
      <c r="V615" s="335" t="s">
        <v>582</v>
      </c>
      <c r="W615" s="339" t="s">
        <v>775</v>
      </c>
      <c r="X615" s="962" t="s">
        <v>533</v>
      </c>
    </row>
    <row r="616" spans="1:54" ht="11.25" customHeight="1" thickBot="1">
      <c r="A616" s="878">
        <v>22</v>
      </c>
      <c r="B616" s="159"/>
      <c r="C616" s="523">
        <f t="shared" si="65"/>
        <v>182.88</v>
      </c>
      <c r="D616" s="524">
        <f t="shared" si="65"/>
        <v>25.4</v>
      </c>
      <c r="E616" s="525">
        <f t="shared" si="65"/>
        <v>30.48</v>
      </c>
      <c r="F616" s="524" t="str">
        <f t="shared" si="65"/>
        <v/>
      </c>
      <c r="G616" s="525" t="str">
        <f t="shared" si="65"/>
        <v/>
      </c>
      <c r="H616" s="524" t="str">
        <f t="shared" si="65"/>
        <v/>
      </c>
      <c r="I616" s="526" t="str">
        <f t="shared" si="65"/>
        <v/>
      </c>
      <c r="J616" s="67"/>
      <c r="K616" s="85"/>
      <c r="L616" s="981" t="s">
        <v>533</v>
      </c>
      <c r="M616" s="1156">
        <f>IF(M622&lt;&gt;"",M622,IF(OR(AB142=0,AB142=""),"",ROUND(AB142,2)))</f>
        <v>182.88</v>
      </c>
      <c r="N616" s="1166">
        <f>IF(N622&lt;&gt;"",N622,IF(OR(AB146=0,AB146=""),"",AB146))</f>
        <v>17.271999999999998</v>
      </c>
      <c r="O616" s="1167">
        <f>IF(O622&lt;&gt;"",O622,IF(OR(AB147=0,AB147=""),"",AB147))</f>
        <v>12.7</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533</v>
      </c>
    </row>
    <row r="617" spans="1:54" ht="11.25" customHeight="1" thickBot="1">
      <c r="A617" s="878">
        <v>23</v>
      </c>
      <c r="B617" s="159"/>
      <c r="C617" s="265" t="s">
        <v>759</v>
      </c>
      <c r="D617" s="67"/>
      <c r="E617" s="67"/>
      <c r="F617" s="67"/>
      <c r="G617" s="67"/>
      <c r="H617" s="67"/>
      <c r="I617" s="67"/>
      <c r="J617" s="67"/>
      <c r="K617" s="85"/>
      <c r="L617" s="981" t="s">
        <v>533</v>
      </c>
      <c r="M617" s="1156">
        <f>IF(M623&lt;&gt;"",M623,IF(OR(AB143=0,AB143=""),"",ROUND(AB143,2)))</f>
        <v>182.88</v>
      </c>
      <c r="N617" s="1166">
        <f>IF(N623&lt;&gt;"",N623,IF(OR(AB148=0,AB148=""),"",AB148))</f>
        <v>25.4</v>
      </c>
      <c r="O617" s="1167">
        <f>IF(O623&lt;&gt;"",O623,IF(OR(AB149=0,AB149=""),"",AB149))</f>
        <v>30.48</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533</v>
      </c>
    </row>
    <row r="618" spans="1:54" ht="11.25" customHeight="1" thickBot="1">
      <c r="A618" s="878">
        <v>24</v>
      </c>
      <c r="B618" s="159"/>
      <c r="C618" s="4" t="s">
        <v>760</v>
      </c>
      <c r="D618" s="67"/>
      <c r="E618" s="67"/>
      <c r="F618" s="67"/>
      <c r="G618" s="67"/>
      <c r="H618" s="67"/>
      <c r="I618" s="67"/>
      <c r="J618" s="67"/>
      <c r="K618" s="85"/>
      <c r="L618" s="981" t="s">
        <v>533</v>
      </c>
      <c r="M618" s="211" t="s">
        <v>759</v>
      </c>
      <c r="N618" s="123"/>
      <c r="O618" s="123"/>
      <c r="P618" s="123"/>
      <c r="Q618" s="123"/>
      <c r="R618" s="202"/>
      <c r="S618" s="123"/>
      <c r="T618" s="67"/>
      <c r="U618" s="67"/>
      <c r="V618" s="67"/>
      <c r="W618" s="85"/>
      <c r="X618" s="962" t="s">
        <v>533</v>
      </c>
    </row>
    <row r="619" spans="1:54" ht="11.25" customHeight="1" thickBot="1">
      <c r="A619" s="878">
        <v>25</v>
      </c>
      <c r="B619" s="1354" t="s">
        <v>754</v>
      </c>
      <c r="C619" s="1355"/>
      <c r="D619" s="1356" t="s">
        <v>755</v>
      </c>
      <c r="E619" s="1357"/>
      <c r="F619" s="1358"/>
      <c r="G619" s="473"/>
      <c r="H619" s="234"/>
      <c r="I619" s="235" t="s">
        <v>761</v>
      </c>
      <c r="J619" s="233"/>
      <c r="K619" s="244"/>
      <c r="L619" s="981" t="s">
        <v>533</v>
      </c>
      <c r="M619" s="212" t="s">
        <v>760</v>
      </c>
      <c r="N619" s="67"/>
      <c r="O619" s="67"/>
      <c r="P619" s="67"/>
      <c r="Q619" s="67"/>
      <c r="R619" s="67"/>
      <c r="S619" s="67"/>
      <c r="T619" s="1150"/>
      <c r="U619" s="1677" t="s">
        <v>761</v>
      </c>
      <c r="V619" s="1677"/>
      <c r="W619" s="1149"/>
      <c r="X619" s="962" t="s">
        <v>533</v>
      </c>
    </row>
    <row r="620" spans="1:54" ht="11.25" customHeight="1">
      <c r="A620" s="878">
        <v>26</v>
      </c>
      <c r="B620" s="399" t="s">
        <v>757</v>
      </c>
      <c r="C620" s="215"/>
      <c r="D620" s="219" t="s">
        <v>757</v>
      </c>
      <c r="E620" s="493"/>
      <c r="F620" s="495" t="str">
        <f>"Indicated Field Size ("&amp;WBCM_IN&amp;")"</f>
        <v>Indicated Field Size (cm)</v>
      </c>
      <c r="G620" s="239"/>
      <c r="H620" s="219" t="s">
        <v>754</v>
      </c>
      <c r="I620" s="215"/>
      <c r="J620" s="217" t="s">
        <v>755</v>
      </c>
      <c r="K620" s="340"/>
      <c r="L620" s="981" t="s">
        <v>533</v>
      </c>
      <c r="M620" s="1035" t="s">
        <v>762</v>
      </c>
      <c r="N620" s="1036"/>
      <c r="O620" s="1030"/>
      <c r="P620" s="67"/>
      <c r="Q620" s="67"/>
      <c r="R620" s="238" t="str">
        <f>"Indicated Field Size ("&amp;WBCM_IN&amp;")"</f>
        <v>Indicated Field Size (cm)</v>
      </c>
      <c r="S620" s="337"/>
      <c r="T620" s="1064" t="s">
        <v>754</v>
      </c>
      <c r="U620" s="1065"/>
      <c r="V620" s="1066" t="s">
        <v>755</v>
      </c>
      <c r="W620" s="1067"/>
      <c r="X620" s="962" t="s">
        <v>533</v>
      </c>
    </row>
    <row r="621" spans="1:54" ht="11.25" customHeight="1" thickBot="1">
      <c r="A621" s="878">
        <v>27</v>
      </c>
      <c r="B621" s="214" t="s">
        <v>582</v>
      </c>
      <c r="C621" s="221" t="s">
        <v>583</v>
      </c>
      <c r="D621" s="222" t="s">
        <v>582</v>
      </c>
      <c r="E621" s="224" t="s">
        <v>583</v>
      </c>
      <c r="F621" s="220" t="s">
        <v>582</v>
      </c>
      <c r="G621" s="221" t="s">
        <v>583</v>
      </c>
      <c r="H621" s="222" t="s">
        <v>582</v>
      </c>
      <c r="I621" s="221" t="s">
        <v>583</v>
      </c>
      <c r="J621" s="222" t="s">
        <v>582</v>
      </c>
      <c r="K621" s="242" t="s">
        <v>583</v>
      </c>
      <c r="L621" s="981" t="s">
        <v>533</v>
      </c>
      <c r="M621" s="333" t="s">
        <v>640</v>
      </c>
      <c r="N621" s="336" t="s">
        <v>582</v>
      </c>
      <c r="O621" s="336" t="s">
        <v>583</v>
      </c>
      <c r="P621" s="67"/>
      <c r="Q621" s="67"/>
      <c r="R621" s="335" t="s">
        <v>582</v>
      </c>
      <c r="S621" s="334" t="s">
        <v>775</v>
      </c>
      <c r="T621" s="1068" t="s">
        <v>582</v>
      </c>
      <c r="U621" s="1069" t="s">
        <v>775</v>
      </c>
      <c r="V621" s="1068" t="s">
        <v>582</v>
      </c>
      <c r="W621" s="1070" t="s">
        <v>775</v>
      </c>
      <c r="X621" s="962" t="s">
        <v>533</v>
      </c>
    </row>
    <row r="622" spans="1:54" ht="11.25" customHeight="1" thickBot="1">
      <c r="A622" s="878">
        <v>28</v>
      </c>
      <c r="B622" s="498" t="str">
        <f t="shared" ref="B622:E623" si="66">IF(T616="","",T616)</f>
        <v>NA</v>
      </c>
      <c r="C622" s="228" t="str">
        <f t="shared" si="66"/>
        <v>NA</v>
      </c>
      <c r="D622" s="229" t="str">
        <f t="shared" si="66"/>
        <v>NA</v>
      </c>
      <c r="E622" s="494" t="str">
        <f t="shared" si="66"/>
        <v>NA</v>
      </c>
      <c r="F622" s="527">
        <f t="shared" ref="F622:K623" si="67">R622</f>
        <v>17.271999999999998</v>
      </c>
      <c r="G622" s="518">
        <f t="shared" si="67"/>
        <v>12.7</v>
      </c>
      <c r="H622" s="231" t="str">
        <f t="shared" si="67"/>
        <v>NA</v>
      </c>
      <c r="I622" s="236" t="str">
        <f t="shared" si="67"/>
        <v>NA</v>
      </c>
      <c r="J622" s="231" t="str">
        <f t="shared" si="67"/>
        <v>NA</v>
      </c>
      <c r="K622" s="154" t="str">
        <f t="shared" si="67"/>
        <v>NA</v>
      </c>
      <c r="L622" s="981" t="s">
        <v>533</v>
      </c>
      <c r="M622" s="1014"/>
      <c r="N622" s="1016"/>
      <c r="O622" s="1015"/>
      <c r="P622" s="67"/>
      <c r="Q622" s="67"/>
      <c r="R622" s="517">
        <f>IF(N616="","",N616)</f>
        <v>17.271999999999998</v>
      </c>
      <c r="S622" s="518">
        <f>IF(O616="","",O616)</f>
        <v>12.7</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533</v>
      </c>
      <c r="AK622" s="1555">
        <v>3</v>
      </c>
      <c r="AL622" s="1538" t="s">
        <v>1214</v>
      </c>
      <c r="AP622" s="1618" t="s">
        <v>70</v>
      </c>
      <c r="AQ622" s="1619"/>
      <c r="AR622" s="1619"/>
      <c r="AS622" s="1620"/>
      <c r="AT622" s="1618" t="s">
        <v>69</v>
      </c>
      <c r="AU622" s="1619"/>
      <c r="AV622" s="1620"/>
      <c r="AW622" s="1618" t="s">
        <v>1209</v>
      </c>
      <c r="AX622" s="1619"/>
      <c r="AY622" s="1619"/>
      <c r="AZ622" s="1619"/>
      <c r="BA622" s="1619"/>
      <c r="BB622" s="1620"/>
    </row>
    <row r="623" spans="1:54" ht="11.25" customHeight="1" thickBot="1">
      <c r="A623" s="878">
        <v>29</v>
      </c>
      <c r="B623" s="498" t="str">
        <f t="shared" si="66"/>
        <v>NA</v>
      </c>
      <c r="C623" s="228" t="str">
        <f t="shared" si="66"/>
        <v>NA</v>
      </c>
      <c r="D623" s="229" t="str">
        <f t="shared" si="66"/>
        <v>NA</v>
      </c>
      <c r="E623" s="494" t="str">
        <f t="shared" si="66"/>
        <v>NA</v>
      </c>
      <c r="F623" s="528">
        <f t="shared" si="67"/>
        <v>25.4</v>
      </c>
      <c r="G623" s="520">
        <f t="shared" si="67"/>
        <v>30.48</v>
      </c>
      <c r="H623" s="232" t="str">
        <f t="shared" si="67"/>
        <v>NA</v>
      </c>
      <c r="I623" s="237" t="str">
        <f t="shared" si="67"/>
        <v>NA</v>
      </c>
      <c r="J623" s="232" t="str">
        <f t="shared" si="67"/>
        <v>NA</v>
      </c>
      <c r="K623" s="299" t="str">
        <f t="shared" si="67"/>
        <v>NA</v>
      </c>
      <c r="L623" s="981" t="s">
        <v>533</v>
      </c>
      <c r="M623" s="1014"/>
      <c r="N623" s="1016"/>
      <c r="O623" s="1015"/>
      <c r="P623" s="67"/>
      <c r="Q623" s="67"/>
      <c r="R623" s="519">
        <f>IF(N617="","",N617)</f>
        <v>25.4</v>
      </c>
      <c r="S623" s="520">
        <f>IF(O617="","",O617)</f>
        <v>30.48</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533</v>
      </c>
      <c r="AP623" s="611"/>
      <c r="AQ623" s="3"/>
      <c r="AR623" s="695" t="s">
        <v>414</v>
      </c>
      <c r="AS623" s="413"/>
      <c r="AT623" s="33"/>
      <c r="AU623" s="695" t="s">
        <v>414</v>
      </c>
      <c r="AV623" s="413"/>
      <c r="AW623" s="611"/>
      <c r="AX623" s="67"/>
      <c r="AY623" s="67"/>
      <c r="AZ623" s="67"/>
      <c r="BA623" s="67"/>
      <c r="BB623" s="476"/>
    </row>
    <row r="624" spans="1:54" ht="11.25" customHeight="1" thickBot="1">
      <c r="A624" s="878">
        <v>30</v>
      </c>
      <c r="B624" s="251" t="s">
        <v>699</v>
      </c>
      <c r="C624" s="246" t="s">
        <v>763</v>
      </c>
      <c r="D624" s="204"/>
      <c r="E624" s="67"/>
      <c r="F624" s="67"/>
      <c r="G624" s="204"/>
      <c r="H624" s="204"/>
      <c r="I624" s="204"/>
      <c r="J624" s="204"/>
      <c r="K624" s="205"/>
      <c r="L624" s="981" t="s">
        <v>533</v>
      </c>
      <c r="M624" s="159"/>
      <c r="N624" s="67"/>
      <c r="O624" s="67"/>
      <c r="P624" s="67"/>
      <c r="Q624" s="67"/>
      <c r="R624" s="67"/>
      <c r="S624" s="67"/>
      <c r="T624" s="67"/>
      <c r="U624" s="67"/>
      <c r="V624" s="67"/>
      <c r="W624" s="85"/>
      <c r="X624" s="962" t="s">
        <v>533</v>
      </c>
      <c r="AK624" s="711" t="s">
        <v>87</v>
      </c>
      <c r="AL624" s="711" t="s">
        <v>88</v>
      </c>
      <c r="AM624" s="711" t="s">
        <v>593</v>
      </c>
      <c r="AN624" s="711" t="s">
        <v>89</v>
      </c>
      <c r="AO624" s="807" t="s">
        <v>91</v>
      </c>
      <c r="AP624" s="1525" t="s">
        <v>109</v>
      </c>
      <c r="AQ624" s="1540" t="s">
        <v>110</v>
      </c>
      <c r="AR624" s="695" t="s">
        <v>593</v>
      </c>
      <c r="AS624" s="1573" t="s">
        <v>1226</v>
      </c>
      <c r="AT624" s="1569" t="s">
        <v>1226</v>
      </c>
      <c r="AU624" s="695" t="s">
        <v>593</v>
      </c>
      <c r="AV624" s="1526" t="s">
        <v>110</v>
      </c>
      <c r="AW624" s="1592" t="s">
        <v>590</v>
      </c>
      <c r="AX624" s="1593" t="s">
        <v>1210</v>
      </c>
      <c r="AY624" s="1593" t="s">
        <v>1211</v>
      </c>
      <c r="AZ624" s="1593" t="s">
        <v>1242</v>
      </c>
      <c r="BA624" s="1593" t="s">
        <v>1212</v>
      </c>
      <c r="BB624" s="1594" t="s">
        <v>1213</v>
      </c>
    </row>
    <row r="625" spans="1:54" ht="11.25" customHeight="1" thickTop="1">
      <c r="A625" s="878">
        <v>31</v>
      </c>
      <c r="B625" s="262"/>
      <c r="C625" s="119" t="s">
        <v>571</v>
      </c>
      <c r="D625" s="204"/>
      <c r="E625" s="67"/>
      <c r="F625" s="67"/>
      <c r="G625" s="204"/>
      <c r="H625" s="204"/>
      <c r="I625" s="204"/>
      <c r="J625" s="204"/>
      <c r="K625" s="205"/>
      <c r="L625" s="981" t="s">
        <v>533</v>
      </c>
      <c r="M625" s="141"/>
      <c r="N625" s="166" t="s">
        <v>699</v>
      </c>
      <c r="O625" s="246" t="s">
        <v>763</v>
      </c>
      <c r="P625" s="67"/>
      <c r="Q625" s="67"/>
      <c r="R625" s="122"/>
      <c r="S625" s="67"/>
      <c r="T625" s="67"/>
      <c r="U625" s="123"/>
      <c r="V625" s="123"/>
      <c r="W625" s="85"/>
      <c r="X625" s="962" t="s">
        <v>533</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c r="A626" s="878">
        <v>32</v>
      </c>
      <c r="B626" s="159"/>
      <c r="C626" s="67"/>
      <c r="D626" s="67"/>
      <c r="E626" s="67"/>
      <c r="F626" s="67"/>
      <c r="G626" s="67"/>
      <c r="H626" s="67"/>
      <c r="I626" s="67"/>
      <c r="J626" s="67"/>
      <c r="K626" s="85"/>
      <c r="L626" s="981" t="s">
        <v>533</v>
      </c>
      <c r="M626" s="143"/>
      <c r="N626" s="247"/>
      <c r="O626" s="119" t="s">
        <v>571</v>
      </c>
      <c r="P626" s="67"/>
      <c r="Q626" s="67"/>
      <c r="R626" s="62"/>
      <c r="S626" s="67"/>
      <c r="T626" s="67"/>
      <c r="U626" s="123"/>
      <c r="V626" s="123"/>
      <c r="W626" s="85"/>
      <c r="X626" s="962" t="s">
        <v>533</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c r="A627" s="878">
        <v>33</v>
      </c>
      <c r="B627" s="124" t="s">
        <v>681</v>
      </c>
      <c r="C627" s="1290" t="str">
        <f>IF(O628="","",IF(LEN(O628)&lt;=135,O628,IF(LEN(O628)&lt;=260,LEFT(O628,SEARCH(" ",O628,125)),LEFT(O628,SEARCH(" ",O628,130)))))</f>
        <v/>
      </c>
      <c r="D627" s="61"/>
      <c r="E627" s="61"/>
      <c r="F627" s="61"/>
      <c r="G627" s="61"/>
      <c r="H627" s="61"/>
      <c r="I627" s="61"/>
      <c r="J627" s="61"/>
      <c r="K627" s="100"/>
      <c r="L627" s="981" t="s">
        <v>533</v>
      </c>
      <c r="M627" s="159"/>
      <c r="N627" s="67"/>
      <c r="P627" s="67"/>
      <c r="Q627" s="67"/>
      <c r="R627" s="67"/>
      <c r="S627" s="67"/>
      <c r="T627" s="67"/>
      <c r="U627" s="67"/>
      <c r="V627" s="67"/>
      <c r="W627" s="85"/>
      <c r="X627" s="962" t="s">
        <v>533</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533</v>
      </c>
      <c r="M628" s="159"/>
      <c r="N628" s="830" t="s">
        <v>681</v>
      </c>
      <c r="O628" s="1025" t="str">
        <f>IF(O630&lt;&gt;"",O630,IF(OR(AB436=0,AB436=""),"",AB436))</f>
        <v/>
      </c>
      <c r="P628" s="59"/>
      <c r="Q628" s="59"/>
      <c r="R628" s="59"/>
      <c r="S628" s="59"/>
      <c r="T628" s="59"/>
      <c r="U628" s="59"/>
      <c r="V628" s="59"/>
      <c r="W628" s="126"/>
      <c r="X628" s="962" t="s">
        <v>533</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c r="A629" s="878">
        <v>35</v>
      </c>
      <c r="B629" s="101"/>
      <c r="C629" s="1290" t="str">
        <f>IF(LEN(O628)&lt;=265,"",RIGHT(O628,LEN(O628)-SEARCH(" ",O628,255)))</f>
        <v/>
      </c>
      <c r="D629" s="61"/>
      <c r="E629" s="61"/>
      <c r="F629" s="61"/>
      <c r="G629" s="61"/>
      <c r="H629" s="61"/>
      <c r="I629" s="61"/>
      <c r="J629" s="61"/>
      <c r="K629" s="100"/>
      <c r="L629" s="981" t="s">
        <v>533</v>
      </c>
      <c r="M629" s="125"/>
      <c r="N629" s="876" t="s">
        <v>373</v>
      </c>
      <c r="O629" s="128"/>
      <c r="P629" s="1289">
        <f>LEN(O628)</f>
        <v>0</v>
      </c>
      <c r="Q629" s="128"/>
      <c r="R629" s="128"/>
      <c r="S629" s="128"/>
      <c r="T629" s="128"/>
      <c r="U629" s="128"/>
      <c r="V629" s="128"/>
      <c r="W629" s="129"/>
      <c r="X629" s="962" t="s">
        <v>533</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c r="A630" s="878">
        <v>36</v>
      </c>
      <c r="B630" s="159"/>
      <c r="C630" s="67"/>
      <c r="D630" s="67"/>
      <c r="E630" s="67"/>
      <c r="F630" s="67"/>
      <c r="G630" s="67"/>
      <c r="H630" s="67"/>
      <c r="I630" s="67"/>
      <c r="J630" s="67"/>
      <c r="K630" s="85"/>
      <c r="L630" s="981" t="s">
        <v>533</v>
      </c>
      <c r="M630" s="150"/>
      <c r="N630" s="1447" t="s">
        <v>748</v>
      </c>
      <c r="O630" s="1449"/>
      <c r="P630" s="128"/>
      <c r="Q630" s="128"/>
      <c r="R630" s="59"/>
      <c r="S630" s="59"/>
      <c r="T630" s="59"/>
      <c r="U630" s="59"/>
      <c r="V630" s="59"/>
      <c r="W630" s="126"/>
      <c r="X630" s="962" t="s">
        <v>533</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c r="A631" s="878">
        <v>37</v>
      </c>
      <c r="B631" s="395" t="s">
        <v>764</v>
      </c>
      <c r="C631" s="65"/>
      <c r="D631" s="65"/>
      <c r="E631" s="274"/>
      <c r="F631" s="67"/>
      <c r="G631" s="67"/>
      <c r="H631" s="67"/>
      <c r="I631" s="67"/>
      <c r="J631" s="67"/>
      <c r="K631" s="85"/>
      <c r="L631" s="981" t="s">
        <v>533</v>
      </c>
      <c r="M631" s="159"/>
      <c r="N631" s="67"/>
      <c r="O631" s="67"/>
      <c r="P631" s="67"/>
      <c r="Q631" s="67"/>
      <c r="R631" s="67"/>
      <c r="S631" s="67"/>
      <c r="T631" s="67"/>
      <c r="U631" s="67"/>
      <c r="V631" s="67"/>
      <c r="W631" s="85"/>
      <c r="X631" s="962" t="s">
        <v>533</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c r="A632" s="878">
        <v>38</v>
      </c>
      <c r="B632" s="159"/>
      <c r="C632" s="65"/>
      <c r="D632" s="67"/>
      <c r="E632" s="67"/>
      <c r="F632" s="67"/>
      <c r="G632" s="67"/>
      <c r="H632" s="67"/>
      <c r="I632" s="67"/>
      <c r="J632" s="534" t="s">
        <v>538</v>
      </c>
      <c r="K632" s="535"/>
      <c r="L632" s="981" t="s">
        <v>533</v>
      </c>
      <c r="M632" s="159"/>
      <c r="N632" s="67"/>
      <c r="O632" s="67"/>
      <c r="P632" s="67"/>
      <c r="Q632" s="67"/>
      <c r="R632" s="67"/>
      <c r="S632" s="67"/>
      <c r="T632" s="67"/>
      <c r="U632" s="67"/>
      <c r="V632" s="67"/>
      <c r="W632" s="85"/>
      <c r="X632" s="962" t="s">
        <v>533</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c r="A633" s="878">
        <v>39</v>
      </c>
      <c r="B633" s="159"/>
      <c r="C633" s="65"/>
      <c r="D633" s="67"/>
      <c r="E633" s="62" t="s">
        <v>765</v>
      </c>
      <c r="F633" s="67"/>
      <c r="G633" s="67"/>
      <c r="H633" s="67"/>
      <c r="I633" s="67"/>
      <c r="J633" s="158" t="str">
        <f>IF(M434=2,"NA",IF($M635="","TBD",IF($M635=1,"YES",IF($M635=3,"NA",""))))</f>
        <v>NA</v>
      </c>
      <c r="K633" s="139" t="str">
        <f>IF($M635=2,"NO","")</f>
        <v/>
      </c>
      <c r="L633" s="981" t="s">
        <v>533</v>
      </c>
      <c r="M633" s="395" t="s">
        <v>764</v>
      </c>
      <c r="N633" s="65"/>
      <c r="O633" s="65"/>
      <c r="P633" s="65"/>
      <c r="Q633" s="67"/>
      <c r="R633" s="67"/>
      <c r="S633" s="67"/>
      <c r="T633" s="67"/>
      <c r="U633" s="67"/>
      <c r="V633" s="67"/>
      <c r="W633" s="85"/>
      <c r="X633" s="962" t="s">
        <v>533</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c r="A634" s="878">
        <v>40</v>
      </c>
      <c r="B634" s="159"/>
      <c r="C634" s="67"/>
      <c r="D634" s="67"/>
      <c r="E634" s="67"/>
      <c r="F634" s="67"/>
      <c r="G634" s="67"/>
      <c r="H634" s="67"/>
      <c r="I634" s="67"/>
      <c r="J634" s="67"/>
      <c r="K634" s="85"/>
      <c r="L634" s="981" t="s">
        <v>533</v>
      </c>
      <c r="M634" s="264" t="s">
        <v>766</v>
      </c>
      <c r="N634" s="67"/>
      <c r="O634" s="67"/>
      <c r="P634" s="67"/>
      <c r="Q634" s="67"/>
      <c r="R634" s="67"/>
      <c r="S634" s="67"/>
      <c r="T634" s="67"/>
      <c r="U634" s="67"/>
      <c r="V634" s="67"/>
      <c r="W634" s="85"/>
      <c r="X634" s="962" t="s">
        <v>533</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c r="A635" s="878">
        <v>41</v>
      </c>
      <c r="B635" s="1363" t="s">
        <v>640</v>
      </c>
      <c r="C635" s="1364" t="str">
        <f>"Cassette/Film Size ("&amp;WBCM_IN&amp;")"</f>
        <v>Cassette/Film Size (cm)</v>
      </c>
      <c r="D635" s="1361"/>
      <c r="E635" s="1362" t="str">
        <f>"Measured* Radiation ("&amp;WBCM_IN&amp;")"</f>
        <v>Measured* Radiation (cm)</v>
      </c>
      <c r="F635" s="1361"/>
      <c r="G635" s="1365" t="s">
        <v>757</v>
      </c>
      <c r="H635" s="1366"/>
      <c r="I635" s="1366"/>
      <c r="J635" s="269" t="s">
        <v>761</v>
      </c>
      <c r="K635" s="271"/>
      <c r="L635" s="981" t="s">
        <v>533</v>
      </c>
      <c r="M635" s="1160">
        <f>IF(N635&lt;&gt;"",N635,IF(OR(AB151=0,AB151=""),"",AB151))</f>
        <v>3</v>
      </c>
      <c r="N635" s="1006"/>
      <c r="O635" s="62" t="s">
        <v>765</v>
      </c>
      <c r="P635" s="67"/>
      <c r="Q635" s="67"/>
      <c r="R635" s="67"/>
      <c r="S635" s="67"/>
      <c r="T635" s="67"/>
      <c r="U635" s="67"/>
      <c r="V635" s="67"/>
      <c r="W635" s="85"/>
      <c r="X635" s="962" t="s">
        <v>533</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c r="A636" s="878">
        <v>42</v>
      </c>
      <c r="B636" s="292" t="str">
        <f>"("&amp;IF(WBCM_IN="","",WBCM_IN)&amp;")"</f>
        <v>(cm)</v>
      </c>
      <c r="C636" s="195" t="s">
        <v>582</v>
      </c>
      <c r="D636" s="221" t="s">
        <v>583</v>
      </c>
      <c r="E636" s="222" t="s">
        <v>582</v>
      </c>
      <c r="F636" s="267" t="s">
        <v>583</v>
      </c>
      <c r="G636" s="222" t="s">
        <v>582</v>
      </c>
      <c r="H636" s="195" t="s">
        <v>583</v>
      </c>
      <c r="I636" s="267" t="s">
        <v>41</v>
      </c>
      <c r="J636" s="270" t="s">
        <v>582</v>
      </c>
      <c r="K636" s="242" t="s">
        <v>583</v>
      </c>
      <c r="L636" s="981" t="s">
        <v>533</v>
      </c>
      <c r="M636" s="159"/>
      <c r="N636" s="67"/>
      <c r="O636" s="67"/>
      <c r="P636" s="67"/>
      <c r="Q636" s="67"/>
      <c r="R636" s="67"/>
      <c r="S636" s="67"/>
      <c r="T636" s="67"/>
      <c r="U636" s="67"/>
      <c r="V636" s="67"/>
      <c r="W636" s="85"/>
      <c r="X636" s="962" t="s">
        <v>533</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533</v>
      </c>
      <c r="M637" s="150" t="s">
        <v>640</v>
      </c>
      <c r="N637" s="329" t="str">
        <f>"Cassette/Film Size ("&amp;WBCM_IN&amp;")"</f>
        <v>Cassette/Film Size (cm)</v>
      </c>
      <c r="O637" s="226"/>
      <c r="P637" s="330" t="str">
        <f>"Measured* Radiation ("&amp;WBCM_IN&amp;")"</f>
        <v>Measured* Radiation (cm)</v>
      </c>
      <c r="Q637" s="226"/>
      <c r="R637" s="1683" t="s">
        <v>757</v>
      </c>
      <c r="S637" s="1684"/>
      <c r="T637" s="1685"/>
      <c r="U637" s="1680" t="s">
        <v>761</v>
      </c>
      <c r="V637" s="1681"/>
      <c r="W637" s="1682"/>
      <c r="X637" s="962" t="s">
        <v>533</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533</v>
      </c>
      <c r="M638" s="292" t="str">
        <f>"("&amp;IF(WBCM_IN="","",WBCM_IN)&amp;")"</f>
        <v>(cm)</v>
      </c>
      <c r="N638" s="336" t="s">
        <v>582</v>
      </c>
      <c r="O638" s="334" t="s">
        <v>775</v>
      </c>
      <c r="P638" s="335" t="s">
        <v>582</v>
      </c>
      <c r="Q638" s="338" t="s">
        <v>775</v>
      </c>
      <c r="R638" s="335" t="s">
        <v>582</v>
      </c>
      <c r="S638" s="336" t="s">
        <v>775</v>
      </c>
      <c r="T638" s="336" t="s">
        <v>41</v>
      </c>
      <c r="U638" s="1071" t="s">
        <v>582</v>
      </c>
      <c r="V638" s="1069" t="s">
        <v>775</v>
      </c>
      <c r="W638" s="1466" t="s">
        <v>41</v>
      </c>
      <c r="X638" s="962" t="s">
        <v>533</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c r="A639" s="878">
        <v>45</v>
      </c>
      <c r="B639" s="159"/>
      <c r="C639" s="265" t="s">
        <v>759</v>
      </c>
      <c r="D639" s="67"/>
      <c r="E639" s="67"/>
      <c r="F639" s="67"/>
      <c r="G639" s="67"/>
      <c r="H639" s="67"/>
      <c r="I639" s="67"/>
      <c r="J639" s="67"/>
      <c r="K639" s="85"/>
      <c r="L639" s="981" t="s">
        <v>533</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533</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c r="A640" s="878">
        <v>46</v>
      </c>
      <c r="B640" s="159"/>
      <c r="C640" s="67"/>
      <c r="D640" s="67"/>
      <c r="E640" s="67"/>
      <c r="F640" s="67"/>
      <c r="G640" s="67"/>
      <c r="H640" s="67"/>
      <c r="I640" s="67"/>
      <c r="J640" s="67"/>
      <c r="K640" s="85"/>
      <c r="L640" s="981" t="s">
        <v>533</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533</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c r="A641" s="878">
        <v>47</v>
      </c>
      <c r="B641" s="251" t="s">
        <v>699</v>
      </c>
      <c r="C641" s="246" t="s">
        <v>573</v>
      </c>
      <c r="D641" s="122"/>
      <c r="E641" s="123"/>
      <c r="F641" s="123"/>
      <c r="G641" s="123"/>
      <c r="H641" s="123"/>
      <c r="I641" s="123"/>
      <c r="J641" s="158"/>
      <c r="K641" s="139" t="str">
        <f>IF(M643=2,"NO","")</f>
        <v/>
      </c>
      <c r="L641" s="981" t="s">
        <v>533</v>
      </c>
      <c r="M641" s="159"/>
      <c r="N641" s="265" t="s">
        <v>759</v>
      </c>
      <c r="O641" s="67"/>
      <c r="P641" s="67"/>
      <c r="Q641" s="67"/>
      <c r="R641" s="67"/>
      <c r="S641" s="67"/>
      <c r="T641" s="67"/>
      <c r="U641" s="67"/>
      <c r="V641" s="67"/>
      <c r="W641" s="85"/>
      <c r="X641" s="962" t="s">
        <v>533</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c r="A642" s="878">
        <v>48</v>
      </c>
      <c r="B642" s="159"/>
      <c r="C642" s="990" t="s">
        <v>48</v>
      </c>
      <c r="D642" s="67"/>
      <c r="E642" s="67"/>
      <c r="F642" s="67"/>
      <c r="G642" s="67"/>
      <c r="H642" s="67"/>
      <c r="I642" s="67"/>
      <c r="J642" s="67"/>
      <c r="K642" s="85"/>
      <c r="L642" s="981" t="s">
        <v>533</v>
      </c>
      <c r="M642" s="1000"/>
      <c r="N642" s="1001"/>
      <c r="O642" s="1001"/>
      <c r="P642" s="1102"/>
      <c r="Q642" s="1102"/>
      <c r="R642" s="1048" t="s">
        <v>748</v>
      </c>
      <c r="S642" s="67"/>
      <c r="T642" s="67"/>
      <c r="U642" s="67"/>
      <c r="V642" s="67"/>
      <c r="W642" s="85"/>
      <c r="X642" s="962" t="s">
        <v>533</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c r="A643" s="878">
        <v>49</v>
      </c>
      <c r="B643" s="124"/>
      <c r="C643" s="67"/>
      <c r="D643" s="67"/>
      <c r="E643" s="67"/>
      <c r="F643" s="67"/>
      <c r="G643" s="67"/>
      <c r="H643" s="67"/>
      <c r="I643" s="67"/>
      <c r="J643" s="67"/>
      <c r="K643" s="85"/>
      <c r="L643" s="981" t="s">
        <v>533</v>
      </c>
      <c r="M643" s="1000"/>
      <c r="N643" s="1001"/>
      <c r="O643" s="1001"/>
      <c r="P643" s="1102"/>
      <c r="Q643" s="1102"/>
      <c r="R643" s="1049" t="s">
        <v>404</v>
      </c>
      <c r="S643" s="123"/>
      <c r="T643" s="123"/>
      <c r="U643" s="60"/>
      <c r="V643" s="60"/>
      <c r="W643" s="83"/>
      <c r="X643" s="962" t="s">
        <v>533</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c r="A644" s="878">
        <v>50</v>
      </c>
      <c r="B644" s="101" t="s">
        <v>681</v>
      </c>
      <c r="C644" s="1290" t="str">
        <f>IF(O646="","",IF(LEN(O646)&lt;=135,O646,IF(LEN(O646)&lt;=260,LEFT(O646,SEARCH(" ",O646,125)),LEFT(O646,SEARCH(" ",O646,130)))))</f>
        <v/>
      </c>
      <c r="D644" s="61"/>
      <c r="E644" s="61"/>
      <c r="F644" s="61"/>
      <c r="G644" s="61"/>
      <c r="H644" s="61"/>
      <c r="I644" s="61"/>
      <c r="J644" s="61"/>
      <c r="K644" s="85"/>
      <c r="L644" s="981" t="s">
        <v>533</v>
      </c>
      <c r="M644" s="276"/>
      <c r="N644" s="166" t="s">
        <v>699</v>
      </c>
      <c r="O644" s="246" t="s">
        <v>49</v>
      </c>
      <c r="P644" s="67"/>
      <c r="Q644" s="67"/>
      <c r="R644" s="67"/>
      <c r="S644" s="67"/>
      <c r="T644" s="67"/>
      <c r="U644" s="67"/>
      <c r="V644" s="67"/>
      <c r="W644" s="85"/>
      <c r="X644" s="962" t="s">
        <v>533</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533</v>
      </c>
      <c r="M645" s="159"/>
      <c r="O645" s="990" t="s">
        <v>48</v>
      </c>
      <c r="W645" s="85"/>
      <c r="X645" s="962" t="s">
        <v>533</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c r="A646" s="878">
        <v>52</v>
      </c>
      <c r="B646" s="159"/>
      <c r="C646" s="1290" t="str">
        <f>IF(LEN(O646)&lt;=265,"",RIGHT(O646,LEN(O646)-SEARCH(" ",O646,255)))</f>
        <v/>
      </c>
      <c r="D646" s="61"/>
      <c r="E646" s="61"/>
      <c r="F646" s="61"/>
      <c r="G646" s="61"/>
      <c r="H646" s="61"/>
      <c r="I646" s="61"/>
      <c r="J646" s="61"/>
      <c r="K646" s="85"/>
      <c r="L646" s="981" t="s">
        <v>533</v>
      </c>
      <c r="M646" s="125"/>
      <c r="N646" s="830" t="s">
        <v>681</v>
      </c>
      <c r="O646" s="1025" t="str">
        <f>IF(O648&lt;&gt;"",O648,IF(OR(AB437=0,AB437=""),"",AB437))</f>
        <v/>
      </c>
      <c r="P646" s="59"/>
      <c r="Q646" s="59"/>
      <c r="R646" s="59"/>
      <c r="S646" s="59"/>
      <c r="T646" s="59"/>
      <c r="U646" s="59"/>
      <c r="V646" s="59"/>
      <c r="W646" s="126"/>
      <c r="X646" s="962" t="s">
        <v>533</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c r="A647" s="878">
        <v>53</v>
      </c>
      <c r="B647" s="159"/>
      <c r="D647" s="67"/>
      <c r="E647" s="67"/>
      <c r="F647" s="67"/>
      <c r="G647" s="67"/>
      <c r="H647" s="67"/>
      <c r="I647" s="67"/>
      <c r="J647" s="67"/>
      <c r="K647" s="85"/>
      <c r="L647" s="981" t="s">
        <v>533</v>
      </c>
      <c r="M647" s="150"/>
      <c r="N647" s="876" t="s">
        <v>373</v>
      </c>
      <c r="O647" s="128"/>
      <c r="P647" s="1289">
        <f>LEN(O646)</f>
        <v>0</v>
      </c>
      <c r="Q647" s="128"/>
      <c r="R647" s="128"/>
      <c r="S647" s="128"/>
      <c r="T647" s="128"/>
      <c r="U647" s="128"/>
      <c r="V647" s="128"/>
      <c r="W647" s="129"/>
      <c r="X647" s="962" t="s">
        <v>533</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c r="A648" s="878">
        <v>54</v>
      </c>
      <c r="B648" s="260" t="s">
        <v>536</v>
      </c>
      <c r="C648" s="133"/>
      <c r="D648" s="67"/>
      <c r="E648" s="261" t="s">
        <v>769</v>
      </c>
      <c r="F648" s="65"/>
      <c r="G648" s="47"/>
      <c r="H648" s="47"/>
      <c r="I648" s="47"/>
      <c r="J648" s="534" t="s">
        <v>538</v>
      </c>
      <c r="K648" s="535"/>
      <c r="L648" s="981" t="s">
        <v>533</v>
      </c>
      <c r="M648" s="159"/>
      <c r="N648" s="1447" t="s">
        <v>748</v>
      </c>
      <c r="O648" s="1449"/>
      <c r="P648" s="62"/>
      <c r="Q648" s="62"/>
      <c r="R648" s="60"/>
      <c r="S648" s="60"/>
      <c r="T648" s="60"/>
      <c r="U648" s="60"/>
      <c r="V648" s="60"/>
      <c r="W648" s="83"/>
      <c r="X648" s="962" t="s">
        <v>533</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c r="A649" s="878">
        <v>55</v>
      </c>
      <c r="B649" s="134"/>
      <c r="C649" s="135"/>
      <c r="D649" s="122" t="s">
        <v>574</v>
      </c>
      <c r="E649" s="123"/>
      <c r="F649" s="123"/>
      <c r="G649" s="123"/>
      <c r="H649" s="123"/>
      <c r="I649" s="123"/>
      <c r="J649" s="158" t="str">
        <f>IF($M$434=2,"NA",IF($M652="","TBD",IF($M652=1,"YES",IF($M652=3,"NA",""))))</f>
        <v>TBD</v>
      </c>
      <c r="K649" s="139" t="str">
        <f>IF($M$434=2,"",IF($M652=2,"NO",""))</f>
        <v/>
      </c>
      <c r="L649" s="981" t="s">
        <v>533</v>
      </c>
      <c r="M649" s="159"/>
      <c r="N649" s="67"/>
      <c r="O649" s="67"/>
      <c r="P649" s="67"/>
      <c r="Q649" s="67"/>
      <c r="R649" s="67"/>
      <c r="S649" s="67"/>
      <c r="T649" s="67"/>
      <c r="U649" s="67"/>
      <c r="V649" s="67"/>
      <c r="W649" s="85"/>
      <c r="X649" s="962" t="s">
        <v>533</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c r="A650" s="878">
        <v>56</v>
      </c>
      <c r="B650" s="125"/>
      <c r="C650" s="62"/>
      <c r="D650" s="62" t="s">
        <v>1225</v>
      </c>
      <c r="E650" s="67"/>
      <c r="F650" s="67"/>
      <c r="G650" s="67"/>
      <c r="H650" s="67"/>
      <c r="I650" s="67"/>
      <c r="J650" s="158" t="str">
        <f>IF($M$409=2,"NA",IF($M653="","TBD",IF($M653=1,"Stationary",IF($M653=2,"Reciprocating",IF($M653=3,"NA","")))))</f>
        <v>Stationary</v>
      </c>
      <c r="K650" s="139"/>
      <c r="L650" s="981" t="s">
        <v>533</v>
      </c>
      <c r="M650" s="159"/>
      <c r="N650" s="67"/>
      <c r="O650" s="274"/>
      <c r="P650" s="67"/>
      <c r="Q650" s="67"/>
      <c r="R650" s="1226" t="s">
        <v>769</v>
      </c>
      <c r="S650" s="67"/>
      <c r="T650" s="67"/>
      <c r="U650" s="67"/>
      <c r="V650" s="67"/>
      <c r="W650" s="85"/>
      <c r="X650" s="962" t="s">
        <v>533</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NA</v>
      </c>
      <c r="K651" s="139" t="str">
        <f>IF(OR($M$434=2,M653=1),"",IF($J$650="YES","",IF($M654=2,"NO","")))</f>
        <v/>
      </c>
      <c r="L651" s="981" t="s">
        <v>533</v>
      </c>
      <c r="M651" s="264" t="s">
        <v>539</v>
      </c>
      <c r="N651" s="67"/>
      <c r="O651" s="67"/>
      <c r="P651" s="67"/>
      <c r="Q651" s="67"/>
      <c r="R651" s="65"/>
      <c r="S651" s="67"/>
      <c r="T651" s="67"/>
      <c r="U651" s="67"/>
      <c r="V651" s="67"/>
      <c r="W651" s="85"/>
      <c r="X651" s="962" t="s">
        <v>533</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c r="A652" s="878">
        <v>58</v>
      </c>
      <c r="B652" s="159"/>
      <c r="C652" s="67"/>
      <c r="D652" s="67"/>
      <c r="E652" s="67"/>
      <c r="F652" s="67"/>
      <c r="G652" s="67"/>
      <c r="H652" s="67"/>
      <c r="I652" s="67"/>
      <c r="J652" s="67"/>
      <c r="K652" s="85"/>
      <c r="L652" s="981" t="s">
        <v>533</v>
      </c>
      <c r="M652" s="1033"/>
      <c r="N652" s="62"/>
      <c r="O652" s="122" t="s">
        <v>574</v>
      </c>
      <c r="P652" s="123"/>
      <c r="Q652" s="123"/>
      <c r="R652" s="123"/>
      <c r="S652" s="123"/>
      <c r="T652" s="123"/>
      <c r="U652" s="60"/>
      <c r="V652" s="60"/>
      <c r="W652" s="83"/>
      <c r="X652" s="962" t="s">
        <v>533</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c r="A653" s="878">
        <v>59</v>
      </c>
      <c r="B653" s="124" t="s">
        <v>681</v>
      </c>
      <c r="C653" s="1290" t="str">
        <f>IF(O656="","",IF(LEN(O656)&lt;=135,O656,IF(LEN(O656)&lt;=260,LEFT(O656,SEARCH(" ",O656,125)),LEFT(O656,SEARCH(" ",O656,130)))))</f>
        <v/>
      </c>
      <c r="D653" s="61"/>
      <c r="E653" s="61"/>
      <c r="F653" s="61"/>
      <c r="G653" s="61"/>
      <c r="H653" s="61"/>
      <c r="I653" s="61"/>
      <c r="J653" s="61"/>
      <c r="K653" s="100"/>
      <c r="L653" s="981" t="s">
        <v>533</v>
      </c>
      <c r="M653" s="1162">
        <f>IF(N653&lt;&gt;"",N653,IF(OR(AB152=0,AB152=""),"",AB152))</f>
        <v>1</v>
      </c>
      <c r="N653" s="1006"/>
      <c r="O653" s="62" t="s">
        <v>770</v>
      </c>
      <c r="P653" s="62"/>
      <c r="Q653" s="62"/>
      <c r="R653" s="62"/>
      <c r="S653" s="62"/>
      <c r="T653" s="62"/>
      <c r="U653" s="62"/>
      <c r="V653" s="62"/>
      <c r="W653" s="84"/>
      <c r="X653" s="962" t="s">
        <v>533</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533</v>
      </c>
      <c r="M654" s="887"/>
      <c r="N654" s="67"/>
      <c r="O654" s="62" t="str">
        <f>IF(M653=1,"","Radiographic image is free of grid lines.")</f>
        <v/>
      </c>
      <c r="P654" s="67"/>
      <c r="Q654" s="67"/>
      <c r="R654" s="67"/>
      <c r="S654" s="67"/>
      <c r="T654" s="67"/>
      <c r="U654" s="67"/>
      <c r="V654" s="67"/>
      <c r="W654" s="85"/>
      <c r="X654" s="962" t="s">
        <v>533</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c r="A655" s="878">
        <v>61</v>
      </c>
      <c r="B655" s="101"/>
      <c r="C655" s="1290" t="str">
        <f>IF(LEN(O656)&lt;=265,"",RIGHT(O656,LEN(O656)-SEARCH(" ",O656,255)))</f>
        <v/>
      </c>
      <c r="D655" s="61"/>
      <c r="E655" s="61"/>
      <c r="F655" s="61"/>
      <c r="G655" s="61"/>
      <c r="H655" s="61"/>
      <c r="I655" s="61"/>
      <c r="J655" s="61"/>
      <c r="K655" s="100"/>
      <c r="L655" s="981" t="s">
        <v>533</v>
      </c>
      <c r="M655" s="159"/>
      <c r="N655" s="67"/>
      <c r="O655" s="67"/>
      <c r="P655" s="67"/>
      <c r="Q655" s="67"/>
      <c r="R655" s="67"/>
      <c r="S655" s="67"/>
      <c r="T655" s="67"/>
      <c r="U655" s="67"/>
      <c r="V655" s="67"/>
      <c r="W655" s="85"/>
      <c r="X655" s="962" t="s">
        <v>533</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c r="A656" s="878">
        <v>62</v>
      </c>
      <c r="B656" s="159"/>
      <c r="D656" s="67"/>
      <c r="E656" s="67"/>
      <c r="F656" s="67"/>
      <c r="G656" s="67"/>
      <c r="H656" s="67"/>
      <c r="I656" s="67"/>
      <c r="J656" s="67"/>
      <c r="K656" s="85"/>
      <c r="L656" s="981" t="s">
        <v>533</v>
      </c>
      <c r="M656" s="159"/>
      <c r="N656" s="830" t="s">
        <v>681</v>
      </c>
      <c r="O656" s="1025" t="str">
        <f>IF(O658&lt;&gt;"",O658,IF(OR(AB438=0,AB438=""),"",AB438))</f>
        <v/>
      </c>
      <c r="P656" s="59"/>
      <c r="Q656" s="59"/>
      <c r="R656" s="59"/>
      <c r="S656" s="59"/>
      <c r="T656" s="59"/>
      <c r="U656" s="59"/>
      <c r="V656" s="59"/>
      <c r="W656" s="126"/>
      <c r="X656" s="962" t="s">
        <v>533</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c r="A657" s="878">
        <v>63</v>
      </c>
      <c r="B657" s="263"/>
      <c r="C657" s="186"/>
      <c r="D657" s="186"/>
      <c r="E657" s="186"/>
      <c r="F657" s="186"/>
      <c r="G657" s="186"/>
      <c r="H657" s="186"/>
      <c r="I657" s="186"/>
      <c r="J657" s="186"/>
      <c r="K657" s="88"/>
      <c r="L657" s="981" t="s">
        <v>533</v>
      </c>
      <c r="M657" s="125"/>
      <c r="N657" s="876" t="s">
        <v>373</v>
      </c>
      <c r="O657" s="128"/>
      <c r="P657" s="1289">
        <f>LEN(O656)</f>
        <v>0</v>
      </c>
      <c r="Q657" s="128"/>
      <c r="R657" s="128"/>
      <c r="S657" s="128"/>
      <c r="T657" s="128"/>
      <c r="U657" s="128"/>
      <c r="V657" s="128"/>
      <c r="W657" s="129"/>
      <c r="X657" s="962" t="s">
        <v>533</v>
      </c>
      <c r="Y657" s="619"/>
      <c r="Z657" t="s">
        <v>1246</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c r="A658" s="878">
        <v>64</v>
      </c>
      <c r="B658" s="142"/>
      <c r="D658" s="142"/>
      <c r="E658" s="142"/>
      <c r="F658" s="142"/>
      <c r="G658" s="142"/>
      <c r="H658" s="142"/>
      <c r="I658" s="142"/>
      <c r="J658" s="142"/>
      <c r="K658" s="142"/>
      <c r="L658" s="981" t="s">
        <v>533</v>
      </c>
      <c r="M658" s="150"/>
      <c r="N658" s="1447" t="s">
        <v>748</v>
      </c>
      <c r="O658" s="1449"/>
      <c r="P658" s="128"/>
      <c r="Q658" s="128"/>
      <c r="R658" s="59"/>
      <c r="S658" s="59"/>
      <c r="T658" s="59"/>
      <c r="U658" s="59"/>
      <c r="V658" s="59"/>
      <c r="W658" s="126"/>
      <c r="X658" s="962" t="s">
        <v>533</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c r="A659" s="878">
        <v>65</v>
      </c>
      <c r="B659" s="64" t="str">
        <f t="array" ref="B659:C660">$B$65:$C$66</f>
        <v>Date:</v>
      </c>
      <c r="C659" s="1467">
        <v>43039</v>
      </c>
      <c r="D659" s="69"/>
      <c r="E659" s="142"/>
      <c r="F659" s="142"/>
      <c r="G659" s="142"/>
      <c r="H659" s="142"/>
      <c r="I659" s="64" t="str">
        <f t="array" ref="I659:J660">$I$65:$J$66</f>
        <v>Inspector:</v>
      </c>
      <c r="J659" s="565" t="str">
        <v>Eugene Mah</v>
      </c>
      <c r="L659" s="981" t="s">
        <v>533</v>
      </c>
      <c r="M659" s="116"/>
      <c r="N659" s="98"/>
      <c r="O659" s="98"/>
      <c r="P659" s="98"/>
      <c r="Q659" s="98"/>
      <c r="R659" s="98"/>
      <c r="S659" s="98"/>
      <c r="T659" s="98"/>
      <c r="U659" s="98"/>
      <c r="V659" s="98"/>
      <c r="W659" s="103"/>
      <c r="X659" s="962" t="s">
        <v>533</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c r="A660" s="878">
        <v>66</v>
      </c>
      <c r="B660" s="64" t="str">
        <v>Room Number:</v>
      </c>
      <c r="C660" s="508" t="str">
        <v>Room 04 RT 127M - Tube 1</v>
      </c>
      <c r="D660" s="115"/>
      <c r="E660" s="142"/>
      <c r="F660" s="142"/>
      <c r="G660" s="142"/>
      <c r="H660" s="142"/>
      <c r="I660" s="64" t="str">
        <v>Survey ID:</v>
      </c>
      <c r="J660" s="1475">
        <v>1976</v>
      </c>
      <c r="L660" s="981" t="s">
        <v>533</v>
      </c>
      <c r="M660" s="142"/>
      <c r="N660" s="142"/>
      <c r="O660" s="142"/>
      <c r="P660" s="142"/>
      <c r="Q660" s="142"/>
      <c r="R660" s="142"/>
      <c r="S660" s="142"/>
      <c r="T660" s="142"/>
      <c r="U660" s="142"/>
      <c r="V660" s="142"/>
      <c r="W660" s="142"/>
      <c r="X660" s="962" t="s">
        <v>533</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c r="A661" s="878">
        <v>1</v>
      </c>
      <c r="K661" s="165" t="str">
        <f>$F$2</f>
        <v>Medical University of South Carolina</v>
      </c>
      <c r="L661" s="981" t="s">
        <v>533</v>
      </c>
      <c r="W661" s="165" t="str">
        <f>$F$2</f>
        <v>Medical University of South Carolina</v>
      </c>
      <c r="X661" s="962" t="s">
        <v>533</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c r="A662" s="878">
        <v>2</v>
      </c>
      <c r="F662" s="344" t="str">
        <f>$F$464</f>
        <v>Measurement Data</v>
      </c>
      <c r="K662" s="166" t="str">
        <f>$F$5</f>
        <v>Radiographic System Compliance Inspection</v>
      </c>
      <c r="L662" s="981" t="s">
        <v>533</v>
      </c>
      <c r="Q662" s="344" t="str">
        <f>$F$464</f>
        <v>Measurement Data</v>
      </c>
      <c r="W662" s="166" t="str">
        <f>$F$5</f>
        <v>Radiographic System Compliance Inspection</v>
      </c>
      <c r="X662" s="962" t="s">
        <v>533</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c r="A663" s="878">
        <v>3</v>
      </c>
      <c r="L663" s="981" t="s">
        <v>533</v>
      </c>
      <c r="X663" s="962" t="s">
        <v>533</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c r="A664" s="878">
        <v>4</v>
      </c>
      <c r="B664" s="67"/>
      <c r="C664" s="67"/>
      <c r="D664" s="67"/>
      <c r="E664" s="67"/>
      <c r="F664" s="248" t="s">
        <v>636</v>
      </c>
      <c r="G664" s="67"/>
      <c r="H664" s="67"/>
      <c r="I664" s="67"/>
      <c r="J664" s="67"/>
      <c r="K664" s="67"/>
      <c r="L664" s="981" t="s">
        <v>533</v>
      </c>
      <c r="M664" s="93"/>
      <c r="N664" s="76"/>
      <c r="O664" s="76"/>
      <c r="P664" s="76"/>
      <c r="Q664" s="76"/>
      <c r="R664" s="76"/>
      <c r="S664" s="76"/>
      <c r="T664" s="76"/>
      <c r="U664" s="76"/>
      <c r="V664" s="76"/>
      <c r="W664" s="94"/>
      <c r="X664" s="962" t="s">
        <v>533</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c r="A665" s="878">
        <v>5</v>
      </c>
      <c r="B665" s="67"/>
      <c r="C665" s="67"/>
      <c r="D665" s="67"/>
      <c r="E665" s="67"/>
      <c r="F665" s="343"/>
      <c r="G665" s="67"/>
      <c r="H665" s="67"/>
      <c r="I665" s="67"/>
      <c r="J665" s="67"/>
      <c r="K665" s="67"/>
      <c r="L665" s="981" t="s">
        <v>533</v>
      </c>
      <c r="M665" s="159"/>
      <c r="N665" s="67"/>
      <c r="O665" s="67"/>
      <c r="P665" s="67"/>
      <c r="Q665" s="343" t="s">
        <v>617</v>
      </c>
      <c r="R665" s="67"/>
      <c r="S665" s="67"/>
      <c r="T665" s="67"/>
      <c r="U665" s="67"/>
      <c r="V665" s="5" t="s">
        <v>798</v>
      </c>
      <c r="W665" s="607" t="s">
        <v>799</v>
      </c>
      <c r="X665" s="962" t="s">
        <v>533</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c r="A666" s="878">
        <v>6</v>
      </c>
      <c r="B666" s="93"/>
      <c r="C666" s="76"/>
      <c r="D666" s="76"/>
      <c r="E666" s="76"/>
      <c r="F666" s="76"/>
      <c r="G666" s="76"/>
      <c r="H666" s="76"/>
      <c r="I666" s="76"/>
      <c r="J666" s="76"/>
      <c r="K666" s="94"/>
      <c r="L666" s="981" t="s">
        <v>533</v>
      </c>
      <c r="M666" s="395" t="s">
        <v>785</v>
      </c>
      <c r="N666" s="280"/>
      <c r="O666" s="3"/>
      <c r="P666" s="3"/>
      <c r="Q666" s="62" t="s">
        <v>800</v>
      </c>
      <c r="R666" s="3"/>
      <c r="S666" s="3"/>
      <c r="T666" s="3"/>
      <c r="U666" s="5" t="s">
        <v>696</v>
      </c>
      <c r="V666" s="5" t="s">
        <v>801</v>
      </c>
      <c r="W666" s="607" t="s">
        <v>801</v>
      </c>
      <c r="X666" s="962" t="s">
        <v>533</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c r="A667" s="878">
        <v>7</v>
      </c>
      <c r="B667" s="395" t="s">
        <v>785</v>
      </c>
      <c r="C667" s="280"/>
      <c r="D667" s="3"/>
      <c r="E667" s="3"/>
      <c r="F667" s="3"/>
      <c r="G667" s="3"/>
      <c r="H667" s="3"/>
      <c r="I667" s="3"/>
      <c r="J667" s="3"/>
      <c r="K667" s="85"/>
      <c r="L667" s="981" t="s">
        <v>533</v>
      </c>
      <c r="M667" s="278" t="str">
        <f>$S$37</f>
        <v>Large:</v>
      </c>
      <c r="N667" s="1113">
        <f>IF($U$54="","?Tube #?",IF(ISNA(MATCH($U$54,$U$59:$U$65,0)),IF(ISNA(MATCH($U$54,$V$59:$V$65,0)),"?Tube #?",$T$37),$T$24))</f>
        <v>1</v>
      </c>
      <c r="O667" s="4" t="s">
        <v>802</v>
      </c>
      <c r="P667" s="3"/>
      <c r="Q667" s="1171" t="str">
        <f>AB155</f>
        <v>mAs</v>
      </c>
      <c r="R667" s="1287" t="s">
        <v>448</v>
      </c>
      <c r="S667" s="3"/>
      <c r="T667" s="3"/>
      <c r="U667" s="5" t="s">
        <v>803</v>
      </c>
      <c r="V667" s="5" t="s">
        <v>803</v>
      </c>
      <c r="W667" s="607" t="s">
        <v>803</v>
      </c>
      <c r="X667" s="962" t="s">
        <v>533</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c r="A668" s="878">
        <v>8</v>
      </c>
      <c r="B668" s="159"/>
      <c r="C668" s="67"/>
      <c r="D668" s="67"/>
      <c r="E668" s="67"/>
      <c r="F668" s="67"/>
      <c r="G668" s="67"/>
      <c r="H668" s="67"/>
      <c r="I668" s="67"/>
      <c r="J668" s="5" t="s">
        <v>798</v>
      </c>
      <c r="K668" s="607" t="s">
        <v>799</v>
      </c>
      <c r="L668" s="981" t="s">
        <v>533</v>
      </c>
      <c r="M668" s="56"/>
      <c r="N668" s="67"/>
      <c r="O668" s="31" t="s">
        <v>590</v>
      </c>
      <c r="P668" s="1002" t="s">
        <v>592</v>
      </c>
      <c r="Q668" s="31" t="s">
        <v>804</v>
      </c>
      <c r="R668" s="31" t="s">
        <v>805</v>
      </c>
      <c r="S668" s="31" t="s">
        <v>806</v>
      </c>
      <c r="T668" s="349" t="s">
        <v>807</v>
      </c>
      <c r="U668" s="7" t="s">
        <v>808</v>
      </c>
      <c r="V668" s="7" t="s">
        <v>808</v>
      </c>
      <c r="W668" s="26" t="s">
        <v>808</v>
      </c>
      <c r="X668" s="962" t="s">
        <v>533</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c r="A669" s="878">
        <v>9</v>
      </c>
      <c r="B669" s="278" t="str">
        <f>IF(M667="","",M667)</f>
        <v>Large:</v>
      </c>
      <c r="C669" s="2">
        <f>IF(N667="","",N667)</f>
        <v>1</v>
      </c>
      <c r="D669" s="4" t="str">
        <f>IF(O667="","",O667)</f>
        <v>mm</v>
      </c>
      <c r="E669" s="3"/>
      <c r="F669" s="3"/>
      <c r="G669" s="3"/>
      <c r="H669" s="3"/>
      <c r="I669" s="5" t="s">
        <v>696</v>
      </c>
      <c r="J669" s="5" t="s">
        <v>801</v>
      </c>
      <c r="K669" s="607" t="s">
        <v>801</v>
      </c>
      <c r="L669" s="981" t="s">
        <v>533</v>
      </c>
      <c r="M669" s="56"/>
      <c r="N669" s="67"/>
      <c r="O669" s="1169">
        <f>IF(O670&lt;&gt;"",O670,IF(OR(AB156=0,AB156=""),"",AB156))</f>
        <v>81</v>
      </c>
      <c r="P669" s="1169">
        <f>IF(P670&lt;&gt;"",P670,IF(OR(AB157=0,AB157=""),"",AB157))</f>
        <v>4</v>
      </c>
      <c r="Q669" s="1170" t="str">
        <f>IF(Q670&lt;&gt;"",Q670,IF(OR(AB158=0,AB158=""),"",AB158))</f>
        <v/>
      </c>
      <c r="R669" s="1171">
        <f>IF(R670&lt;&gt;"",R670,IF(OR(AB159=0,AB159=""),"",AB159))</f>
        <v>182.626</v>
      </c>
      <c r="S669" s="1171">
        <f>IF(S670&lt;&gt;"",S670,IF(OR(AB160=0,AB160=""),"",AB160))</f>
        <v>3</v>
      </c>
      <c r="T669" s="1114">
        <f>IF(OR(R669="",R669=0,S669="",S669=0),"",R669/(R669-S669))</f>
        <v>1.0167013683987842</v>
      </c>
      <c r="U669" s="890"/>
      <c r="V669" s="1172">
        <f>IF(OR(AB162=0,AB162=""),"",AB162)</f>
        <v>3.55</v>
      </c>
      <c r="W669" s="1173" t="str">
        <f>IF(OR(AB163=0,AB163=""),"",AB163)</f>
        <v/>
      </c>
      <c r="X669" s="962" t="s">
        <v>533</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c r="A670" s="878">
        <v>10</v>
      </c>
      <c r="B670" s="56"/>
      <c r="C670" s="3"/>
      <c r="D670" s="3"/>
      <c r="E670" s="3"/>
      <c r="F670" s="3"/>
      <c r="G670" s="3"/>
      <c r="H670" s="3"/>
      <c r="I670" s="5" t="s">
        <v>803</v>
      </c>
      <c r="J670" s="5" t="s">
        <v>803</v>
      </c>
      <c r="K670" s="607" t="s">
        <v>803</v>
      </c>
      <c r="L670" s="981" t="s">
        <v>533</v>
      </c>
      <c r="M670" s="1037"/>
      <c r="N670" s="1029" t="s">
        <v>809</v>
      </c>
      <c r="O670" s="1002"/>
      <c r="P670" s="1002"/>
      <c r="Q670" s="1003"/>
      <c r="R670" s="1004"/>
      <c r="S670" s="1004"/>
      <c r="T670" s="67"/>
      <c r="U670" s="67"/>
      <c r="V670" s="3"/>
      <c r="W670" s="45"/>
      <c r="X670" s="962" t="s">
        <v>533</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c r="A671" s="878">
        <v>11</v>
      </c>
      <c r="B671" s="56"/>
      <c r="C671" s="31" t="s">
        <v>590</v>
      </c>
      <c r="D671" s="31" t="str">
        <f>IF(LFMAS="","mA/mAs",LFMAS)</f>
        <v>mA</v>
      </c>
      <c r="E671" s="31" t="s">
        <v>804</v>
      </c>
      <c r="F671" s="31" t="s">
        <v>805</v>
      </c>
      <c r="G671" s="31" t="s">
        <v>806</v>
      </c>
      <c r="H671" s="349" t="s">
        <v>807</v>
      </c>
      <c r="I671" s="7" t="s">
        <v>808</v>
      </c>
      <c r="J671" s="7" t="s">
        <v>808</v>
      </c>
      <c r="K671" s="26" t="s">
        <v>808</v>
      </c>
      <c r="L671" s="981" t="s">
        <v>533</v>
      </c>
      <c r="M671" s="159"/>
      <c r="N671" s="67"/>
      <c r="O671" s="67"/>
      <c r="P671" s="3"/>
      <c r="Q671" s="62" t="s">
        <v>800</v>
      </c>
      <c r="R671" s="3"/>
      <c r="S671" s="3"/>
      <c r="T671" s="67"/>
      <c r="U671" s="5" t="s">
        <v>696</v>
      </c>
      <c r="V671" s="5" t="s">
        <v>801</v>
      </c>
      <c r="W671" s="607" t="s">
        <v>801</v>
      </c>
      <c r="X671" s="962" t="s">
        <v>533</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c r="A672" s="878">
        <v>12</v>
      </c>
      <c r="B672" s="56"/>
      <c r="C672" s="23">
        <f t="shared" ref="C672:K672" si="74">IF(O669="","",O669)</f>
        <v>81</v>
      </c>
      <c r="D672" s="23">
        <f t="shared" si="74"/>
        <v>4</v>
      </c>
      <c r="E672" s="24" t="str">
        <f t="shared" si="74"/>
        <v/>
      </c>
      <c r="F672" s="23">
        <f t="shared" si="74"/>
        <v>182.626</v>
      </c>
      <c r="G672" s="23">
        <f t="shared" si="74"/>
        <v>3</v>
      </c>
      <c r="H672" s="24">
        <f t="shared" si="74"/>
        <v>1.0167013683987842</v>
      </c>
      <c r="I672" s="23" t="str">
        <f t="shared" si="74"/>
        <v/>
      </c>
      <c r="J672" s="9">
        <f t="shared" si="74"/>
        <v>3.55</v>
      </c>
      <c r="K672" s="608" t="str">
        <f t="shared" si="74"/>
        <v/>
      </c>
      <c r="L672" s="981" t="s">
        <v>533</v>
      </c>
      <c r="M672" s="278" t="str">
        <f>IF($U$54="","Small:",IF(ISNA(MATCH($U$54,$U$59:$U$65,0)),IF(ISNA(MATCH($U$54,$V$59:$V$65,0)),"Small:",IF($T$39="",$S$38,$S$39)),IF($T$26="",$S$25,$S$26)))</f>
        <v>Small:</v>
      </c>
      <c r="N672" s="1113">
        <f>IF($U$54="","?Tube #?",IF(ISNA(MATCH($U$54,$U$59:$U$65,0)),IF(ISNA(MATCH($U$54,$V$59:$V$65,0)),"?Tube #?",IF($T$39="",$T$38,$T$39)),IF($T$26="",$T$25,$T$26)))</f>
        <v>0.6</v>
      </c>
      <c r="O672" s="4" t="s">
        <v>802</v>
      </c>
      <c r="P672" s="3"/>
      <c r="Q672" s="1171" t="str">
        <f>AB165</f>
        <v>mAs</v>
      </c>
      <c r="R672" s="1287" t="s">
        <v>448</v>
      </c>
      <c r="S672" s="3"/>
      <c r="T672" s="67"/>
      <c r="U672" s="5" t="s">
        <v>803</v>
      </c>
      <c r="V672" s="5" t="s">
        <v>803</v>
      </c>
      <c r="W672" s="607" t="s">
        <v>803</v>
      </c>
      <c r="X672" s="962" t="s">
        <v>533</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c r="A673" s="878">
        <v>13</v>
      </c>
      <c r="B673" s="56"/>
      <c r="C673" s="3"/>
      <c r="D673" s="3"/>
      <c r="E673" s="3"/>
      <c r="F673" s="3"/>
      <c r="G673" s="3"/>
      <c r="H673" s="3"/>
      <c r="I673" s="3"/>
      <c r="J673" s="3"/>
      <c r="K673" s="45"/>
      <c r="L673" s="981" t="s">
        <v>533</v>
      </c>
      <c r="M673" s="159"/>
      <c r="N673" s="67"/>
      <c r="O673" s="31" t="s">
        <v>590</v>
      </c>
      <c r="P673" s="1002" t="s">
        <v>592</v>
      </c>
      <c r="Q673" s="31" t="s">
        <v>804</v>
      </c>
      <c r="R673" s="31" t="s">
        <v>805</v>
      </c>
      <c r="S673" s="31" t="s">
        <v>806</v>
      </c>
      <c r="T673" s="349" t="s">
        <v>807</v>
      </c>
      <c r="U673" s="7" t="s">
        <v>808</v>
      </c>
      <c r="V673" s="7" t="s">
        <v>808</v>
      </c>
      <c r="W673" s="26" t="s">
        <v>808</v>
      </c>
      <c r="X673" s="962" t="s">
        <v>533</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c r="A674" s="878">
        <v>14</v>
      </c>
      <c r="B674" s="278" t="str">
        <f>IF(M672="","",M672)</f>
        <v>Small:</v>
      </c>
      <c r="C674" s="2">
        <f>IF(N672="","",N672)</f>
        <v>0.6</v>
      </c>
      <c r="D674" s="4" t="str">
        <f>IF(O672="","",O672)</f>
        <v>mm</v>
      </c>
      <c r="E674" s="3"/>
      <c r="F674" s="3"/>
      <c r="G674" s="3"/>
      <c r="H674" s="3"/>
      <c r="I674" s="5" t="s">
        <v>696</v>
      </c>
      <c r="J674" s="5" t="s">
        <v>801</v>
      </c>
      <c r="K674" s="607" t="s">
        <v>801</v>
      </c>
      <c r="L674" s="981" t="s">
        <v>533</v>
      </c>
      <c r="M674" s="56"/>
      <c r="N674" s="67"/>
      <c r="O674" s="1169">
        <f>IF(O675&lt;&gt;"",O675,IF(OR(AB166=0,AB166=""),"",AB166))</f>
        <v>81</v>
      </c>
      <c r="P674" s="1169">
        <f>IF(P675&lt;&gt;"",P675,IF(OR(AB167=0,AB167=""),"",AB167))</f>
        <v>4</v>
      </c>
      <c r="Q674" s="1170" t="str">
        <f>IF(Q675&lt;&gt;"",Q675,IF(OR(AB168=0,AB168=""),"",AB168))</f>
        <v/>
      </c>
      <c r="R674" s="1171">
        <f>IF(R675&lt;&gt;"",R675,IF(OR(AB169=0,AB169=""),"",AB169))</f>
        <v>182.626</v>
      </c>
      <c r="S674" s="1171">
        <f>IF(S675&lt;&gt;"",S675,IF(OR(AB170=0,AB170=""),"",AB170))</f>
        <v>3</v>
      </c>
      <c r="T674" s="1114">
        <f>IF(OR(R674="",R674=0,S674="",S674=0),"",R674/(R674-S674))</f>
        <v>1.0167013683987842</v>
      </c>
      <c r="U674" s="890"/>
      <c r="V674" s="1172">
        <f>IF(OR(AB172=0,AB172=""),"",AB172)</f>
        <v>3.55</v>
      </c>
      <c r="W674" s="1173" t="str">
        <f>IF(OR(AB173=0,AB173=""),"",AB173)</f>
        <v/>
      </c>
      <c r="X674" s="962" t="s">
        <v>533</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c r="A675" s="878">
        <v>15</v>
      </c>
      <c r="B675" s="56"/>
      <c r="C675" s="3"/>
      <c r="D675" s="3"/>
      <c r="E675" s="3"/>
      <c r="F675" s="3"/>
      <c r="G675" s="3"/>
      <c r="H675" s="3"/>
      <c r="I675" s="5" t="s">
        <v>803</v>
      </c>
      <c r="J675" s="5" t="s">
        <v>803</v>
      </c>
      <c r="K675" s="607" t="s">
        <v>803</v>
      </c>
      <c r="L675" s="981" t="s">
        <v>533</v>
      </c>
      <c r="M675" s="1037"/>
      <c r="N675" s="1029" t="s">
        <v>809</v>
      </c>
      <c r="O675" s="1002"/>
      <c r="P675" s="1002"/>
      <c r="Q675" s="1003"/>
      <c r="R675" s="1004"/>
      <c r="S675" s="1004"/>
      <c r="T675" s="3"/>
      <c r="U675" s="3"/>
      <c r="V675" s="3"/>
      <c r="W675" s="45"/>
      <c r="X675" s="962" t="s">
        <v>533</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c r="A676" s="878">
        <v>16</v>
      </c>
      <c r="B676" s="56"/>
      <c r="C676" s="31" t="s">
        <v>590</v>
      </c>
      <c r="D676" s="31" t="str">
        <f>IF(SFMAS="","mA/mAs",SFMAS)</f>
        <v>mA</v>
      </c>
      <c r="E676" s="31" t="s">
        <v>804</v>
      </c>
      <c r="F676" s="31" t="s">
        <v>805</v>
      </c>
      <c r="G676" s="31" t="s">
        <v>806</v>
      </c>
      <c r="H676" s="349" t="s">
        <v>807</v>
      </c>
      <c r="I676" s="7" t="s">
        <v>808</v>
      </c>
      <c r="J676" s="7" t="s">
        <v>808</v>
      </c>
      <c r="K676" s="26" t="s">
        <v>808</v>
      </c>
      <c r="L676" s="981" t="s">
        <v>533</v>
      </c>
      <c r="M676" s="56"/>
      <c r="N676" s="67"/>
      <c r="O676" s="4" t="s">
        <v>810</v>
      </c>
      <c r="P676" s="3"/>
      <c r="Q676" s="3"/>
      <c r="R676" s="3"/>
      <c r="S676" s="3"/>
      <c r="T676" s="3"/>
      <c r="U676" s="3"/>
      <c r="V676" s="3"/>
      <c r="W676" s="45"/>
      <c r="X676" s="962" t="s">
        <v>533</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c r="A677" s="878">
        <v>17</v>
      </c>
      <c r="B677" s="56"/>
      <c r="C677" s="23">
        <f t="shared" ref="C677:K677" si="75">IF(O674="","",O674)</f>
        <v>81</v>
      </c>
      <c r="D677" s="23">
        <f t="shared" si="75"/>
        <v>4</v>
      </c>
      <c r="E677" s="24" t="str">
        <f t="shared" si="75"/>
        <v/>
      </c>
      <c r="F677" s="23">
        <f t="shared" si="75"/>
        <v>182.626</v>
      </c>
      <c r="G677" s="23">
        <f t="shared" si="75"/>
        <v>3</v>
      </c>
      <c r="H677" s="24">
        <f t="shared" si="75"/>
        <v>1.0167013683987842</v>
      </c>
      <c r="I677" s="23" t="str">
        <f t="shared" si="75"/>
        <v/>
      </c>
      <c r="J677" s="9">
        <f t="shared" si="75"/>
        <v>3.55</v>
      </c>
      <c r="K677" s="608" t="str">
        <f t="shared" si="75"/>
        <v/>
      </c>
      <c r="L677" s="981" t="s">
        <v>533</v>
      </c>
      <c r="M677" s="278"/>
      <c r="N677" s="67"/>
      <c r="O677" s="4" t="s">
        <v>811</v>
      </c>
      <c r="P677" s="67"/>
      <c r="Q677" s="67"/>
      <c r="R677" s="67"/>
      <c r="S677" s="67"/>
      <c r="T677" s="67"/>
      <c r="U677" s="67"/>
      <c r="V677" s="67"/>
      <c r="W677" s="45"/>
      <c r="X677" s="962" t="s">
        <v>533</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c r="A678" s="878">
        <v>18</v>
      </c>
      <c r="B678" s="56"/>
      <c r="C678" s="4" t="s">
        <v>810</v>
      </c>
      <c r="D678" s="3"/>
      <c r="E678" s="3"/>
      <c r="F678" s="3"/>
      <c r="G678" s="3"/>
      <c r="H678" s="3"/>
      <c r="I678" s="3"/>
      <c r="J678" s="3"/>
      <c r="K678" s="85"/>
      <c r="L678" s="981" t="s">
        <v>533</v>
      </c>
      <c r="M678" s="264" t="s">
        <v>539</v>
      </c>
      <c r="N678" s="67"/>
      <c r="O678" s="67"/>
      <c r="P678" s="67"/>
      <c r="Q678" s="67"/>
      <c r="R678" s="67"/>
      <c r="S678" s="67"/>
      <c r="T678" s="67"/>
      <c r="U678" s="67"/>
      <c r="V678" s="67"/>
      <c r="W678" s="45"/>
      <c r="X678" s="962" t="s">
        <v>533</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c r="A679" s="878">
        <v>19</v>
      </c>
      <c r="B679" s="278"/>
      <c r="C679" s="4" t="s">
        <v>811</v>
      </c>
      <c r="D679" s="3"/>
      <c r="E679" s="3"/>
      <c r="F679" s="3"/>
      <c r="G679" s="3"/>
      <c r="H679" s="3"/>
      <c r="I679" s="51" t="s">
        <v>698</v>
      </c>
      <c r="J679" s="179" t="str">
        <f>IF($M679="","TBD",IF($M679=1,"YES",IF($M679=2,"NO","NA")))</f>
        <v>NA</v>
      </c>
      <c r="K679" s="85"/>
      <c r="L679" s="981" t="s">
        <v>533</v>
      </c>
      <c r="M679" s="887">
        <v>3</v>
      </c>
      <c r="N679" s="990" t="s">
        <v>618</v>
      </c>
      <c r="O679" s="62"/>
      <c r="P679" s="67"/>
      <c r="Q679" s="67"/>
      <c r="R679" s="67"/>
      <c r="S679" s="67"/>
      <c r="T679" s="67"/>
      <c r="U679" s="67"/>
      <c r="V679" s="67"/>
      <c r="W679" s="85"/>
      <c r="X679" s="962" t="s">
        <v>533</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c r="A680" s="878">
        <v>20</v>
      </c>
      <c r="B680" s="159"/>
      <c r="C680" s="67"/>
      <c r="D680" s="67"/>
      <c r="E680" s="67"/>
      <c r="F680" s="67"/>
      <c r="G680" s="67"/>
      <c r="H680" s="67"/>
      <c r="I680" s="67"/>
      <c r="J680" s="67"/>
      <c r="K680" s="85"/>
      <c r="L680" s="981" t="s">
        <v>533</v>
      </c>
      <c r="M680" s="159"/>
      <c r="N680" s="67"/>
      <c r="O680" s="166" t="s">
        <v>699</v>
      </c>
      <c r="P680" s="246" t="s">
        <v>812</v>
      </c>
      <c r="Q680" s="67"/>
      <c r="R680" s="67"/>
      <c r="S680" s="67"/>
      <c r="T680" s="67"/>
      <c r="U680" s="67"/>
      <c r="V680" s="67"/>
      <c r="W680" s="85"/>
      <c r="X680" s="962" t="s">
        <v>533</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c r="A681" s="878">
        <v>21</v>
      </c>
      <c r="B681" s="159"/>
      <c r="C681" s="166" t="s">
        <v>699</v>
      </c>
      <c r="D681" s="246" t="s">
        <v>812</v>
      </c>
      <c r="E681" s="67"/>
      <c r="F681" s="67"/>
      <c r="G681" s="67"/>
      <c r="H681" s="67"/>
      <c r="I681" s="67"/>
      <c r="J681" s="67"/>
      <c r="K681" s="85"/>
      <c r="L681" s="981" t="s">
        <v>533</v>
      </c>
      <c r="M681" s="159"/>
      <c r="N681" s="67"/>
      <c r="O681" s="67"/>
      <c r="P681" s="67"/>
      <c r="Q681" s="67"/>
      <c r="R681" s="67"/>
      <c r="S681" s="67"/>
      <c r="T681" s="67"/>
      <c r="U681" s="67"/>
      <c r="V681" s="67"/>
      <c r="W681" s="85"/>
      <c r="X681" s="962" t="s">
        <v>533</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c r="A682" s="878">
        <v>22</v>
      </c>
      <c r="B682" s="159"/>
      <c r="C682" s="67"/>
      <c r="D682" s="67"/>
      <c r="E682" s="67"/>
      <c r="F682" s="67"/>
      <c r="G682" s="67"/>
      <c r="H682" s="67"/>
      <c r="I682" s="67"/>
      <c r="J682" s="67"/>
      <c r="K682" s="85"/>
      <c r="L682" s="981" t="s">
        <v>533</v>
      </c>
      <c r="M682" s="159"/>
      <c r="N682" s="67"/>
      <c r="O682" s="67"/>
      <c r="P682" s="67"/>
      <c r="Q682" s="67"/>
      <c r="R682" s="67"/>
      <c r="S682" s="67"/>
      <c r="T682" s="67"/>
      <c r="U682" s="67"/>
      <c r="V682" s="67"/>
      <c r="W682" s="85"/>
      <c r="X682" s="962" t="s">
        <v>533</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c r="A683" s="878">
        <v>23</v>
      </c>
      <c r="B683" s="124" t="s">
        <v>681</v>
      </c>
      <c r="C683" s="1290" t="str">
        <f>IF(O683="","",IF(LEN(O683)&lt;=135,O683,IF(LEN(O683)&lt;=260,LEFT(O683,SEARCH(" ",O683,125)),LEFT(O683,SEARCH(" ",O683,130)))))</f>
        <v/>
      </c>
      <c r="D683" s="2"/>
      <c r="E683" s="2"/>
      <c r="F683" s="2"/>
      <c r="G683" s="2"/>
      <c r="H683" s="2"/>
      <c r="I683" s="2"/>
      <c r="J683" s="2"/>
      <c r="K683" s="85"/>
      <c r="L683" s="981" t="s">
        <v>533</v>
      </c>
      <c r="M683" s="159"/>
      <c r="N683" s="830" t="s">
        <v>681</v>
      </c>
      <c r="O683" s="1025" t="str">
        <f>IF(O685&lt;&gt;"",O685,IF(OR(AB439=0,AB439=""),"",AB439))</f>
        <v/>
      </c>
      <c r="P683" s="59"/>
      <c r="Q683" s="2"/>
      <c r="R683" s="2"/>
      <c r="S683" s="2"/>
      <c r="T683" s="2"/>
      <c r="U683" s="2"/>
      <c r="V683" s="2"/>
      <c r="W683" s="36"/>
      <c r="X683" s="962" t="s">
        <v>533</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533</v>
      </c>
      <c r="M684" s="125"/>
      <c r="N684" s="876" t="s">
        <v>373</v>
      </c>
      <c r="O684" s="128"/>
      <c r="P684" s="1289">
        <f>LEN(O683)</f>
        <v>0</v>
      </c>
      <c r="Q684" s="12"/>
      <c r="R684" s="12"/>
      <c r="S684" s="12"/>
      <c r="T684" s="12"/>
      <c r="U684" s="12"/>
      <c r="V684" s="12"/>
      <c r="W684" s="279"/>
      <c r="X684" s="962" t="s">
        <v>533</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c r="A685" s="878">
        <v>25</v>
      </c>
      <c r="B685" s="56"/>
      <c r="C685" s="1290" t="str">
        <f>IF(LEN(O683)&lt;=265,"",RIGHT(O683,LEN(O683)-SEARCH(" ",O683,255)))</f>
        <v/>
      </c>
      <c r="D685" s="2"/>
      <c r="E685" s="2"/>
      <c r="F685" s="2"/>
      <c r="G685" s="2"/>
      <c r="H685" s="2"/>
      <c r="I685" s="2"/>
      <c r="J685" s="2"/>
      <c r="K685" s="85"/>
      <c r="L685" s="981" t="s">
        <v>533</v>
      </c>
      <c r="M685" s="150"/>
      <c r="N685" s="1447" t="s">
        <v>748</v>
      </c>
      <c r="O685" s="1449"/>
      <c r="P685" s="67"/>
      <c r="Q685" s="67"/>
      <c r="R685" s="67"/>
      <c r="S685" s="67"/>
      <c r="T685" s="67"/>
      <c r="U685" s="67"/>
      <c r="V685" s="67"/>
      <c r="W685" s="85"/>
      <c r="X685" s="962" t="s">
        <v>533</v>
      </c>
      <c r="Y685" s="1405" t="s">
        <v>1165</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8">
        <v>26</v>
      </c>
      <c r="B686" s="116"/>
      <c r="C686" s="98"/>
      <c r="D686" s="98"/>
      <c r="E686" s="98"/>
      <c r="F686" s="98"/>
      <c r="G686" s="98"/>
      <c r="H686" s="98"/>
      <c r="I686" s="98"/>
      <c r="J686" s="98"/>
      <c r="K686" s="103"/>
      <c r="L686" s="981" t="s">
        <v>533</v>
      </c>
      <c r="M686" s="159"/>
      <c r="N686" s="67"/>
      <c r="O686" s="67"/>
      <c r="P686" s="67"/>
      <c r="Q686" s="67"/>
      <c r="R686" s="343" t="s">
        <v>813</v>
      </c>
      <c r="S686" s="67"/>
      <c r="T686" s="67"/>
      <c r="U686" s="67"/>
      <c r="V686" s="67"/>
      <c r="W686" s="85"/>
      <c r="X686" s="962" t="s">
        <v>533</v>
      </c>
      <c r="Z686" s="439"/>
      <c r="AA686" s="439"/>
      <c r="AB686" s="439"/>
      <c r="AC686" s="439"/>
      <c r="AD686" s="439"/>
      <c r="AE686" s="807"/>
      <c r="AF686" s="807"/>
      <c r="AG686" s="807"/>
      <c r="AH686" s="807"/>
      <c r="AI686" s="807"/>
      <c r="AJ686" s="322"/>
      <c r="AQ686" s="619"/>
      <c r="AV686" s="1"/>
      <c r="AW686" s="1"/>
      <c r="AX686" s="1"/>
      <c r="AY686" s="1"/>
      <c r="AZ686" s="1"/>
      <c r="BA686" s="625" t="s">
        <v>414</v>
      </c>
      <c r="BB686" s="1"/>
      <c r="BC686" s="1" t="s">
        <v>704</v>
      </c>
      <c r="BD686" s="1391" t="s">
        <v>1155</v>
      </c>
      <c r="BE686" s="1144"/>
      <c r="BF686" s="1406" t="s">
        <v>1166</v>
      </c>
    </row>
    <row r="687" spans="1:58" ht="11.25" customHeight="1" thickTop="1" thickBot="1">
      <c r="A687" s="878">
        <v>27</v>
      </c>
      <c r="B687" s="67"/>
      <c r="C687" s="67"/>
      <c r="D687" s="67"/>
      <c r="E687" s="67"/>
      <c r="F687" s="67"/>
      <c r="G687" s="67"/>
      <c r="H687" s="67"/>
      <c r="I687" s="67"/>
      <c r="J687" s="67"/>
      <c r="K687" s="67"/>
      <c r="L687" s="981" t="s">
        <v>533</v>
      </c>
      <c r="M687" s="159"/>
      <c r="N687" s="66" t="s">
        <v>85</v>
      </c>
      <c r="O687" s="1115" t="str">
        <f>IF(O688&lt;&gt;"",O688,IF(OR(AB175="",AB175=0),"Unknown",AB175))</f>
        <v>Barracuda BC1-051100117</v>
      </c>
      <c r="P687" s="59"/>
      <c r="Q687" s="59"/>
      <c r="R687" s="67"/>
      <c r="S687" s="67"/>
      <c r="T687" s="67"/>
      <c r="U687" s="67"/>
      <c r="V687" s="67"/>
      <c r="W687" s="85"/>
      <c r="X687" s="962" t="s">
        <v>533</v>
      </c>
      <c r="Y687" s="860"/>
      <c r="Z687" s="945" t="s">
        <v>86</v>
      </c>
      <c r="AA687" s="711" t="s">
        <v>87</v>
      </c>
      <c r="AB687" s="711" t="s">
        <v>88</v>
      </c>
      <c r="AC687" s="711" t="s">
        <v>593</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694</v>
      </c>
      <c r="AS687" s="710" t="s">
        <v>103</v>
      </c>
      <c r="AT687" s="710" t="s">
        <v>104</v>
      </c>
      <c r="AU687" s="710" t="s">
        <v>105</v>
      </c>
      <c r="AV687" s="710" t="s">
        <v>106</v>
      </c>
      <c r="AW687" s="710" t="s">
        <v>107</v>
      </c>
      <c r="AX687" s="695" t="s">
        <v>108</v>
      </c>
      <c r="AY687" s="695" t="s">
        <v>109</v>
      </c>
      <c r="AZ687" s="695" t="s">
        <v>110</v>
      </c>
      <c r="BA687" s="1570" t="s">
        <v>1227</v>
      </c>
      <c r="BB687" s="1570" t="s">
        <v>1226</v>
      </c>
      <c r="BC687" s="695"/>
      <c r="BD687" s="1390" t="s">
        <v>1156</v>
      </c>
      <c r="BE687" s="1262"/>
      <c r="BF687" s="1406" t="s">
        <v>1167</v>
      </c>
    </row>
    <row r="688" spans="1:58" ht="11.25" customHeight="1" thickTop="1">
      <c r="A688" s="878">
        <v>28</v>
      </c>
      <c r="B688" s="67"/>
      <c r="C688" s="67"/>
      <c r="D688" s="67"/>
      <c r="E688" s="67"/>
      <c r="F688" s="67"/>
      <c r="G688" s="67"/>
      <c r="H688" s="67"/>
      <c r="I688" s="67"/>
      <c r="J688" s="67"/>
      <c r="K688" s="67"/>
      <c r="L688" s="981" t="s">
        <v>533</v>
      </c>
      <c r="M688" s="159"/>
      <c r="N688" s="1447" t="s">
        <v>111</v>
      </c>
      <c r="O688" s="1659" t="s">
        <v>1254</v>
      </c>
      <c r="P688" s="67"/>
      <c r="Q688" s="67"/>
      <c r="R688" s="67"/>
      <c r="S688" s="67"/>
      <c r="T688" s="67"/>
      <c r="U688" s="67"/>
      <c r="V688" s="67"/>
      <c r="W688" s="85"/>
      <c r="X688" s="962" t="s">
        <v>533</v>
      </c>
      <c r="Y688" s="861"/>
      <c r="Z688" s="1585" t="s">
        <v>112</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113</v>
      </c>
      <c r="AH688" s="1596">
        <v>60</v>
      </c>
      <c r="AI688" s="1595" t="s">
        <v>744</v>
      </c>
      <c r="AJ688" s="1585">
        <v>1</v>
      </c>
      <c r="AK688" s="1597" t="s">
        <v>114</v>
      </c>
      <c r="AL688" s="1597" t="s">
        <v>115</v>
      </c>
      <c r="AM688" s="1598">
        <v>0</v>
      </c>
      <c r="AN688" s="1598">
        <v>0</v>
      </c>
      <c r="AO688" s="1597" t="s">
        <v>116</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1243</v>
      </c>
      <c r="BE688" s="1389" t="s">
        <v>1161</v>
      </c>
    </row>
    <row r="689" spans="1:57" ht="11.25" customHeight="1">
      <c r="A689" s="878">
        <v>29</v>
      </c>
      <c r="B689" s="67"/>
      <c r="C689" s="67"/>
      <c r="D689" s="67"/>
      <c r="E689" s="67"/>
      <c r="F689" s="248" t="s">
        <v>117</v>
      </c>
      <c r="G689" s="67"/>
      <c r="H689" s="67"/>
      <c r="I689" s="67"/>
      <c r="J689" s="67"/>
      <c r="K689" s="67"/>
      <c r="L689" s="981" t="s">
        <v>533</v>
      </c>
      <c r="M689" s="395" t="s">
        <v>118</v>
      </c>
      <c r="N689" s="280"/>
      <c r="O689" s="280"/>
      <c r="P689" s="280"/>
      <c r="Q689" s="3"/>
      <c r="R689" s="3"/>
      <c r="S689" s="3"/>
      <c r="T689" s="3"/>
      <c r="U689" s="3"/>
      <c r="V689" s="3"/>
      <c r="W689" s="45"/>
      <c r="X689" s="962" t="s">
        <v>533</v>
      </c>
      <c r="Y689" s="711"/>
      <c r="Z689" s="1135" t="s">
        <v>112</v>
      </c>
      <c r="AA689" s="1136">
        <f t="shared" si="77"/>
        <v>60</v>
      </c>
      <c r="AB689" s="1136">
        <f t="shared" si="78"/>
        <v>400</v>
      </c>
      <c r="AC689" s="1601">
        <f t="shared" si="79"/>
        <v>0.05</v>
      </c>
      <c r="AD689" s="1135">
        <f t="shared" si="80"/>
        <v>0</v>
      </c>
      <c r="AE689" s="1135" t="s">
        <v>59</v>
      </c>
      <c r="AF689" s="1135">
        <f t="shared" si="81"/>
        <v>0</v>
      </c>
      <c r="AG689" s="1135" t="s">
        <v>113</v>
      </c>
      <c r="AH689" s="1135">
        <v>60</v>
      </c>
      <c r="AI689" s="1135" t="s">
        <v>744</v>
      </c>
      <c r="AJ689" s="1135">
        <v>1</v>
      </c>
      <c r="AK689" s="1135" t="s">
        <v>114</v>
      </c>
      <c r="AL689" s="1135" t="s">
        <v>115</v>
      </c>
      <c r="AM689" s="1136">
        <v>0</v>
      </c>
      <c r="AN689" s="1136">
        <v>0</v>
      </c>
      <c r="AO689" s="1135" t="s">
        <v>116</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254</v>
      </c>
    </row>
    <row r="690" spans="1:57" ht="11.25" customHeight="1" thickBot="1">
      <c r="A690" s="878">
        <v>30</v>
      </c>
      <c r="B690" s="67"/>
      <c r="C690" s="67"/>
      <c r="D690" s="67"/>
      <c r="E690" s="67"/>
      <c r="F690" s="343"/>
      <c r="G690" s="67"/>
      <c r="H690" s="67"/>
      <c r="I690" s="67"/>
      <c r="J690" s="67"/>
      <c r="K690" s="67"/>
      <c r="L690" s="981" t="s">
        <v>533</v>
      </c>
      <c r="M690" s="150"/>
      <c r="N690" s="60"/>
      <c r="O690" s="62" t="s">
        <v>119</v>
      </c>
      <c r="P690" s="60"/>
      <c r="Q690" s="60"/>
      <c r="R690" s="60"/>
      <c r="S690" s="60"/>
      <c r="T690" s="60"/>
      <c r="U690" s="60"/>
      <c r="V690" s="60"/>
      <c r="W690" s="83"/>
      <c r="X690" s="962" t="s">
        <v>533</v>
      </c>
      <c r="Y690" s="711"/>
      <c r="Z690" s="1135" t="s">
        <v>112</v>
      </c>
      <c r="AA690" s="1136">
        <f t="shared" si="77"/>
        <v>60</v>
      </c>
      <c r="AB690" s="1136">
        <f t="shared" si="78"/>
        <v>400</v>
      </c>
      <c r="AC690" s="1601">
        <f t="shared" si="79"/>
        <v>0.05</v>
      </c>
      <c r="AD690" s="1135">
        <f t="shared" si="80"/>
        <v>0</v>
      </c>
      <c r="AE690" s="1135" t="s">
        <v>59</v>
      </c>
      <c r="AF690" s="1135">
        <f t="shared" si="81"/>
        <v>2.5</v>
      </c>
      <c r="AG690" s="1135" t="s">
        <v>113</v>
      </c>
      <c r="AH690" s="1135">
        <v>60</v>
      </c>
      <c r="AI690" s="1135" t="s">
        <v>744</v>
      </c>
      <c r="AJ690" s="1135">
        <v>1</v>
      </c>
      <c r="AK690" s="1135" t="s">
        <v>114</v>
      </c>
      <c r="AL690" s="1135" t="s">
        <v>115</v>
      </c>
      <c r="AM690" s="1136">
        <v>0</v>
      </c>
      <c r="AN690" s="1136">
        <v>0</v>
      </c>
      <c r="AO690" s="1135" t="s">
        <v>116</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254</v>
      </c>
    </row>
    <row r="691" spans="1:57" ht="11.25" customHeight="1" thickTop="1">
      <c r="A691" s="878">
        <v>31</v>
      </c>
      <c r="B691" s="93"/>
      <c r="C691" s="76"/>
      <c r="D691" s="76"/>
      <c r="E691" s="76"/>
      <c r="F691" s="76"/>
      <c r="G691" s="76"/>
      <c r="H691" s="76"/>
      <c r="I691" s="76"/>
      <c r="J691" s="76"/>
      <c r="K691" s="94"/>
      <c r="L691" s="981" t="s">
        <v>533</v>
      </c>
      <c r="M691" s="150"/>
      <c r="N691" s="60"/>
      <c r="O691" s="60"/>
      <c r="P691" s="60"/>
      <c r="Q691" s="119" t="s">
        <v>120</v>
      </c>
      <c r="R691" s="60"/>
      <c r="S691" s="67"/>
      <c r="T691" s="60"/>
      <c r="U691" s="60"/>
      <c r="V691" s="60"/>
      <c r="W691" s="83"/>
      <c r="X691" s="962" t="s">
        <v>533</v>
      </c>
      <c r="Y691" s="711"/>
      <c r="Z691" s="1135" t="s">
        <v>112</v>
      </c>
      <c r="AA691" s="1136">
        <f t="shared" si="77"/>
        <v>60</v>
      </c>
      <c r="AB691" s="1136">
        <f t="shared" si="78"/>
        <v>400</v>
      </c>
      <c r="AC691" s="1601">
        <f t="shared" si="79"/>
        <v>0.05</v>
      </c>
      <c r="AD691" s="1135">
        <f t="shared" si="80"/>
        <v>0</v>
      </c>
      <c r="AE691" s="1135" t="s">
        <v>59</v>
      </c>
      <c r="AF691" s="1135">
        <f t="shared" si="81"/>
        <v>2.5</v>
      </c>
      <c r="AG691" s="1135" t="s">
        <v>113</v>
      </c>
      <c r="AH691" s="1135">
        <v>60</v>
      </c>
      <c r="AI691" s="1135" t="s">
        <v>744</v>
      </c>
      <c r="AJ691" s="1135">
        <v>1</v>
      </c>
      <c r="AK691" s="1135" t="s">
        <v>114</v>
      </c>
      <c r="AL691" s="1135" t="s">
        <v>115</v>
      </c>
      <c r="AM691" s="1136">
        <v>0</v>
      </c>
      <c r="AN691" s="1136">
        <v>0</v>
      </c>
      <c r="AO691" s="1135" t="s">
        <v>116</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254</v>
      </c>
    </row>
    <row r="692" spans="1:57" ht="11.25" customHeight="1">
      <c r="A692" s="878">
        <v>32</v>
      </c>
      <c r="B692" s="159"/>
      <c r="C692" s="66" t="s">
        <v>85</v>
      </c>
      <c r="D692" s="128" t="str">
        <f>IF($O$687="","",$O$687)</f>
        <v>Barracuda BC1-051100117</v>
      </c>
      <c r="E692" s="295"/>
      <c r="F692" s="59"/>
      <c r="G692" s="67"/>
      <c r="H692" s="67"/>
      <c r="I692" s="67"/>
      <c r="J692" s="67"/>
      <c r="K692" s="85"/>
      <c r="L692" s="981" t="s">
        <v>533</v>
      </c>
      <c r="M692" s="150" t="s">
        <v>121</v>
      </c>
      <c r="N692" s="289" t="s">
        <v>122</v>
      </c>
      <c r="O692" s="289" t="s">
        <v>123</v>
      </c>
      <c r="P692" s="289" t="s">
        <v>124</v>
      </c>
      <c r="Q692" s="60"/>
      <c r="R692" s="289" t="s">
        <v>125</v>
      </c>
      <c r="S692" s="289" t="s">
        <v>126</v>
      </c>
      <c r="T692" s="150"/>
      <c r="U692" s="62" t="s">
        <v>127</v>
      </c>
      <c r="V692" s="60"/>
      <c r="W692" s="83"/>
      <c r="X692" s="962" t="s">
        <v>533</v>
      </c>
      <c r="Y692" s="711"/>
      <c r="Z692" s="1135" t="s">
        <v>112</v>
      </c>
      <c r="AA692" s="1136">
        <f t="shared" si="77"/>
        <v>60</v>
      </c>
      <c r="AB692" s="1136">
        <f t="shared" si="78"/>
        <v>400</v>
      </c>
      <c r="AC692" s="1601">
        <f t="shared" si="79"/>
        <v>0.05</v>
      </c>
      <c r="AD692" s="1135">
        <f t="shared" si="80"/>
        <v>0</v>
      </c>
      <c r="AE692" s="1135" t="s">
        <v>59</v>
      </c>
      <c r="AF692" s="1135">
        <f t="shared" si="81"/>
        <v>3</v>
      </c>
      <c r="AG692" s="1135" t="s">
        <v>113</v>
      </c>
      <c r="AH692" s="1135">
        <v>60</v>
      </c>
      <c r="AI692" s="1135" t="s">
        <v>744</v>
      </c>
      <c r="AJ692" s="1135">
        <v>1</v>
      </c>
      <c r="AK692" s="1135" t="s">
        <v>114</v>
      </c>
      <c r="AL692" s="1135" t="s">
        <v>115</v>
      </c>
      <c r="AM692" s="1136">
        <v>0</v>
      </c>
      <c r="AN692" s="1136">
        <v>0</v>
      </c>
      <c r="AO692" s="1135" t="s">
        <v>116</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254</v>
      </c>
    </row>
    <row r="693" spans="1:57" ht="11.25" customHeight="1" thickBot="1">
      <c r="A693" s="878">
        <v>33</v>
      </c>
      <c r="B693" s="159"/>
      <c r="C693" s="47"/>
      <c r="D693" s="47"/>
      <c r="E693" s="47"/>
      <c r="F693" s="67"/>
      <c r="G693" s="47"/>
      <c r="H693" s="47"/>
      <c r="I693" s="47"/>
      <c r="J693" s="47"/>
      <c r="K693" s="85"/>
      <c r="L693" s="981" t="s">
        <v>533</v>
      </c>
      <c r="M693" s="292" t="s">
        <v>128</v>
      </c>
      <c r="N693" s="891" t="s">
        <v>744</v>
      </c>
      <c r="O693" s="175" t="s">
        <v>129</v>
      </c>
      <c r="P693" s="175" t="s">
        <v>96</v>
      </c>
      <c r="Q693" s="175" t="s">
        <v>130</v>
      </c>
      <c r="R693" s="291" t="str">
        <f>IF(AND(LFMAS="",SFMAS=""),"mA/mAs",IF(O694="Large",LFMAS,SFMAS))</f>
        <v>mA</v>
      </c>
      <c r="S693" s="175" t="s">
        <v>131</v>
      </c>
      <c r="T693" s="292" t="s">
        <v>132</v>
      </c>
      <c r="U693" s="175" t="s">
        <v>133</v>
      </c>
      <c r="V693" s="175" t="s">
        <v>131</v>
      </c>
      <c r="W693" s="299" t="s">
        <v>1228</v>
      </c>
      <c r="X693" s="962" t="s">
        <v>533</v>
      </c>
      <c r="Y693" s="711"/>
      <c r="Z693" s="1135" t="s">
        <v>112</v>
      </c>
      <c r="AA693" s="1136">
        <f t="shared" si="77"/>
        <v>60</v>
      </c>
      <c r="AB693" s="1136">
        <f t="shared" si="78"/>
        <v>400</v>
      </c>
      <c r="AC693" s="1601">
        <f t="shared" si="79"/>
        <v>0.05</v>
      </c>
      <c r="AD693" s="1135">
        <f t="shared" si="80"/>
        <v>0</v>
      </c>
      <c r="AE693" s="1135" t="s">
        <v>59</v>
      </c>
      <c r="AF693" s="1135">
        <f t="shared" si="81"/>
        <v>3</v>
      </c>
      <c r="AG693" s="1135" t="s">
        <v>113</v>
      </c>
      <c r="AH693" s="1135">
        <v>60</v>
      </c>
      <c r="AI693" s="1135" t="s">
        <v>744</v>
      </c>
      <c r="AJ693" s="1135">
        <v>1</v>
      </c>
      <c r="AK693" s="1135" t="s">
        <v>114</v>
      </c>
      <c r="AL693" s="1135" t="s">
        <v>115</v>
      </c>
      <c r="AM693" s="1136">
        <v>0</v>
      </c>
      <c r="AN693" s="1136">
        <v>0</v>
      </c>
      <c r="AO693" s="1135" t="s">
        <v>116</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254</v>
      </c>
    </row>
    <row r="694" spans="1:57" ht="11.25" customHeight="1">
      <c r="A694" s="878">
        <v>34</v>
      </c>
      <c r="B694" s="395" t="s">
        <v>134</v>
      </c>
      <c r="C694" s="133"/>
      <c r="D694" s="47"/>
      <c r="E694" s="47"/>
      <c r="F694" s="67"/>
      <c r="G694" s="47"/>
      <c r="H694" s="47"/>
      <c r="I694" s="47"/>
      <c r="J694" s="47"/>
      <c r="K694" s="85"/>
      <c r="L694" s="981" t="s">
        <v>533</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533</v>
      </c>
      <c r="Y694" s="711"/>
      <c r="Z694" s="1135" t="s">
        <v>112</v>
      </c>
      <c r="AA694" s="1136">
        <f t="shared" si="77"/>
        <v>60</v>
      </c>
      <c r="AB694" s="1136">
        <f t="shared" si="78"/>
        <v>400</v>
      </c>
      <c r="AC694" s="1601">
        <f t="shared" si="79"/>
        <v>0.05</v>
      </c>
      <c r="AD694" s="1135">
        <f t="shared" si="80"/>
        <v>0</v>
      </c>
      <c r="AE694" s="1135" t="s">
        <v>59</v>
      </c>
      <c r="AF694" s="1135">
        <f t="shared" si="81"/>
        <v>2</v>
      </c>
      <c r="AG694" s="1135" t="s">
        <v>113</v>
      </c>
      <c r="AH694" s="1135">
        <v>60</v>
      </c>
      <c r="AI694" s="1135" t="s">
        <v>744</v>
      </c>
      <c r="AJ694" s="1135">
        <v>1</v>
      </c>
      <c r="AK694" s="1135" t="s">
        <v>114</v>
      </c>
      <c r="AL694" s="1135" t="s">
        <v>115</v>
      </c>
      <c r="AM694" s="1136">
        <v>0</v>
      </c>
      <c r="AN694" s="1136">
        <v>0</v>
      </c>
      <c r="AO694" s="1135" t="s">
        <v>116</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254</v>
      </c>
    </row>
    <row r="695" spans="1:57" ht="11.25" customHeight="1">
      <c r="A695" s="878">
        <v>35</v>
      </c>
      <c r="B695" s="150"/>
      <c r="C695" s="60"/>
      <c r="D695" s="60"/>
      <c r="E695" s="123"/>
      <c r="F695" s="123"/>
      <c r="G695" s="60"/>
      <c r="H695" s="60"/>
      <c r="I695" s="60"/>
      <c r="J695" s="60"/>
      <c r="K695" s="83"/>
      <c r="L695" s="981" t="s">
        <v>533</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533</v>
      </c>
      <c r="Y695" s="711"/>
      <c r="Z695" s="1135" t="s">
        <v>112</v>
      </c>
      <c r="AA695" s="1136">
        <f t="shared" si="77"/>
        <v>60</v>
      </c>
      <c r="AB695" s="1136">
        <f t="shared" si="78"/>
        <v>400</v>
      </c>
      <c r="AC695" s="1601">
        <f t="shared" si="79"/>
        <v>0.05</v>
      </c>
      <c r="AD695" s="1135">
        <f t="shared" si="80"/>
        <v>0</v>
      </c>
      <c r="AE695" s="1135" t="s">
        <v>59</v>
      </c>
      <c r="AF695" s="1135">
        <f t="shared" si="81"/>
        <v>2</v>
      </c>
      <c r="AG695" s="1135" t="s">
        <v>113</v>
      </c>
      <c r="AH695" s="1135">
        <v>60</v>
      </c>
      <c r="AI695" s="1135" t="s">
        <v>744</v>
      </c>
      <c r="AJ695" s="1135">
        <v>1</v>
      </c>
      <c r="AK695" s="1135" t="s">
        <v>114</v>
      </c>
      <c r="AL695" s="1135" t="s">
        <v>115</v>
      </c>
      <c r="AM695" s="1136">
        <v>0</v>
      </c>
      <c r="AN695" s="1136">
        <v>0</v>
      </c>
      <c r="AO695" s="1135" t="s">
        <v>116</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254</v>
      </c>
    </row>
    <row r="696" spans="1:57" ht="11.25" customHeight="1">
      <c r="A696" s="878">
        <v>36</v>
      </c>
      <c r="B696" s="159"/>
      <c r="C696" s="67"/>
      <c r="D696" s="67"/>
      <c r="E696" s="67"/>
      <c r="F696" s="67"/>
      <c r="G696" s="67"/>
      <c r="H696" s="67"/>
      <c r="I696" s="67"/>
      <c r="J696" s="67"/>
      <c r="K696" s="85"/>
      <c r="L696" s="981" t="s">
        <v>533</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533</v>
      </c>
      <c r="Y696" s="711"/>
      <c r="Z696" s="946" t="s">
        <v>112</v>
      </c>
      <c r="AA696" s="947">
        <f t="shared" si="77"/>
        <v>80</v>
      </c>
      <c r="AB696" s="947">
        <f t="shared" si="78"/>
        <v>400</v>
      </c>
      <c r="AC696" s="948">
        <f t="shared" si="79"/>
        <v>0.05</v>
      </c>
      <c r="AD696" s="946">
        <f t="shared" si="80"/>
        <v>0</v>
      </c>
      <c r="AE696" s="949" t="s">
        <v>60</v>
      </c>
      <c r="AF696" s="949">
        <f t="shared" si="81"/>
        <v>0</v>
      </c>
      <c r="AG696" s="949" t="s">
        <v>113</v>
      </c>
      <c r="AH696" s="950">
        <v>60</v>
      </c>
      <c r="AI696" s="949" t="s">
        <v>744</v>
      </c>
      <c r="AJ696" s="946">
        <v>1</v>
      </c>
      <c r="AK696" s="951" t="s">
        <v>114</v>
      </c>
      <c r="AL696" s="951" t="s">
        <v>115</v>
      </c>
      <c r="AM696" s="952">
        <v>0</v>
      </c>
      <c r="AN696" s="952">
        <v>0</v>
      </c>
      <c r="AO696" s="951" t="s">
        <v>116</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1170</v>
      </c>
      <c r="BE696" s="1389" t="s">
        <v>1162</v>
      </c>
    </row>
    <row r="697" spans="1:57" ht="11.25" customHeight="1">
      <c r="A697" s="878">
        <v>37</v>
      </c>
      <c r="B697" s="159"/>
      <c r="C697" s="60" t="s">
        <v>136</v>
      </c>
      <c r="D697" s="67"/>
      <c r="E697" s="67"/>
      <c r="F697" s="67"/>
      <c r="G697" s="67"/>
      <c r="H697" s="60" t="s">
        <v>137</v>
      </c>
      <c r="I697" s="67"/>
      <c r="J697" s="67"/>
      <c r="K697" s="85"/>
      <c r="L697" s="981" t="s">
        <v>533</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533</v>
      </c>
      <c r="Y697" s="711"/>
      <c r="Z697" s="946" t="s">
        <v>112</v>
      </c>
      <c r="AA697" s="947">
        <f t="shared" si="77"/>
        <v>80</v>
      </c>
      <c r="AB697" s="947">
        <f t="shared" si="78"/>
        <v>400</v>
      </c>
      <c r="AC697" s="948">
        <f t="shared" si="79"/>
        <v>0.05</v>
      </c>
      <c r="AD697" s="946">
        <f t="shared" si="80"/>
        <v>0</v>
      </c>
      <c r="AE697" s="949" t="s">
        <v>60</v>
      </c>
      <c r="AF697" s="949">
        <f t="shared" si="81"/>
        <v>0</v>
      </c>
      <c r="AG697" s="949" t="s">
        <v>113</v>
      </c>
      <c r="AH697" s="950">
        <v>60</v>
      </c>
      <c r="AI697" s="949" t="s">
        <v>744</v>
      </c>
      <c r="AJ697" s="946">
        <v>1</v>
      </c>
      <c r="AK697" s="951" t="s">
        <v>114</v>
      </c>
      <c r="AL697" s="951" t="s">
        <v>115</v>
      </c>
      <c r="AM697" s="952">
        <v>0</v>
      </c>
      <c r="AN697" s="952">
        <v>0</v>
      </c>
      <c r="AO697" s="951" t="s">
        <v>116</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1159</v>
      </c>
      <c r="BE697" s="1389" t="s">
        <v>1168</v>
      </c>
    </row>
    <row r="698" spans="1:57" ht="11.25" customHeight="1">
      <c r="A698" s="878">
        <v>38</v>
      </c>
      <c r="B698" s="159"/>
      <c r="C698" s="67"/>
      <c r="D698" s="67"/>
      <c r="E698" s="67"/>
      <c r="F698" s="67"/>
      <c r="G698" s="67"/>
      <c r="H698" s="67"/>
      <c r="I698" s="67"/>
      <c r="J698" s="67"/>
      <c r="K698" s="85"/>
      <c r="L698" s="981" t="s">
        <v>533</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533</v>
      </c>
      <c r="Y698" s="711"/>
      <c r="Z698" s="946" t="s">
        <v>112</v>
      </c>
      <c r="AA698" s="947">
        <f t="shared" si="77"/>
        <v>80</v>
      </c>
      <c r="AB698" s="947">
        <f t="shared" si="78"/>
        <v>400</v>
      </c>
      <c r="AC698" s="948">
        <f t="shared" si="79"/>
        <v>0.05</v>
      </c>
      <c r="AD698" s="946">
        <f t="shared" si="80"/>
        <v>0</v>
      </c>
      <c r="AE698" s="949" t="s">
        <v>60</v>
      </c>
      <c r="AF698" s="949">
        <f t="shared" si="81"/>
        <v>0</v>
      </c>
      <c r="AG698" s="949" t="s">
        <v>113</v>
      </c>
      <c r="AH698" s="950">
        <v>60</v>
      </c>
      <c r="AI698" s="949" t="s">
        <v>744</v>
      </c>
      <c r="AJ698" s="946">
        <v>1</v>
      </c>
      <c r="AK698" s="951" t="s">
        <v>114</v>
      </c>
      <c r="AL698" s="951" t="s">
        <v>115</v>
      </c>
      <c r="AM698" s="952">
        <v>0</v>
      </c>
      <c r="AN698" s="952">
        <v>1</v>
      </c>
      <c r="AO698" s="951" t="s">
        <v>116</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1159</v>
      </c>
      <c r="BE698" s="1389" t="s">
        <v>1158</v>
      </c>
    </row>
    <row r="699" spans="1:57" ht="11.25" customHeight="1">
      <c r="A699" s="878">
        <v>39</v>
      </c>
      <c r="B699" s="124" t="s">
        <v>138</v>
      </c>
      <c r="C699" s="282">
        <f>IF(N694="","",N694)</f>
        <v>60</v>
      </c>
      <c r="D699" s="122" t="str">
        <f>N693</f>
        <v>cm</v>
      </c>
      <c r="E699" s="123"/>
      <c r="F699" s="123"/>
      <c r="G699" s="187" t="s">
        <v>138</v>
      </c>
      <c r="H699" s="282">
        <f>IF(N712="","",N712)</f>
        <v>60</v>
      </c>
      <c r="I699" s="122" t="str">
        <f>N711</f>
        <v>cm</v>
      </c>
      <c r="J699" s="60"/>
      <c r="K699" s="83"/>
      <c r="L699" s="981" t="s">
        <v>533</v>
      </c>
      <c r="M699" s="649"/>
      <c r="N699" s="484" t="str">
        <f t="shared" si="86"/>
        <v/>
      </c>
      <c r="O699" s="288" t="str">
        <f t="shared" si="87"/>
        <v/>
      </c>
      <c r="P699" s="892"/>
      <c r="Q699" s="893"/>
      <c r="R699" s="570" t="str">
        <f>IF(OR($R$694="",Q699=""),"",$R$694)</f>
        <v/>
      </c>
      <c r="S699" s="294" t="str">
        <f>IF(OR($S$694="",Q699=""),"",$S$694)</f>
        <v/>
      </c>
      <c r="T699" s="894"/>
      <c r="U699" s="895"/>
      <c r="V699" s="896"/>
      <c r="W699" s="897"/>
      <c r="X699" s="962" t="s">
        <v>533</v>
      </c>
      <c r="Y699" s="711"/>
      <c r="Z699" s="1135" t="s">
        <v>112</v>
      </c>
      <c r="AA699" s="1136">
        <f t="shared" si="77"/>
        <v>80</v>
      </c>
      <c r="AB699" s="1136">
        <f t="shared" si="78"/>
        <v>400</v>
      </c>
      <c r="AC699" s="1137">
        <f t="shared" si="79"/>
        <v>0.05</v>
      </c>
      <c r="AD699" s="1135">
        <f t="shared" si="80"/>
        <v>0</v>
      </c>
      <c r="AE699" s="1138" t="s">
        <v>60</v>
      </c>
      <c r="AF699" s="1139">
        <f t="shared" si="81"/>
        <v>0</v>
      </c>
      <c r="AG699" s="1139" t="s">
        <v>113</v>
      </c>
      <c r="AH699" s="1140">
        <v>60</v>
      </c>
      <c r="AI699" s="1139" t="s">
        <v>744</v>
      </c>
      <c r="AJ699" s="1135">
        <v>1</v>
      </c>
      <c r="AK699" s="1135" t="s">
        <v>114</v>
      </c>
      <c r="AL699" s="1135" t="s">
        <v>115</v>
      </c>
      <c r="AM699" s="1136">
        <v>0</v>
      </c>
      <c r="AN699" s="1136">
        <v>0</v>
      </c>
      <c r="AO699" s="1135" t="s">
        <v>116</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1169</v>
      </c>
      <c r="BE699" s="1389" t="s">
        <v>1157</v>
      </c>
    </row>
    <row r="700" spans="1:57" ht="11.25" customHeight="1">
      <c r="A700" s="878">
        <v>40</v>
      </c>
      <c r="B700" s="124" t="s">
        <v>736</v>
      </c>
      <c r="C700" s="75">
        <f>IF(R694="","",IF(LFMAS="mA",R694,""))</f>
        <v>400</v>
      </c>
      <c r="D700" s="123"/>
      <c r="E700" s="123"/>
      <c r="F700" s="187"/>
      <c r="G700" s="187" t="s">
        <v>139</v>
      </c>
      <c r="H700" s="75">
        <f>IF(R712="","",IF(SFMAS="mA",R712,""))</f>
        <v>100</v>
      </c>
      <c r="I700" s="67"/>
      <c r="J700" s="123"/>
      <c r="K700" s="83"/>
      <c r="L700" s="981" t="s">
        <v>533</v>
      </c>
      <c r="M700" s="649"/>
      <c r="N700" s="484" t="str">
        <f t="shared" si="86"/>
        <v/>
      </c>
      <c r="O700" s="288" t="str">
        <f t="shared" si="87"/>
        <v/>
      </c>
      <c r="P700" s="892"/>
      <c r="Q700" s="893"/>
      <c r="R700" s="570" t="str">
        <f>IF(OR($R$694="",Q700=""),"",$R$694)</f>
        <v/>
      </c>
      <c r="S700" s="294" t="str">
        <f>IF(OR($S$694="",Q700=""),"",$S$694)</f>
        <v/>
      </c>
      <c r="T700" s="894"/>
      <c r="U700" s="895"/>
      <c r="V700" s="896"/>
      <c r="W700" s="897"/>
      <c r="X700" s="962" t="s">
        <v>533</v>
      </c>
      <c r="Y700" s="711"/>
      <c r="Z700" s="1135" t="s">
        <v>112</v>
      </c>
      <c r="AA700" s="1136">
        <f t="shared" si="77"/>
        <v>80</v>
      </c>
      <c r="AB700" s="1136">
        <f t="shared" si="78"/>
        <v>400</v>
      </c>
      <c r="AC700" s="1137">
        <f t="shared" si="79"/>
        <v>0.05</v>
      </c>
      <c r="AD700" s="1135">
        <f t="shared" si="80"/>
        <v>0</v>
      </c>
      <c r="AE700" s="1138" t="s">
        <v>60</v>
      </c>
      <c r="AF700" s="1139">
        <f t="shared" si="81"/>
        <v>0</v>
      </c>
      <c r="AG700" s="1139" t="s">
        <v>113</v>
      </c>
      <c r="AH700" s="1140">
        <v>60</v>
      </c>
      <c r="AI700" s="1139" t="s">
        <v>744</v>
      </c>
      <c r="AJ700" s="1135">
        <v>1</v>
      </c>
      <c r="AK700" s="1135" t="s">
        <v>114</v>
      </c>
      <c r="AL700" s="1135" t="s">
        <v>115</v>
      </c>
      <c r="AM700" s="1136">
        <v>0</v>
      </c>
      <c r="AN700" s="1136">
        <v>0</v>
      </c>
      <c r="AO700" s="1135" t="s">
        <v>116</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1169</v>
      </c>
    </row>
    <row r="701" spans="1:57" ht="11.25" customHeight="1">
      <c r="A701" s="878">
        <v>41</v>
      </c>
      <c r="B701" s="124" t="s">
        <v>738</v>
      </c>
      <c r="C701" s="75" t="str">
        <f>IF(R694="","",IF(LFMAS="mAs",R694,""))</f>
        <v/>
      </c>
      <c r="D701" s="123"/>
      <c r="E701" s="123"/>
      <c r="F701" s="123"/>
      <c r="G701" s="187" t="s">
        <v>738</v>
      </c>
      <c r="H701" s="75" t="str">
        <f>IF(R712="","",IF(SFMAS="mAs",R712,""))</f>
        <v/>
      </c>
      <c r="I701" s="67"/>
      <c r="J701" s="123"/>
      <c r="K701" s="83"/>
      <c r="L701" s="981" t="s">
        <v>533</v>
      </c>
      <c r="M701" s="649"/>
      <c r="N701" s="484" t="str">
        <f t="shared" si="86"/>
        <v/>
      </c>
      <c r="O701" s="288" t="str">
        <f t="shared" si="87"/>
        <v/>
      </c>
      <c r="P701" s="892"/>
      <c r="Q701" s="893"/>
      <c r="R701" s="570" t="str">
        <f>IF(OR($R$694="",Q701=""),"",$R$694)</f>
        <v/>
      </c>
      <c r="S701" s="294" t="str">
        <f>IF(OR($S$694="",Q701=""),"",$S$694)</f>
        <v/>
      </c>
      <c r="T701" s="894"/>
      <c r="U701" s="895"/>
      <c r="V701" s="896"/>
      <c r="W701" s="897"/>
      <c r="X701" s="962" t="s">
        <v>533</v>
      </c>
      <c r="Y701" s="711"/>
      <c r="Z701" s="1135" t="s">
        <v>112</v>
      </c>
      <c r="AA701" s="1136">
        <f t="shared" si="77"/>
        <v>80</v>
      </c>
      <c r="AB701" s="1136">
        <f t="shared" si="78"/>
        <v>400</v>
      </c>
      <c r="AC701" s="1137">
        <f t="shared" si="79"/>
        <v>0.05</v>
      </c>
      <c r="AD701" s="1135">
        <f t="shared" si="80"/>
        <v>0</v>
      </c>
      <c r="AE701" s="1138" t="s">
        <v>60</v>
      </c>
      <c r="AF701" s="1139">
        <f t="shared" si="81"/>
        <v>3</v>
      </c>
      <c r="AG701" s="1139" t="s">
        <v>135</v>
      </c>
      <c r="AH701" s="1140">
        <v>60</v>
      </c>
      <c r="AI701" s="1139" t="s">
        <v>744</v>
      </c>
      <c r="AJ701" s="1135">
        <v>1</v>
      </c>
      <c r="AK701" s="1135" t="s">
        <v>114</v>
      </c>
      <c r="AL701" s="1135" t="s">
        <v>115</v>
      </c>
      <c r="AM701" s="1136">
        <v>0</v>
      </c>
      <c r="AN701" s="1136">
        <v>0</v>
      </c>
      <c r="AO701" s="1135" t="s">
        <v>116</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254</v>
      </c>
    </row>
    <row r="702" spans="1:57" ht="11.25" customHeight="1">
      <c r="A702" s="878">
        <v>42</v>
      </c>
      <c r="B702" s="124" t="s">
        <v>140</v>
      </c>
      <c r="C702" s="201">
        <f>IF(S694="","",S694)</f>
        <v>0.05</v>
      </c>
      <c r="D702" s="123"/>
      <c r="E702" s="123"/>
      <c r="F702" s="123"/>
      <c r="G702" s="187" t="s">
        <v>140</v>
      </c>
      <c r="H702" s="201">
        <f>IF(S712="","",S712)</f>
        <v>0.1</v>
      </c>
      <c r="I702" s="67"/>
      <c r="J702" s="123"/>
      <c r="K702" s="83"/>
      <c r="L702" s="981" t="s">
        <v>533</v>
      </c>
      <c r="M702" s="125" t="s">
        <v>141</v>
      </c>
      <c r="N702" s="60"/>
      <c r="O702" s="60"/>
      <c r="P702" s="60"/>
      <c r="Q702" s="60"/>
      <c r="R702" s="60"/>
      <c r="S702" s="60"/>
      <c r="T702" s="60"/>
      <c r="U702" s="60"/>
      <c r="V702" s="60"/>
      <c r="W702" s="83"/>
      <c r="X702" s="962" t="s">
        <v>533</v>
      </c>
      <c r="Y702" s="711"/>
      <c r="Z702" s="1135" t="s">
        <v>112</v>
      </c>
      <c r="AA702" s="1136">
        <f t="shared" si="77"/>
        <v>80</v>
      </c>
      <c r="AB702" s="1136">
        <f t="shared" si="78"/>
        <v>400</v>
      </c>
      <c r="AC702" s="1137">
        <f t="shared" si="79"/>
        <v>0.05</v>
      </c>
      <c r="AD702" s="1135">
        <f t="shared" si="80"/>
        <v>0</v>
      </c>
      <c r="AE702" s="1138" t="s">
        <v>60</v>
      </c>
      <c r="AF702" s="1139">
        <f t="shared" si="81"/>
        <v>3</v>
      </c>
      <c r="AG702" s="1139" t="s">
        <v>135</v>
      </c>
      <c r="AH702" s="1140">
        <v>60</v>
      </c>
      <c r="AI702" s="1139" t="s">
        <v>744</v>
      </c>
      <c r="AJ702" s="1135">
        <v>1</v>
      </c>
      <c r="AK702" s="1135" t="s">
        <v>114</v>
      </c>
      <c r="AL702" s="1135" t="s">
        <v>115</v>
      </c>
      <c r="AM702" s="1136">
        <v>0</v>
      </c>
      <c r="AN702" s="1136">
        <v>0</v>
      </c>
      <c r="AO702" s="1135" t="s">
        <v>116</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254</v>
      </c>
      <c r="BE702" s="1389"/>
    </row>
    <row r="703" spans="1:57" ht="11.25" customHeight="1" thickBot="1">
      <c r="A703" s="878">
        <v>43</v>
      </c>
      <c r="B703" s="125" t="s">
        <v>141</v>
      </c>
      <c r="C703" s="123"/>
      <c r="D703" s="123"/>
      <c r="E703" s="123"/>
      <c r="F703" s="123"/>
      <c r="G703" s="62" t="s">
        <v>141</v>
      </c>
      <c r="H703" s="123"/>
      <c r="I703" s="123"/>
      <c r="J703" s="123"/>
      <c r="K703" s="83"/>
      <c r="L703" s="981" t="s">
        <v>533</v>
      </c>
      <c r="M703" s="159"/>
      <c r="N703" s="830" t="s">
        <v>681</v>
      </c>
      <c r="O703" s="1025" t="str">
        <f>IF(O705&lt;&gt;"",O705,IF(OR(AB440=0,AB440=""),"",AB440))</f>
        <v/>
      </c>
      <c r="P703" s="59"/>
      <c r="Q703" s="59"/>
      <c r="R703" s="59"/>
      <c r="S703" s="59"/>
      <c r="T703" s="59"/>
      <c r="U703" s="59"/>
      <c r="V703" s="59"/>
      <c r="W703" s="126"/>
      <c r="X703" s="962" t="s">
        <v>533</v>
      </c>
      <c r="Y703" s="711"/>
      <c r="Z703" s="1135" t="s">
        <v>112</v>
      </c>
      <c r="AA703" s="1136">
        <f t="shared" si="77"/>
        <v>80</v>
      </c>
      <c r="AB703" s="1136">
        <f t="shared" si="78"/>
        <v>400</v>
      </c>
      <c r="AC703" s="1137">
        <f t="shared" si="79"/>
        <v>0.05</v>
      </c>
      <c r="AD703" s="1135">
        <f t="shared" si="80"/>
        <v>0</v>
      </c>
      <c r="AE703" s="1138" t="s">
        <v>60</v>
      </c>
      <c r="AF703" s="1139">
        <f t="shared" si="81"/>
        <v>3.5</v>
      </c>
      <c r="AG703" s="1139" t="s">
        <v>135</v>
      </c>
      <c r="AH703" s="1140">
        <v>60</v>
      </c>
      <c r="AI703" s="1139" t="s">
        <v>744</v>
      </c>
      <c r="AJ703" s="1135">
        <v>1</v>
      </c>
      <c r="AK703" s="1135" t="s">
        <v>114</v>
      </c>
      <c r="AL703" s="1135" t="s">
        <v>115</v>
      </c>
      <c r="AM703" s="1136">
        <v>0</v>
      </c>
      <c r="AN703" s="1136">
        <v>0</v>
      </c>
      <c r="AO703" s="1135" t="s">
        <v>116</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254</v>
      </c>
    </row>
    <row r="704" spans="1:57" ht="11.25" customHeight="1" thickBot="1">
      <c r="A704" s="878">
        <v>44</v>
      </c>
      <c r="B704" s="159"/>
      <c r="C704" s="67"/>
      <c r="D704" s="67"/>
      <c r="E704" s="67"/>
      <c r="F704" s="67"/>
      <c r="G704" s="67"/>
      <c r="H704" s="67"/>
      <c r="I704" s="67"/>
      <c r="J704" s="67"/>
      <c r="K704" s="83"/>
      <c r="L704" s="981" t="s">
        <v>533</v>
      </c>
      <c r="M704" s="125"/>
      <c r="N704" s="876" t="s">
        <v>195</v>
      </c>
      <c r="O704" s="128"/>
      <c r="P704" s="1289">
        <f>LEN(O703)</f>
        <v>0</v>
      </c>
      <c r="Q704" s="60"/>
      <c r="R704" s="60"/>
      <c r="S704" s="60"/>
      <c r="T704" s="60"/>
      <c r="U704" s="1076" t="s">
        <v>698</v>
      </c>
      <c r="V704" s="1056" t="str">
        <f>IF(E707="","TBD",(IF(AND(ABS(MAX(E707:E714))&lt;=0.05,ABS(MIN(E707:E714))&lt;=0.05),"YES","NO")))</f>
        <v>TBD</v>
      </c>
      <c r="W704" s="83"/>
      <c r="X704" s="962" t="s">
        <v>533</v>
      </c>
      <c r="Y704" s="711"/>
      <c r="Z704" s="1135" t="s">
        <v>112</v>
      </c>
      <c r="AA704" s="1136">
        <f t="shared" si="77"/>
        <v>80</v>
      </c>
      <c r="AB704" s="1136">
        <f t="shared" si="78"/>
        <v>400</v>
      </c>
      <c r="AC704" s="1137">
        <f t="shared" si="79"/>
        <v>0.05</v>
      </c>
      <c r="AD704" s="1135">
        <f t="shared" si="80"/>
        <v>0</v>
      </c>
      <c r="AE704" s="1138" t="s">
        <v>60</v>
      </c>
      <c r="AF704" s="1139">
        <f t="shared" si="81"/>
        <v>3.5</v>
      </c>
      <c r="AG704" s="1139" t="s">
        <v>135</v>
      </c>
      <c r="AH704" s="1140">
        <v>60</v>
      </c>
      <c r="AI704" s="1139" t="s">
        <v>744</v>
      </c>
      <c r="AJ704" s="1135">
        <v>1</v>
      </c>
      <c r="AK704" s="1135" t="s">
        <v>114</v>
      </c>
      <c r="AL704" s="1135" t="s">
        <v>115</v>
      </c>
      <c r="AM704" s="1136">
        <v>0</v>
      </c>
      <c r="AN704" s="1136">
        <v>0</v>
      </c>
      <c r="AO704" s="1135" t="s">
        <v>116</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254</v>
      </c>
    </row>
    <row r="705" spans="1:56" ht="11.25" customHeight="1">
      <c r="A705" s="878">
        <v>45</v>
      </c>
      <c r="B705" s="152" t="s">
        <v>695</v>
      </c>
      <c r="C705" s="160" t="s">
        <v>696</v>
      </c>
      <c r="D705" s="65"/>
      <c r="E705" s="145" t="s">
        <v>132</v>
      </c>
      <c r="F705" s="67"/>
      <c r="G705" s="145" t="s">
        <v>695</v>
      </c>
      <c r="H705" s="160" t="s">
        <v>696</v>
      </c>
      <c r="I705" s="65"/>
      <c r="J705" s="145" t="s">
        <v>132</v>
      </c>
      <c r="K705" s="83"/>
      <c r="L705" s="981" t="s">
        <v>533</v>
      </c>
      <c r="M705" s="150"/>
      <c r="N705" s="1447" t="s">
        <v>748</v>
      </c>
      <c r="O705" s="1449"/>
      <c r="P705" s="67"/>
      <c r="Q705" s="67"/>
      <c r="R705" s="67"/>
      <c r="S705" s="67"/>
      <c r="T705" s="67"/>
      <c r="U705" s="67"/>
      <c r="V705" s="67"/>
      <c r="W705" s="85"/>
      <c r="X705" s="962" t="s">
        <v>533</v>
      </c>
      <c r="Y705" s="711"/>
      <c r="Z705" s="1135" t="s">
        <v>112</v>
      </c>
      <c r="AA705" s="1136">
        <f t="shared" si="77"/>
        <v>80</v>
      </c>
      <c r="AB705" s="1136">
        <f t="shared" si="78"/>
        <v>400</v>
      </c>
      <c r="AC705" s="1137">
        <f t="shared" si="79"/>
        <v>0.05</v>
      </c>
      <c r="AD705" s="1135">
        <f t="shared" si="80"/>
        <v>0</v>
      </c>
      <c r="AE705" s="1138" t="s">
        <v>60</v>
      </c>
      <c r="AF705" s="1139">
        <f t="shared" si="81"/>
        <v>2.5</v>
      </c>
      <c r="AG705" s="1139" t="s">
        <v>135</v>
      </c>
      <c r="AH705" s="1140">
        <v>60</v>
      </c>
      <c r="AI705" s="1139" t="s">
        <v>744</v>
      </c>
      <c r="AJ705" s="1135">
        <v>1</v>
      </c>
      <c r="AK705" s="1135" t="s">
        <v>114</v>
      </c>
      <c r="AL705" s="1135" t="s">
        <v>115</v>
      </c>
      <c r="AM705" s="1136">
        <v>0</v>
      </c>
      <c r="AN705" s="1136">
        <v>0</v>
      </c>
      <c r="AO705" s="1135" t="s">
        <v>116</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254</v>
      </c>
    </row>
    <row r="706" spans="1:56" ht="11.25" customHeight="1" thickBot="1">
      <c r="A706" s="878">
        <v>46</v>
      </c>
      <c r="B706" s="347" t="s">
        <v>590</v>
      </c>
      <c r="C706" s="291" t="s">
        <v>132</v>
      </c>
      <c r="D706" s="291" t="s">
        <v>133</v>
      </c>
      <c r="E706" s="348" t="s">
        <v>143</v>
      </c>
      <c r="F706" s="123"/>
      <c r="G706" s="348" t="s">
        <v>590</v>
      </c>
      <c r="H706" s="291" t="s">
        <v>132</v>
      </c>
      <c r="I706" s="291" t="s">
        <v>133</v>
      </c>
      <c r="J706" s="348" t="s">
        <v>143</v>
      </c>
      <c r="K706" s="83"/>
      <c r="L706" s="981" t="s">
        <v>533</v>
      </c>
      <c r="M706" s="395" t="s">
        <v>144</v>
      </c>
      <c r="N706" s="160"/>
      <c r="O706" s="160"/>
      <c r="P706" s="160"/>
      <c r="Q706" s="60"/>
      <c r="R706" s="60"/>
      <c r="S706" s="60"/>
      <c r="T706" s="60"/>
      <c r="U706" s="60"/>
      <c r="V706" s="60"/>
      <c r="W706" s="83"/>
      <c r="X706" s="962" t="s">
        <v>533</v>
      </c>
      <c r="Y706" s="711"/>
      <c r="Z706" s="1135" t="s">
        <v>112</v>
      </c>
      <c r="AA706" s="1136">
        <f t="shared" si="77"/>
        <v>80</v>
      </c>
      <c r="AB706" s="1136">
        <f t="shared" si="78"/>
        <v>400</v>
      </c>
      <c r="AC706" s="1137">
        <f t="shared" si="79"/>
        <v>0.05</v>
      </c>
      <c r="AD706" s="1135">
        <f t="shared" si="80"/>
        <v>0</v>
      </c>
      <c r="AE706" s="1138" t="s">
        <v>60</v>
      </c>
      <c r="AF706" s="1139">
        <f t="shared" si="81"/>
        <v>2.5</v>
      </c>
      <c r="AG706" s="1139" t="s">
        <v>135</v>
      </c>
      <c r="AH706" s="1140">
        <v>60</v>
      </c>
      <c r="AI706" s="1139" t="s">
        <v>744</v>
      </c>
      <c r="AJ706" s="1135">
        <v>1</v>
      </c>
      <c r="AK706" s="1135" t="s">
        <v>114</v>
      </c>
      <c r="AL706" s="1135" t="s">
        <v>115</v>
      </c>
      <c r="AM706" s="1136">
        <v>0</v>
      </c>
      <c r="AN706" s="1136">
        <v>0</v>
      </c>
      <c r="AO706" s="1135" t="s">
        <v>116</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254</v>
      </c>
    </row>
    <row r="707" spans="1:56" ht="11.25" customHeight="1">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533</v>
      </c>
      <c r="M707" s="159"/>
      <c r="N707" s="67"/>
      <c r="O707" s="67"/>
      <c r="P707" s="67"/>
      <c r="Q707" s="67"/>
      <c r="R707" s="67"/>
      <c r="S707" s="67"/>
      <c r="T707" s="67"/>
      <c r="U707" s="67"/>
      <c r="V707" s="67"/>
      <c r="W707" s="85"/>
      <c r="X707" s="962" t="s">
        <v>533</v>
      </c>
      <c r="Y707" s="862"/>
      <c r="Z707" s="946" t="s">
        <v>112</v>
      </c>
      <c r="AA707" s="947">
        <f t="shared" si="77"/>
        <v>80</v>
      </c>
      <c r="AB707" s="947">
        <f t="shared" si="78"/>
        <v>500</v>
      </c>
      <c r="AC707" s="948">
        <f t="shared" si="79"/>
        <v>0.05</v>
      </c>
      <c r="AD707" s="946">
        <f t="shared" si="80"/>
        <v>0</v>
      </c>
      <c r="AE707" s="949" t="s">
        <v>60</v>
      </c>
      <c r="AF707" s="949">
        <f t="shared" si="81"/>
        <v>0</v>
      </c>
      <c r="AG707" s="949" t="s">
        <v>113</v>
      </c>
      <c r="AH707" s="950">
        <v>60</v>
      </c>
      <c r="AI707" s="949" t="s">
        <v>744</v>
      </c>
      <c r="AJ707" s="946">
        <v>1</v>
      </c>
      <c r="AK707" s="951" t="s">
        <v>114</v>
      </c>
      <c r="AL707" s="951" t="s">
        <v>115</v>
      </c>
      <c r="AM707" s="952">
        <v>0</v>
      </c>
      <c r="AN707" s="952">
        <v>0</v>
      </c>
      <c r="AO707" s="951" t="s">
        <v>116</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1160</v>
      </c>
    </row>
    <row r="708" spans="1:56" ht="11.25" customHeight="1">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533</v>
      </c>
      <c r="M708" s="150"/>
      <c r="N708" s="60"/>
      <c r="O708" s="62" t="s">
        <v>146</v>
      </c>
      <c r="P708" s="60"/>
      <c r="Q708" s="60"/>
      <c r="R708" s="60"/>
      <c r="S708" s="60"/>
      <c r="T708" s="60"/>
      <c r="U708" s="60"/>
      <c r="V708" s="60"/>
      <c r="W708" s="83"/>
      <c r="X708" s="962" t="s">
        <v>533</v>
      </c>
      <c r="Y708" s="711"/>
      <c r="Z708" s="946" t="s">
        <v>112</v>
      </c>
      <c r="AA708" s="947">
        <f t="shared" si="77"/>
        <v>80</v>
      </c>
      <c r="AB708" s="947">
        <f t="shared" si="78"/>
        <v>50</v>
      </c>
      <c r="AC708" s="948">
        <f t="shared" si="79"/>
        <v>0.05</v>
      </c>
      <c r="AD708" s="946">
        <f t="shared" si="80"/>
        <v>0</v>
      </c>
      <c r="AE708" s="949" t="s">
        <v>60</v>
      </c>
      <c r="AF708" s="949">
        <f t="shared" si="81"/>
        <v>0</v>
      </c>
      <c r="AG708" s="949" t="s">
        <v>113</v>
      </c>
      <c r="AH708" s="950">
        <v>60</v>
      </c>
      <c r="AI708" s="949" t="s">
        <v>744</v>
      </c>
      <c r="AJ708" s="946">
        <v>1</v>
      </c>
      <c r="AK708" s="951" t="s">
        <v>403</v>
      </c>
      <c r="AL708" s="951" t="s">
        <v>115</v>
      </c>
      <c r="AM708" s="952">
        <v>0</v>
      </c>
      <c r="AN708" s="952">
        <v>0</v>
      </c>
      <c r="AO708" s="951" t="s">
        <v>116</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1160</v>
      </c>
    </row>
    <row r="709" spans="1:56" ht="11.25" customHeight="1">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533</v>
      </c>
      <c r="M709" s="150"/>
      <c r="N709" s="60"/>
      <c r="O709" s="60"/>
      <c r="P709" s="60"/>
      <c r="Q709" s="119" t="s">
        <v>120</v>
      </c>
      <c r="R709" s="60"/>
      <c r="S709" s="67"/>
      <c r="T709" s="60"/>
      <c r="U709" s="60"/>
      <c r="V709" s="60"/>
      <c r="W709" s="83"/>
      <c r="X709" s="962" t="s">
        <v>533</v>
      </c>
      <c r="Y709" s="711"/>
      <c r="Z709" s="946" t="s">
        <v>112</v>
      </c>
      <c r="AA709" s="947">
        <f t="shared" si="77"/>
        <v>80</v>
      </c>
      <c r="AB709" s="947">
        <f t="shared" si="78"/>
        <v>800</v>
      </c>
      <c r="AC709" s="948">
        <f t="shared" si="79"/>
        <v>0.05</v>
      </c>
      <c r="AD709" s="946">
        <f t="shared" si="80"/>
        <v>0</v>
      </c>
      <c r="AE709" s="949" t="s">
        <v>60</v>
      </c>
      <c r="AF709" s="949">
        <f t="shared" si="81"/>
        <v>0</v>
      </c>
      <c r="AG709" s="949" t="s">
        <v>113</v>
      </c>
      <c r="AH709" s="950">
        <v>60</v>
      </c>
      <c r="AI709" s="949" t="s">
        <v>744</v>
      </c>
      <c r="AJ709" s="946">
        <v>1</v>
      </c>
      <c r="AK709" s="951" t="s">
        <v>114</v>
      </c>
      <c r="AL709" s="951" t="s">
        <v>115</v>
      </c>
      <c r="AM709" s="952">
        <v>0</v>
      </c>
      <c r="AN709" s="952">
        <v>0</v>
      </c>
      <c r="AO709" s="951" t="s">
        <v>116</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1160</v>
      </c>
    </row>
    <row r="710" spans="1:56" ht="11.25" customHeight="1">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533</v>
      </c>
      <c r="M710" s="150" t="s">
        <v>121</v>
      </c>
      <c r="N710" s="289" t="s">
        <v>122</v>
      </c>
      <c r="O710" s="289" t="s">
        <v>123</v>
      </c>
      <c r="P710" s="289" t="s">
        <v>124</v>
      </c>
      <c r="Q710" s="60"/>
      <c r="R710" s="289"/>
      <c r="S710" s="289" t="s">
        <v>126</v>
      </c>
      <c r="T710" s="150"/>
      <c r="U710" s="62" t="s">
        <v>127</v>
      </c>
      <c r="V710" s="60"/>
      <c r="W710" s="83"/>
      <c r="X710" s="962" t="s">
        <v>533</v>
      </c>
      <c r="Y710" s="711"/>
      <c r="Z710" s="946" t="s">
        <v>112</v>
      </c>
      <c r="AA710" s="947">
        <f t="shared" si="77"/>
        <v>80</v>
      </c>
      <c r="AB710" s="947">
        <f t="shared" si="78"/>
        <v>250</v>
      </c>
      <c r="AC710" s="948">
        <f t="shared" si="79"/>
        <v>0.05</v>
      </c>
      <c r="AD710" s="946">
        <f t="shared" si="80"/>
        <v>0</v>
      </c>
      <c r="AE710" s="949" t="s">
        <v>60</v>
      </c>
      <c r="AF710" s="949">
        <f t="shared" si="81"/>
        <v>0</v>
      </c>
      <c r="AG710" s="949" t="s">
        <v>113</v>
      </c>
      <c r="AH710" s="950">
        <v>60</v>
      </c>
      <c r="AI710" s="949" t="s">
        <v>744</v>
      </c>
      <c r="AJ710" s="946">
        <v>1</v>
      </c>
      <c r="AK710" s="951" t="s">
        <v>114</v>
      </c>
      <c r="AL710" s="951" t="s">
        <v>115</v>
      </c>
      <c r="AM710" s="952">
        <v>0</v>
      </c>
      <c r="AN710" s="952">
        <v>0</v>
      </c>
      <c r="AO710" s="951" t="s">
        <v>116</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1160</v>
      </c>
    </row>
    <row r="711" spans="1:56" ht="11.25" customHeight="1" thickBot="1">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533</v>
      </c>
      <c r="M711" s="292" t="s">
        <v>128</v>
      </c>
      <c r="N711" s="891" t="s">
        <v>744</v>
      </c>
      <c r="O711" s="175" t="s">
        <v>129</v>
      </c>
      <c r="P711" s="175" t="s">
        <v>96</v>
      </c>
      <c r="Q711" s="291" t="s">
        <v>130</v>
      </c>
      <c r="R711" s="291" t="str">
        <f>IF(AND(LFMAS="",SFMAS=""),"mA/mAs",IF(O712="Large",LFMAS,SFMAS))</f>
        <v>mA</v>
      </c>
      <c r="S711" s="175" t="s">
        <v>131</v>
      </c>
      <c r="T711" s="292" t="s">
        <v>132</v>
      </c>
      <c r="U711" s="175" t="s">
        <v>133</v>
      </c>
      <c r="V711" s="175" t="s">
        <v>131</v>
      </c>
      <c r="W711" s="299" t="s">
        <v>1228</v>
      </c>
      <c r="X711" s="962" t="s">
        <v>533</v>
      </c>
      <c r="Y711" s="711"/>
      <c r="Z711" s="946" t="s">
        <v>112</v>
      </c>
      <c r="AA711" s="947">
        <f t="shared" si="77"/>
        <v>100</v>
      </c>
      <c r="AB711" s="947">
        <f t="shared" si="78"/>
        <v>400</v>
      </c>
      <c r="AC711" s="948">
        <f t="shared" si="79"/>
        <v>0.05</v>
      </c>
      <c r="AD711" s="946">
        <f t="shared" si="80"/>
        <v>0</v>
      </c>
      <c r="AE711" s="949" t="s">
        <v>60</v>
      </c>
      <c r="AF711" s="949">
        <f t="shared" si="81"/>
        <v>0</v>
      </c>
      <c r="AG711" s="949" t="s">
        <v>113</v>
      </c>
      <c r="AH711" s="950">
        <v>60</v>
      </c>
      <c r="AI711" s="949" t="s">
        <v>744</v>
      </c>
      <c r="AJ711" s="946">
        <v>1</v>
      </c>
      <c r="AK711" s="951" t="s">
        <v>114</v>
      </c>
      <c r="AL711" s="951" t="s">
        <v>115</v>
      </c>
      <c r="AM711" s="952">
        <v>0</v>
      </c>
      <c r="AN711" s="952">
        <v>0</v>
      </c>
      <c r="AO711" s="951" t="s">
        <v>116</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1164</v>
      </c>
    </row>
    <row r="712" spans="1:56" ht="11.25" customHeight="1">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533</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533</v>
      </c>
      <c r="Y712" s="711"/>
      <c r="Z712" s="1135" t="s">
        <v>112</v>
      </c>
      <c r="AA712" s="1136">
        <f t="shared" si="77"/>
        <v>100</v>
      </c>
      <c r="AB712" s="1136">
        <f t="shared" si="78"/>
        <v>400</v>
      </c>
      <c r="AC712" s="1601">
        <f t="shared" si="79"/>
        <v>0.05</v>
      </c>
      <c r="AD712" s="1135">
        <f t="shared" si="80"/>
        <v>0</v>
      </c>
      <c r="AE712" s="1135" t="s">
        <v>142</v>
      </c>
      <c r="AF712" s="1135">
        <f t="shared" si="81"/>
        <v>0</v>
      </c>
      <c r="AG712" s="1135" t="s">
        <v>113</v>
      </c>
      <c r="AH712" s="1135">
        <v>60</v>
      </c>
      <c r="AI712" s="1135" t="s">
        <v>744</v>
      </c>
      <c r="AJ712" s="1135">
        <v>1</v>
      </c>
      <c r="AK712" s="1135" t="s">
        <v>114</v>
      </c>
      <c r="AL712" s="1135" t="s">
        <v>115</v>
      </c>
      <c r="AM712" s="1136">
        <v>0</v>
      </c>
      <c r="AN712" s="1136">
        <v>0</v>
      </c>
      <c r="AO712" s="1135" t="s">
        <v>116</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254</v>
      </c>
    </row>
    <row r="713" spans="1:56" ht="11.25" customHeight="1">
      <c r="A713" s="878">
        <v>53</v>
      </c>
      <c r="B713" s="739" t="str">
        <f t="shared" si="88"/>
        <v/>
      </c>
      <c r="C713" s="499" t="str">
        <f t="shared" si="89"/>
        <v/>
      </c>
      <c r="D713" s="500" t="str">
        <f t="shared" si="89"/>
        <v/>
      </c>
      <c r="E713" s="346" t="str">
        <f t="shared" si="90"/>
        <v/>
      </c>
      <c r="F713" s="123"/>
      <c r="G713" s="60"/>
      <c r="H713" s="60"/>
      <c r="I713" s="67"/>
      <c r="J713" s="67"/>
      <c r="K713" s="83"/>
      <c r="L713" s="981" t="s">
        <v>533</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533</v>
      </c>
      <c r="Y713" s="711"/>
      <c r="Z713" s="1135" t="s">
        <v>112</v>
      </c>
      <c r="AA713" s="1136">
        <f t="shared" si="77"/>
        <v>100</v>
      </c>
      <c r="AB713" s="1136">
        <f t="shared" si="78"/>
        <v>400</v>
      </c>
      <c r="AC713" s="1601">
        <f t="shared" si="79"/>
        <v>0.05</v>
      </c>
      <c r="AD713" s="1135">
        <f t="shared" si="80"/>
        <v>0</v>
      </c>
      <c r="AE713" s="1135" t="s">
        <v>142</v>
      </c>
      <c r="AF713" s="1135">
        <f t="shared" si="81"/>
        <v>3.5</v>
      </c>
      <c r="AG713" s="1135" t="s">
        <v>113</v>
      </c>
      <c r="AH713" s="1135">
        <v>60</v>
      </c>
      <c r="AI713" s="1135" t="s">
        <v>744</v>
      </c>
      <c r="AJ713" s="1135">
        <v>1</v>
      </c>
      <c r="AK713" s="1135" t="s">
        <v>114</v>
      </c>
      <c r="AL713" s="1135" t="s">
        <v>115</v>
      </c>
      <c r="AM713" s="1136">
        <v>0</v>
      </c>
      <c r="AN713" s="1136">
        <v>0</v>
      </c>
      <c r="AO713" s="1135" t="s">
        <v>116</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254</v>
      </c>
    </row>
    <row r="714" spans="1:56" ht="11.25" customHeight="1">
      <c r="A714" s="878">
        <v>54</v>
      </c>
      <c r="B714" s="740" t="str">
        <f t="shared" si="88"/>
        <v/>
      </c>
      <c r="C714" s="501" t="str">
        <f t="shared" si="89"/>
        <v/>
      </c>
      <c r="D714" s="500" t="str">
        <f t="shared" si="89"/>
        <v/>
      </c>
      <c r="E714" s="346" t="str">
        <f t="shared" si="90"/>
        <v/>
      </c>
      <c r="F714" s="123"/>
      <c r="G714" s="60"/>
      <c r="H714" s="60"/>
      <c r="I714" s="60"/>
      <c r="J714" s="60"/>
      <c r="K714" s="83"/>
      <c r="L714" s="981" t="s">
        <v>533</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533</v>
      </c>
      <c r="Y714" s="711"/>
      <c r="Z714" s="1135" t="s">
        <v>112</v>
      </c>
      <c r="AA714" s="1136">
        <f t="shared" si="77"/>
        <v>100</v>
      </c>
      <c r="AB714" s="1136">
        <f t="shared" si="78"/>
        <v>400</v>
      </c>
      <c r="AC714" s="1601">
        <f t="shared" si="79"/>
        <v>0.05</v>
      </c>
      <c r="AD714" s="1135">
        <f t="shared" si="80"/>
        <v>0</v>
      </c>
      <c r="AE714" s="1135" t="s">
        <v>142</v>
      </c>
      <c r="AF714" s="1135">
        <f t="shared" si="81"/>
        <v>3.5</v>
      </c>
      <c r="AG714" s="1135" t="s">
        <v>113</v>
      </c>
      <c r="AH714" s="1135">
        <v>60</v>
      </c>
      <c r="AI714" s="1135" t="s">
        <v>744</v>
      </c>
      <c r="AJ714" s="1135">
        <v>1</v>
      </c>
      <c r="AK714" s="1135" t="s">
        <v>114</v>
      </c>
      <c r="AL714" s="1135" t="s">
        <v>115</v>
      </c>
      <c r="AM714" s="1136">
        <v>0</v>
      </c>
      <c r="AN714" s="1136">
        <v>0</v>
      </c>
      <c r="AO714" s="1135" t="s">
        <v>116</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254</v>
      </c>
    </row>
    <row r="715" spans="1:56" ht="11.25" customHeight="1" thickBot="1">
      <c r="A715" s="878">
        <v>55</v>
      </c>
      <c r="B715" s="143"/>
      <c r="C715" s="60"/>
      <c r="D715" s="67"/>
      <c r="E715" s="67"/>
      <c r="F715" s="60"/>
      <c r="G715" s="60"/>
      <c r="H715" s="60"/>
      <c r="I715" s="60"/>
      <c r="J715" s="60"/>
      <c r="K715" s="83"/>
      <c r="L715" s="981" t="s">
        <v>533</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533</v>
      </c>
      <c r="Y715" s="711"/>
      <c r="Z715" s="1135" t="s">
        <v>112</v>
      </c>
      <c r="AA715" s="1136">
        <f t="shared" si="77"/>
        <v>100</v>
      </c>
      <c r="AB715" s="1136">
        <f t="shared" si="78"/>
        <v>400</v>
      </c>
      <c r="AC715" s="1601">
        <f t="shared" si="79"/>
        <v>0.05</v>
      </c>
      <c r="AD715" s="1135">
        <f t="shared" si="80"/>
        <v>0</v>
      </c>
      <c r="AE715" s="1135" t="s">
        <v>142</v>
      </c>
      <c r="AF715" s="1135">
        <f t="shared" si="81"/>
        <v>4</v>
      </c>
      <c r="AG715" s="1135" t="s">
        <v>113</v>
      </c>
      <c r="AH715" s="1135">
        <v>60</v>
      </c>
      <c r="AI715" s="1135" t="s">
        <v>744</v>
      </c>
      <c r="AJ715" s="1135">
        <v>1</v>
      </c>
      <c r="AK715" s="1135" t="s">
        <v>114</v>
      </c>
      <c r="AL715" s="1135" t="s">
        <v>115</v>
      </c>
      <c r="AM715" s="1136">
        <v>0</v>
      </c>
      <c r="AN715" s="1136">
        <v>0</v>
      </c>
      <c r="AO715" s="1135" t="s">
        <v>116</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254</v>
      </c>
    </row>
    <row r="716" spans="1:56" ht="11.25" customHeight="1" thickBot="1">
      <c r="A716" s="878">
        <v>56</v>
      </c>
      <c r="B716" s="150"/>
      <c r="C716" s="60"/>
      <c r="D716" s="284" t="s">
        <v>698</v>
      </c>
      <c r="E716" s="285" t="str">
        <f>IF(E707="","TBD",(IF(AND(ABS(MAX(E707:E714))&lt;=0.05,ABS(MIN(E707:E714))&lt;=0.05),"YES","NO")))</f>
        <v>TBD</v>
      </c>
      <c r="F716" s="60"/>
      <c r="G716" s="60"/>
      <c r="H716" s="60"/>
      <c r="I716" s="284" t="s">
        <v>698</v>
      </c>
      <c r="J716" s="285" t="str">
        <f>IF(J707="","TBD",(IF(AND(ABS(MAX(J707:J712))&lt;=0.05,ABS(MIN(J707:J712))&lt;=0.05),"YES","NO")))</f>
        <v>TBD</v>
      </c>
      <c r="K716" s="83"/>
      <c r="L716" s="981" t="s">
        <v>533</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533</v>
      </c>
      <c r="Y716" s="711"/>
      <c r="Z716" s="1135" t="s">
        <v>112</v>
      </c>
      <c r="AA716" s="1136">
        <f t="shared" si="77"/>
        <v>100</v>
      </c>
      <c r="AB716" s="1136">
        <f t="shared" si="78"/>
        <v>400</v>
      </c>
      <c r="AC716" s="1601">
        <f t="shared" si="79"/>
        <v>0.05</v>
      </c>
      <c r="AD716" s="1135">
        <f t="shared" si="80"/>
        <v>0</v>
      </c>
      <c r="AE716" s="1135" t="s">
        <v>142</v>
      </c>
      <c r="AF716" s="1135">
        <f t="shared" si="81"/>
        <v>4</v>
      </c>
      <c r="AG716" s="1135" t="s">
        <v>113</v>
      </c>
      <c r="AH716" s="1135">
        <v>60</v>
      </c>
      <c r="AI716" s="1135" t="s">
        <v>744</v>
      </c>
      <c r="AJ716" s="1135">
        <v>1</v>
      </c>
      <c r="AK716" s="1135" t="s">
        <v>114</v>
      </c>
      <c r="AL716" s="1135" t="s">
        <v>115</v>
      </c>
      <c r="AM716" s="1136">
        <v>0</v>
      </c>
      <c r="AN716" s="1136">
        <v>0</v>
      </c>
      <c r="AO716" s="1135" t="s">
        <v>116</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254</v>
      </c>
    </row>
    <row r="717" spans="1:56" ht="11.25" customHeight="1">
      <c r="A717" s="878">
        <v>57</v>
      </c>
      <c r="B717" s="159"/>
      <c r="C717" s="67"/>
      <c r="D717" s="67"/>
      <c r="E717" s="67"/>
      <c r="F717" s="67"/>
      <c r="G717" s="67"/>
      <c r="H717" s="67"/>
      <c r="I717" s="67"/>
      <c r="J717" s="67"/>
      <c r="K717" s="83"/>
      <c r="L717" s="981" t="s">
        <v>533</v>
      </c>
      <c r="M717" s="153"/>
      <c r="N717" s="484" t="str">
        <f>IF(OR($N$712="",Q717=""),"",$N$712)</f>
        <v/>
      </c>
      <c r="O717" s="288" t="str">
        <f>IF(Q717="","",O716)</f>
        <v/>
      </c>
      <c r="P717" s="898"/>
      <c r="Q717" s="893"/>
      <c r="R717" s="570" t="str">
        <f>IF(OR($R$712="",Q717=""),"",$R$712)</f>
        <v/>
      </c>
      <c r="S717" s="294" t="str">
        <f>IF(OR($S$712="",Q717=""),"",$S$712)</f>
        <v/>
      </c>
      <c r="T717" s="894"/>
      <c r="U717" s="895"/>
      <c r="V717" s="896"/>
      <c r="W717" s="897"/>
      <c r="X717" s="962" t="s">
        <v>533</v>
      </c>
      <c r="Y717" s="711"/>
      <c r="Z717" s="1135" t="s">
        <v>112</v>
      </c>
      <c r="AA717" s="1136">
        <f t="shared" si="77"/>
        <v>100</v>
      </c>
      <c r="AB717" s="1136">
        <f t="shared" si="78"/>
        <v>400</v>
      </c>
      <c r="AC717" s="1601">
        <f t="shared" si="79"/>
        <v>0.05</v>
      </c>
      <c r="AD717" s="1135">
        <f t="shared" si="80"/>
        <v>0</v>
      </c>
      <c r="AE717" s="1135" t="s">
        <v>142</v>
      </c>
      <c r="AF717" s="1135">
        <f t="shared" si="81"/>
        <v>3</v>
      </c>
      <c r="AG717" s="1135" t="s">
        <v>113</v>
      </c>
      <c r="AH717" s="1135">
        <v>60</v>
      </c>
      <c r="AI717" s="1135" t="s">
        <v>744</v>
      </c>
      <c r="AJ717" s="1135">
        <v>1</v>
      </c>
      <c r="AK717" s="1135" t="s">
        <v>114</v>
      </c>
      <c r="AL717" s="1135" t="s">
        <v>115</v>
      </c>
      <c r="AM717" s="1136">
        <v>0</v>
      </c>
      <c r="AN717" s="1136">
        <v>0</v>
      </c>
      <c r="AO717" s="1135" t="s">
        <v>116</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254</v>
      </c>
    </row>
    <row r="718" spans="1:56" ht="11.25" customHeight="1">
      <c r="A718" s="878">
        <v>58</v>
      </c>
      <c r="B718" s="159"/>
      <c r="C718" s="166" t="s">
        <v>699</v>
      </c>
      <c r="D718" s="246" t="s">
        <v>591</v>
      </c>
      <c r="E718" s="67"/>
      <c r="F718" s="67"/>
      <c r="G718" s="67"/>
      <c r="H718" s="67"/>
      <c r="I718" s="67"/>
      <c r="J718" s="67"/>
      <c r="K718" s="85"/>
      <c r="L718" s="981" t="s">
        <v>533</v>
      </c>
      <c r="M718" s="125" t="s">
        <v>141</v>
      </c>
      <c r="N718" s="67"/>
      <c r="O718" s="67"/>
      <c r="P718" s="67"/>
      <c r="Q718" s="67"/>
      <c r="R718" s="67"/>
      <c r="S718" s="67"/>
      <c r="T718" s="67"/>
      <c r="U718" s="67"/>
      <c r="V718" s="67"/>
      <c r="W718" s="85"/>
      <c r="X718" s="962" t="s">
        <v>533</v>
      </c>
      <c r="Y718" s="710"/>
      <c r="Z718" s="1135" t="s">
        <v>112</v>
      </c>
      <c r="AA718" s="1136">
        <f t="shared" si="77"/>
        <v>100</v>
      </c>
      <c r="AB718" s="1136">
        <f t="shared" si="78"/>
        <v>400</v>
      </c>
      <c r="AC718" s="1601">
        <f t="shared" si="79"/>
        <v>0.05</v>
      </c>
      <c r="AD718" s="1135">
        <f t="shared" si="80"/>
        <v>0</v>
      </c>
      <c r="AE718" s="1135" t="s">
        <v>142</v>
      </c>
      <c r="AF718" s="1135">
        <f t="shared" si="81"/>
        <v>3</v>
      </c>
      <c r="AG718" s="1135" t="s">
        <v>113</v>
      </c>
      <c r="AH718" s="1135">
        <v>60</v>
      </c>
      <c r="AI718" s="1135" t="s">
        <v>744</v>
      </c>
      <c r="AJ718" s="1135">
        <v>1</v>
      </c>
      <c r="AK718" s="1135" t="s">
        <v>114</v>
      </c>
      <c r="AL718" s="1135" t="s">
        <v>115</v>
      </c>
      <c r="AM718" s="1136">
        <v>0</v>
      </c>
      <c r="AN718" s="1136">
        <v>0</v>
      </c>
      <c r="AO718" s="1135" t="s">
        <v>116</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254</v>
      </c>
    </row>
    <row r="719" spans="1:56" ht="11.25" customHeight="1">
      <c r="A719" s="878">
        <v>59</v>
      </c>
      <c r="B719" s="159"/>
      <c r="D719" s="67"/>
      <c r="E719" s="67"/>
      <c r="F719" s="67"/>
      <c r="G719" s="67"/>
      <c r="H719" s="67"/>
      <c r="I719" s="67"/>
      <c r="J719" s="67"/>
      <c r="K719" s="85"/>
      <c r="L719" s="981" t="s">
        <v>533</v>
      </c>
      <c r="M719" s="159"/>
      <c r="N719" s="830" t="s">
        <v>681</v>
      </c>
      <c r="O719" s="1448" t="str">
        <f>IF(O720&lt;&gt;"",O720,IF(OR(AB441=0,AB441=""),"",AB441))</f>
        <v/>
      </c>
      <c r="P719" s="59"/>
      <c r="Q719" s="59"/>
      <c r="R719" s="59"/>
      <c r="S719" s="59"/>
      <c r="T719" s="59"/>
      <c r="U719" s="59"/>
      <c r="V719" s="59"/>
      <c r="W719" s="126"/>
      <c r="X719" s="962" t="s">
        <v>533</v>
      </c>
      <c r="Y719" s="710"/>
      <c r="Z719" s="956" t="s">
        <v>112</v>
      </c>
      <c r="AA719" s="947">
        <f t="shared" si="77"/>
        <v>120</v>
      </c>
      <c r="AB719" s="947">
        <f t="shared" si="78"/>
        <v>400</v>
      </c>
      <c r="AC719" s="948">
        <f t="shared" si="79"/>
        <v>0.05</v>
      </c>
      <c r="AD719" s="946">
        <f t="shared" si="80"/>
        <v>0</v>
      </c>
      <c r="AE719" s="949" t="s">
        <v>142</v>
      </c>
      <c r="AF719" s="949">
        <f t="shared" si="81"/>
        <v>0</v>
      </c>
      <c r="AG719" s="949" t="s">
        <v>113</v>
      </c>
      <c r="AH719" s="950">
        <v>60</v>
      </c>
      <c r="AI719" s="949" t="s">
        <v>744</v>
      </c>
      <c r="AJ719" s="946">
        <v>1</v>
      </c>
      <c r="AK719" s="951" t="s">
        <v>114</v>
      </c>
      <c r="AL719" s="951" t="s">
        <v>115</v>
      </c>
      <c r="AM719" s="952">
        <v>0</v>
      </c>
      <c r="AN719" s="952">
        <v>0</v>
      </c>
      <c r="AO719" s="951" t="s">
        <v>116</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1243</v>
      </c>
    </row>
    <row r="720" spans="1:56" ht="11.25" customHeight="1" thickBot="1">
      <c r="A720" s="878">
        <v>60</v>
      </c>
      <c r="B720" s="124"/>
      <c r="D720" s="67"/>
      <c r="E720" s="67"/>
      <c r="F720" s="67"/>
      <c r="G720" s="67"/>
      <c r="H720" s="67"/>
      <c r="I720" s="67"/>
      <c r="J720" s="67"/>
      <c r="K720" s="85"/>
      <c r="L720" s="981" t="s">
        <v>533</v>
      </c>
      <c r="M720" s="125"/>
      <c r="N720" s="1447" t="s">
        <v>748</v>
      </c>
      <c r="O720" s="1449"/>
      <c r="P720" s="1288">
        <f>LEN(O719)</f>
        <v>0</v>
      </c>
      <c r="Q720" s="60"/>
      <c r="R720" s="60"/>
      <c r="S720" s="60"/>
      <c r="T720" s="60"/>
      <c r="U720" s="60"/>
      <c r="V720" s="60"/>
      <c r="W720" s="83"/>
      <c r="X720" s="962" t="s">
        <v>533</v>
      </c>
      <c r="Y720" s="710"/>
      <c r="Z720" s="1135" t="s">
        <v>112</v>
      </c>
      <c r="AA720" s="1136">
        <f t="shared" ref="AA720:AA741" si="95">AK657</f>
        <v>120</v>
      </c>
      <c r="AB720" s="1136">
        <f t="shared" ref="AB720:AB741" si="96">AL657</f>
        <v>400</v>
      </c>
      <c r="AC720" s="1601">
        <f t="shared" ref="AC720:AC742" si="97">AM657</f>
        <v>0.05</v>
      </c>
      <c r="AD720" s="1135">
        <f t="shared" ref="AD720:AD741" si="98">AN657</f>
        <v>0</v>
      </c>
      <c r="AE720" s="1135" t="s">
        <v>142</v>
      </c>
      <c r="AF720" s="1135">
        <f t="shared" ref="AF720:AF747" si="99">AO657</f>
        <v>0</v>
      </c>
      <c r="AG720" s="1135" t="s">
        <v>113</v>
      </c>
      <c r="AH720" s="1135">
        <v>60</v>
      </c>
      <c r="AI720" s="1135" t="s">
        <v>744</v>
      </c>
      <c r="AJ720" s="1135">
        <v>1</v>
      </c>
      <c r="AK720" s="1135" t="s">
        <v>114</v>
      </c>
      <c r="AL720" s="1135" t="s">
        <v>115</v>
      </c>
      <c r="AM720" s="1136">
        <v>0</v>
      </c>
      <c r="AN720" s="1136">
        <v>0</v>
      </c>
      <c r="AO720" s="1135" t="s">
        <v>116</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254</v>
      </c>
    </row>
    <row r="721" spans="1:56" ht="11.25" customHeight="1" thickBot="1">
      <c r="A721" s="878">
        <v>61</v>
      </c>
      <c r="B721" s="143" t="s">
        <v>681</v>
      </c>
      <c r="C721" s="1290" t="str">
        <f>IF(O721="","",IF(LEN(O721)&lt;=135,O721,IF(LEN(O721)&lt;=260,LEFT(O721,SEARCH(" ",O721,125)),LEFT(O721,SEARCH(" ",O721,130)))))</f>
        <v/>
      </c>
      <c r="D721" s="61"/>
      <c r="E721" s="61"/>
      <c r="F721" s="61"/>
      <c r="G721" s="61"/>
      <c r="H721" s="61"/>
      <c r="I721" s="61"/>
      <c r="J721" s="61"/>
      <c r="K721" s="85"/>
      <c r="L721" s="981" t="s">
        <v>533</v>
      </c>
      <c r="M721" s="150"/>
      <c r="O721" s="1038" t="str">
        <f>IF(AND(O703="",O719=""),"",IF(AND(O703&lt;&gt;"",O719=""),"Lg. F:  "&amp;O703,IF(AND(O703="",O719&lt;&gt;""),"Sm. F:  "&amp;O719,"Lg. F:  "&amp;O703&amp;";  Sm. F:  "&amp;O719)))</f>
        <v/>
      </c>
      <c r="P721" s="62" t="s">
        <v>147</v>
      </c>
      <c r="Q721" s="60"/>
      <c r="R721" s="60"/>
      <c r="S721" s="60"/>
      <c r="T721" s="60"/>
      <c r="U721" s="1076" t="s">
        <v>698</v>
      </c>
      <c r="V721" s="1056" t="str">
        <f>IF(J707="","TBD",(IF(AND(ABS(MAX(J707:J712))&lt;=0.05,ABS(MIN(J707:J712))&lt;=0.05),"YES","NO")))</f>
        <v>TBD</v>
      </c>
      <c r="W721" s="83"/>
      <c r="X721" s="962" t="s">
        <v>533</v>
      </c>
      <c r="Y721" s="710"/>
      <c r="Z721" s="1135" t="s">
        <v>112</v>
      </c>
      <c r="AA721" s="1136">
        <f t="shared" si="95"/>
        <v>120</v>
      </c>
      <c r="AB721" s="1136">
        <f t="shared" si="96"/>
        <v>400</v>
      </c>
      <c r="AC721" s="1601">
        <f t="shared" si="97"/>
        <v>0.05</v>
      </c>
      <c r="AD721" s="1135">
        <f t="shared" si="98"/>
        <v>0</v>
      </c>
      <c r="AE721" s="1135" t="s">
        <v>142</v>
      </c>
      <c r="AF721" s="1135">
        <f t="shared" si="99"/>
        <v>4</v>
      </c>
      <c r="AG721" s="1135" t="s">
        <v>113</v>
      </c>
      <c r="AH721" s="1135">
        <v>60</v>
      </c>
      <c r="AI721" s="1135" t="s">
        <v>744</v>
      </c>
      <c r="AJ721" s="1135">
        <v>1</v>
      </c>
      <c r="AK721" s="1135" t="s">
        <v>114</v>
      </c>
      <c r="AL721" s="1135" t="s">
        <v>115</v>
      </c>
      <c r="AM721" s="1136">
        <v>0</v>
      </c>
      <c r="AN721" s="1136">
        <v>0</v>
      </c>
      <c r="AO721" s="1135" t="s">
        <v>116</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254</v>
      </c>
    </row>
    <row r="722" spans="1:56" ht="11.25" customHeight="1">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533</v>
      </c>
      <c r="M722" s="159"/>
      <c r="N722" s="876" t="s">
        <v>195</v>
      </c>
      <c r="P722" s="1288">
        <f>LEN(O721)</f>
        <v>0</v>
      </c>
      <c r="Q722" s="67"/>
      <c r="R722" s="67"/>
      <c r="S722" s="67"/>
      <c r="T722" s="67"/>
      <c r="U722" s="67"/>
      <c r="V722" s="67"/>
      <c r="W722" s="85"/>
      <c r="X722" s="962" t="s">
        <v>533</v>
      </c>
      <c r="Y722" s="710"/>
      <c r="Z722" s="1135" t="s">
        <v>112</v>
      </c>
      <c r="AA722" s="1136">
        <f t="shared" si="95"/>
        <v>120</v>
      </c>
      <c r="AB722" s="1136">
        <f t="shared" si="96"/>
        <v>400</v>
      </c>
      <c r="AC722" s="1601">
        <f t="shared" si="97"/>
        <v>0.05</v>
      </c>
      <c r="AD722" s="1135">
        <f t="shared" si="98"/>
        <v>0</v>
      </c>
      <c r="AE722" s="1135" t="s">
        <v>142</v>
      </c>
      <c r="AF722" s="1135">
        <f t="shared" si="99"/>
        <v>4</v>
      </c>
      <c r="AG722" s="1135" t="s">
        <v>113</v>
      </c>
      <c r="AH722" s="1135">
        <v>60</v>
      </c>
      <c r="AI722" s="1135" t="s">
        <v>744</v>
      </c>
      <c r="AJ722" s="1135">
        <v>1</v>
      </c>
      <c r="AK722" s="1135" t="s">
        <v>114</v>
      </c>
      <c r="AL722" s="1135" t="s">
        <v>115</v>
      </c>
      <c r="AM722" s="1136">
        <v>0</v>
      </c>
      <c r="AN722" s="1136">
        <v>0</v>
      </c>
      <c r="AO722" s="1135" t="s">
        <v>116</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254</v>
      </c>
    </row>
    <row r="723" spans="1:56" ht="11.25" customHeight="1">
      <c r="A723" s="878">
        <v>63</v>
      </c>
      <c r="B723" s="159"/>
      <c r="C723" s="1290" t="str">
        <f>IF(LEN(O721)&lt;=265,"",RIGHT(O721,LEN(O721)-SEARCH(" ",O721,255)))</f>
        <v/>
      </c>
      <c r="D723" s="61"/>
      <c r="E723" s="61"/>
      <c r="F723" s="61"/>
      <c r="G723" s="61"/>
      <c r="H723" s="61"/>
      <c r="I723" s="61"/>
      <c r="J723" s="61"/>
      <c r="K723" s="85"/>
      <c r="L723" s="981" t="s">
        <v>533</v>
      </c>
      <c r="M723" s="159"/>
      <c r="N723" s="166" t="s">
        <v>699</v>
      </c>
      <c r="O723" s="246" t="s">
        <v>591</v>
      </c>
      <c r="P723" s="246"/>
      <c r="Q723" s="67"/>
      <c r="R723" s="67"/>
      <c r="S723" s="67"/>
      <c r="T723" s="67"/>
      <c r="U723" s="67"/>
      <c r="V723" s="67"/>
      <c r="W723" s="85"/>
      <c r="X723" s="962" t="s">
        <v>533</v>
      </c>
      <c r="Y723" s="710"/>
      <c r="Z723" s="1135" t="s">
        <v>112</v>
      </c>
      <c r="AA723" s="1136">
        <f t="shared" si="95"/>
        <v>120</v>
      </c>
      <c r="AB723" s="1136">
        <f t="shared" si="96"/>
        <v>400</v>
      </c>
      <c r="AC723" s="1601">
        <f t="shared" si="97"/>
        <v>0.05</v>
      </c>
      <c r="AD723" s="1135">
        <f t="shared" si="98"/>
        <v>0</v>
      </c>
      <c r="AE723" s="1135" t="s">
        <v>142</v>
      </c>
      <c r="AF723" s="1135">
        <f t="shared" si="99"/>
        <v>4.5</v>
      </c>
      <c r="AG723" s="1135" t="s">
        <v>113</v>
      </c>
      <c r="AH723" s="1135">
        <v>60</v>
      </c>
      <c r="AI723" s="1135" t="s">
        <v>744</v>
      </c>
      <c r="AJ723" s="1135">
        <v>1</v>
      </c>
      <c r="AK723" s="1135" t="s">
        <v>114</v>
      </c>
      <c r="AL723" s="1135" t="s">
        <v>115</v>
      </c>
      <c r="AM723" s="1136">
        <v>0</v>
      </c>
      <c r="AN723" s="1136">
        <v>0</v>
      </c>
      <c r="AO723" s="1135" t="s">
        <v>116</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254</v>
      </c>
    </row>
    <row r="724" spans="1:56" ht="11.25" customHeight="1" thickBot="1">
      <c r="A724" s="878">
        <v>64</v>
      </c>
      <c r="B724" s="116"/>
      <c r="C724" s="98"/>
      <c r="D724" s="98"/>
      <c r="E724" s="98"/>
      <c r="F724" s="98"/>
      <c r="G724" s="98"/>
      <c r="H724" s="98"/>
      <c r="I724" s="98"/>
      <c r="J724" s="98"/>
      <c r="K724" s="103"/>
      <c r="L724" s="981" t="s">
        <v>533</v>
      </c>
      <c r="M724" s="116"/>
      <c r="N724" s="98"/>
      <c r="O724" s="98"/>
      <c r="P724" s="98"/>
      <c r="Q724" s="98"/>
      <c r="R724" s="98"/>
      <c r="S724" s="98"/>
      <c r="T724" s="98"/>
      <c r="U724" s="98"/>
      <c r="V724" s="98"/>
      <c r="W724" s="103"/>
      <c r="X724" s="962" t="s">
        <v>533</v>
      </c>
      <c r="Y724" s="710"/>
      <c r="Z724" s="1135" t="s">
        <v>112</v>
      </c>
      <c r="AA724" s="1136">
        <f t="shared" si="95"/>
        <v>120</v>
      </c>
      <c r="AB724" s="1136">
        <f t="shared" si="96"/>
        <v>400</v>
      </c>
      <c r="AC724" s="1601">
        <f t="shared" si="97"/>
        <v>0.05</v>
      </c>
      <c r="AD724" s="1135">
        <f t="shared" si="98"/>
        <v>0</v>
      </c>
      <c r="AE724" s="1135" t="s">
        <v>142</v>
      </c>
      <c r="AF724" s="1135">
        <f t="shared" si="99"/>
        <v>4.5</v>
      </c>
      <c r="AG724" s="1135" t="s">
        <v>113</v>
      </c>
      <c r="AH724" s="1135">
        <v>60</v>
      </c>
      <c r="AI724" s="1135" t="s">
        <v>744</v>
      </c>
      <c r="AJ724" s="1135">
        <v>1</v>
      </c>
      <c r="AK724" s="1135" t="s">
        <v>114</v>
      </c>
      <c r="AL724" s="1135" t="s">
        <v>115</v>
      </c>
      <c r="AM724" s="1136">
        <v>0</v>
      </c>
      <c r="AN724" s="1136">
        <v>0</v>
      </c>
      <c r="AO724" s="1135" t="s">
        <v>116</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254</v>
      </c>
    </row>
    <row r="725" spans="1:56" ht="11.25" customHeight="1" thickTop="1">
      <c r="A725" s="878">
        <v>65</v>
      </c>
      <c r="B725" s="64" t="str">
        <f t="array" ref="B725:C726">$B$65:$C$66</f>
        <v>Date:</v>
      </c>
      <c r="C725" s="1467">
        <v>43039</v>
      </c>
      <c r="D725" s="140"/>
      <c r="E725" s="63"/>
      <c r="F725" s="63"/>
      <c r="G725" s="63"/>
      <c r="H725" s="63"/>
      <c r="I725" s="64" t="str">
        <f t="array" ref="I725:J726">$I$65:$J$66</f>
        <v>Inspector:</v>
      </c>
      <c r="J725" s="565" t="str">
        <v>Eugene Mah</v>
      </c>
      <c r="L725" s="981" t="s">
        <v>533</v>
      </c>
      <c r="X725" s="962" t="s">
        <v>533</v>
      </c>
      <c r="Y725" s="441"/>
      <c r="Z725" s="1135" t="s">
        <v>112</v>
      </c>
      <c r="AA725" s="1136">
        <f t="shared" si="95"/>
        <v>120</v>
      </c>
      <c r="AB725" s="1136">
        <f t="shared" si="96"/>
        <v>400</v>
      </c>
      <c r="AC725" s="1601">
        <f t="shared" si="97"/>
        <v>0.05</v>
      </c>
      <c r="AD725" s="1135">
        <f t="shared" si="98"/>
        <v>0</v>
      </c>
      <c r="AE725" s="1135" t="s">
        <v>142</v>
      </c>
      <c r="AF725" s="1135">
        <f t="shared" si="99"/>
        <v>3.5</v>
      </c>
      <c r="AG725" s="1135" t="s">
        <v>113</v>
      </c>
      <c r="AH725" s="1135">
        <v>60</v>
      </c>
      <c r="AI725" s="1135" t="s">
        <v>744</v>
      </c>
      <c r="AJ725" s="1135">
        <v>1</v>
      </c>
      <c r="AK725" s="1135" t="s">
        <v>114</v>
      </c>
      <c r="AL725" s="1135" t="s">
        <v>115</v>
      </c>
      <c r="AM725" s="1136">
        <v>0</v>
      </c>
      <c r="AN725" s="1136">
        <v>0</v>
      </c>
      <c r="AO725" s="1135" t="s">
        <v>116</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254</v>
      </c>
    </row>
    <row r="726" spans="1:56" ht="11.25" customHeight="1">
      <c r="A726" s="878">
        <v>66</v>
      </c>
      <c r="B726" s="64" t="str">
        <v>Room Number:</v>
      </c>
      <c r="C726" s="508" t="str">
        <v>Room 04 RT 127M - Tube 1</v>
      </c>
      <c r="D726" s="67"/>
      <c r="E726" s="63"/>
      <c r="F726" s="63"/>
      <c r="G726" s="63"/>
      <c r="H726" s="63"/>
      <c r="I726" s="64" t="str">
        <v>Survey ID:</v>
      </c>
      <c r="J726" s="1475">
        <v>1976</v>
      </c>
      <c r="L726" s="981" t="s">
        <v>533</v>
      </c>
      <c r="X726" s="962" t="s">
        <v>533</v>
      </c>
      <c r="Y726" s="204"/>
      <c r="Z726" s="1135" t="s">
        <v>112</v>
      </c>
      <c r="AA726" s="1136">
        <f t="shared" si="95"/>
        <v>120</v>
      </c>
      <c r="AB726" s="1136">
        <f t="shared" si="96"/>
        <v>400</v>
      </c>
      <c r="AC726" s="1601">
        <f t="shared" si="97"/>
        <v>0.05</v>
      </c>
      <c r="AD726" s="1135">
        <f t="shared" si="98"/>
        <v>0</v>
      </c>
      <c r="AE726" s="1135" t="s">
        <v>142</v>
      </c>
      <c r="AF726" s="1135">
        <f t="shared" si="99"/>
        <v>3.5</v>
      </c>
      <c r="AG726" s="1135" t="s">
        <v>113</v>
      </c>
      <c r="AH726" s="1135">
        <v>60</v>
      </c>
      <c r="AI726" s="1135" t="s">
        <v>744</v>
      </c>
      <c r="AJ726" s="1135">
        <v>1</v>
      </c>
      <c r="AK726" s="1135" t="s">
        <v>114</v>
      </c>
      <c r="AL726" s="1135" t="s">
        <v>115</v>
      </c>
      <c r="AM726" s="1136">
        <v>0</v>
      </c>
      <c r="AN726" s="1136">
        <v>0</v>
      </c>
      <c r="AO726" s="1135" t="s">
        <v>116</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254</v>
      </c>
    </row>
    <row r="727" spans="1:56" ht="11.25" customHeight="1">
      <c r="A727" s="878">
        <v>1</v>
      </c>
      <c r="K727" s="165" t="str">
        <f>$F$2</f>
        <v>Medical University of South Carolina</v>
      </c>
      <c r="L727" s="981" t="s">
        <v>533</v>
      </c>
      <c r="W727" s="165" t="str">
        <f>$F$2</f>
        <v>Medical University of South Carolina</v>
      </c>
      <c r="X727" s="962" t="s">
        <v>533</v>
      </c>
      <c r="Y727" s="204"/>
      <c r="Z727" s="956" t="s">
        <v>112</v>
      </c>
      <c r="AA727" s="947">
        <f t="shared" si="95"/>
        <v>140</v>
      </c>
      <c r="AB727" s="947">
        <f t="shared" si="96"/>
        <v>400</v>
      </c>
      <c r="AC727" s="948">
        <f t="shared" si="97"/>
        <v>0.05</v>
      </c>
      <c r="AD727" s="946">
        <f t="shared" si="98"/>
        <v>0</v>
      </c>
      <c r="AE727" s="949" t="s">
        <v>142</v>
      </c>
      <c r="AF727" s="949">
        <f t="shared" si="99"/>
        <v>0</v>
      </c>
      <c r="AG727" s="949" t="s">
        <v>113</v>
      </c>
      <c r="AH727" s="950">
        <v>60</v>
      </c>
      <c r="AI727" s="949" t="s">
        <v>744</v>
      </c>
      <c r="AJ727" s="946">
        <v>1</v>
      </c>
      <c r="AK727" s="951" t="s">
        <v>114</v>
      </c>
      <c r="AL727" s="951" t="s">
        <v>115</v>
      </c>
      <c r="AM727" s="952">
        <v>0</v>
      </c>
      <c r="AN727" s="952">
        <v>0</v>
      </c>
      <c r="AO727" s="951" t="s">
        <v>116</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1164</v>
      </c>
    </row>
    <row r="728" spans="1:56" ht="11.25" customHeight="1">
      <c r="A728" s="878">
        <v>2</v>
      </c>
      <c r="F728" s="344" t="str">
        <f>$F$464</f>
        <v>Measurement Data</v>
      </c>
      <c r="K728" s="166" t="str">
        <f>$F$5</f>
        <v>Radiographic System Compliance Inspection</v>
      </c>
      <c r="L728" s="981" t="s">
        <v>533</v>
      </c>
      <c r="W728" s="166" t="str">
        <f>$F$5</f>
        <v>Radiographic System Compliance Inspection</v>
      </c>
      <c r="X728" s="962" t="s">
        <v>533</v>
      </c>
      <c r="Z728" s="1392" t="s">
        <v>112</v>
      </c>
      <c r="AA728" s="1393">
        <f t="shared" si="95"/>
        <v>50</v>
      </c>
      <c r="AB728" s="1393">
        <f t="shared" si="96"/>
        <v>100</v>
      </c>
      <c r="AC728" s="1394">
        <f t="shared" si="97"/>
        <v>0.1</v>
      </c>
      <c r="AD728" s="1395">
        <f t="shared" si="98"/>
        <v>0</v>
      </c>
      <c r="AE728" s="1396" t="s">
        <v>61</v>
      </c>
      <c r="AF728" s="1396">
        <f t="shared" si="99"/>
        <v>0</v>
      </c>
      <c r="AG728" s="1396" t="s">
        <v>113</v>
      </c>
      <c r="AH728" s="1397">
        <v>60</v>
      </c>
      <c r="AI728" s="1396" t="s">
        <v>744</v>
      </c>
      <c r="AJ728" s="1395">
        <v>1</v>
      </c>
      <c r="AK728" s="1395" t="s">
        <v>114</v>
      </c>
      <c r="AL728" s="1395" t="s">
        <v>115</v>
      </c>
      <c r="AM728" s="1393">
        <v>0</v>
      </c>
      <c r="AN728" s="1393">
        <v>0</v>
      </c>
      <c r="AO728" s="1392" t="s">
        <v>145</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1164</v>
      </c>
    </row>
    <row r="729" spans="1:56" ht="11.25" customHeight="1" thickBot="1">
      <c r="A729" s="878">
        <v>3</v>
      </c>
      <c r="L729" s="981" t="s">
        <v>533</v>
      </c>
      <c r="M729" s="281"/>
      <c r="R729" s="344" t="str">
        <f>$F$464</f>
        <v>Measurement Data</v>
      </c>
      <c r="X729" s="962" t="s">
        <v>533</v>
      </c>
      <c r="Z729" s="1392" t="s">
        <v>112</v>
      </c>
      <c r="AA729" s="1393">
        <f t="shared" si="95"/>
        <v>70</v>
      </c>
      <c r="AB729" s="1393">
        <f t="shared" si="96"/>
        <v>100</v>
      </c>
      <c r="AC729" s="1394">
        <f t="shared" si="97"/>
        <v>0.1</v>
      </c>
      <c r="AD729" s="1395">
        <f t="shared" si="98"/>
        <v>0</v>
      </c>
      <c r="AE729" s="1396" t="s">
        <v>59</v>
      </c>
      <c r="AF729" s="1396">
        <f t="shared" si="99"/>
        <v>0</v>
      </c>
      <c r="AG729" s="1396" t="s">
        <v>113</v>
      </c>
      <c r="AH729" s="1397">
        <v>60</v>
      </c>
      <c r="AI729" s="1396" t="s">
        <v>744</v>
      </c>
      <c r="AJ729" s="1395">
        <v>1</v>
      </c>
      <c r="AK729" s="1395" t="s">
        <v>114</v>
      </c>
      <c r="AL729" s="1395" t="s">
        <v>115</v>
      </c>
      <c r="AM729" s="1393">
        <v>0</v>
      </c>
      <c r="AN729" s="1393">
        <v>0</v>
      </c>
      <c r="AO729" s="1392" t="s">
        <v>145</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1164</v>
      </c>
    </row>
    <row r="730" spans="1:56" ht="11.25" customHeight="1" thickTop="1" thickBot="1">
      <c r="A730" s="878">
        <v>4</v>
      </c>
      <c r="B730" s="93"/>
      <c r="C730" s="76"/>
      <c r="D730" s="76"/>
      <c r="E730" s="76"/>
      <c r="F730" s="76"/>
      <c r="G730" s="76"/>
      <c r="H730" s="76"/>
      <c r="I730" s="76"/>
      <c r="J730" s="76"/>
      <c r="K730" s="94"/>
      <c r="L730" s="981" t="s">
        <v>533</v>
      </c>
      <c r="X730" s="962" t="s">
        <v>533</v>
      </c>
      <c r="Z730" s="1392" t="s">
        <v>112</v>
      </c>
      <c r="AA730" s="1393">
        <f t="shared" si="95"/>
        <v>90</v>
      </c>
      <c r="AB730" s="1393">
        <f t="shared" si="96"/>
        <v>100</v>
      </c>
      <c r="AC730" s="1394">
        <f t="shared" si="97"/>
        <v>0.1</v>
      </c>
      <c r="AD730" s="1395">
        <f t="shared" si="98"/>
        <v>0</v>
      </c>
      <c r="AE730" s="1396" t="s">
        <v>60</v>
      </c>
      <c r="AF730" s="1396">
        <f t="shared" si="99"/>
        <v>0</v>
      </c>
      <c r="AG730" s="1396" t="s">
        <v>113</v>
      </c>
      <c r="AH730" s="1397">
        <v>60</v>
      </c>
      <c r="AI730" s="1396" t="s">
        <v>744</v>
      </c>
      <c r="AJ730" s="1395">
        <v>1</v>
      </c>
      <c r="AK730" s="1395" t="s">
        <v>114</v>
      </c>
      <c r="AL730" s="1395" t="s">
        <v>115</v>
      </c>
      <c r="AM730" s="1393">
        <v>0</v>
      </c>
      <c r="AN730" s="1393">
        <v>0</v>
      </c>
      <c r="AO730" s="1392" t="s">
        <v>145</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1171</v>
      </c>
    </row>
    <row r="731" spans="1:56" ht="11.25" customHeight="1" thickTop="1">
      <c r="A731" s="878">
        <v>5</v>
      </c>
      <c r="B731" s="159"/>
      <c r="C731" s="67"/>
      <c r="D731" s="67"/>
      <c r="E731" s="67"/>
      <c r="F731" s="343" t="s">
        <v>813</v>
      </c>
      <c r="G731" s="67"/>
      <c r="H731" s="67"/>
      <c r="I731" s="67"/>
      <c r="J731" s="67"/>
      <c r="K731" s="85"/>
      <c r="L731" s="981" t="s">
        <v>533</v>
      </c>
      <c r="M731" s="162"/>
      <c r="N731" s="76"/>
      <c r="O731" s="76"/>
      <c r="P731" s="76"/>
      <c r="Q731" s="76"/>
      <c r="R731" s="76"/>
      <c r="S731" s="137"/>
      <c r="T731" s="137"/>
      <c r="U731" s="137"/>
      <c r="V731" s="137"/>
      <c r="W731" s="79"/>
      <c r="X731" s="962" t="s">
        <v>533</v>
      </c>
      <c r="Z731" s="1392" t="s">
        <v>112</v>
      </c>
      <c r="AA731" s="1393">
        <f t="shared" si="95"/>
        <v>90</v>
      </c>
      <c r="AB731" s="1393">
        <f t="shared" si="96"/>
        <v>100</v>
      </c>
      <c r="AC731" s="1394">
        <f t="shared" si="97"/>
        <v>0.1</v>
      </c>
      <c r="AD731" s="1395">
        <f t="shared" si="98"/>
        <v>0</v>
      </c>
      <c r="AE731" s="1396" t="s">
        <v>60</v>
      </c>
      <c r="AF731" s="1396">
        <f t="shared" si="99"/>
        <v>0</v>
      </c>
      <c r="AG731" s="1396" t="s">
        <v>113</v>
      </c>
      <c r="AH731" s="1397">
        <v>60</v>
      </c>
      <c r="AI731" s="1396" t="s">
        <v>744</v>
      </c>
      <c r="AJ731" s="1395">
        <v>1</v>
      </c>
      <c r="AK731" s="1395" t="s">
        <v>114</v>
      </c>
      <c r="AL731" s="1395" t="s">
        <v>115</v>
      </c>
      <c r="AM731" s="1393">
        <v>0</v>
      </c>
      <c r="AN731" s="1393">
        <v>0</v>
      </c>
      <c r="AO731" s="1392" t="s">
        <v>145</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1159</v>
      </c>
    </row>
    <row r="732" spans="1:56" ht="11.25" customHeight="1">
      <c r="A732" s="878">
        <v>6</v>
      </c>
      <c r="B732" s="159"/>
      <c r="C732" s="67"/>
      <c r="D732" s="67"/>
      <c r="E732" s="67"/>
      <c r="F732" s="67"/>
      <c r="G732" s="67"/>
      <c r="H732" s="67"/>
      <c r="I732" s="67"/>
      <c r="J732" s="67"/>
      <c r="K732" s="85"/>
      <c r="L732" s="981" t="s">
        <v>533</v>
      </c>
      <c r="M732" s="159"/>
      <c r="N732" s="67"/>
      <c r="O732" s="67"/>
      <c r="P732" s="67"/>
      <c r="Q732" s="67"/>
      <c r="R732" s="343" t="s">
        <v>813</v>
      </c>
      <c r="S732" s="67"/>
      <c r="T732" s="67"/>
      <c r="U732" s="67"/>
      <c r="V732" s="67"/>
      <c r="W732" s="85"/>
      <c r="X732" s="962" t="s">
        <v>533</v>
      </c>
      <c r="Z732" s="1402" t="s">
        <v>112</v>
      </c>
      <c r="AA732" s="1393">
        <f t="shared" si="95"/>
        <v>90</v>
      </c>
      <c r="AB732" s="1393">
        <f t="shared" si="96"/>
        <v>100</v>
      </c>
      <c r="AC732" s="1394">
        <f t="shared" si="97"/>
        <v>0.1</v>
      </c>
      <c r="AD732" s="1395">
        <f t="shared" si="98"/>
        <v>0</v>
      </c>
      <c r="AE732" s="1403" t="s">
        <v>60</v>
      </c>
      <c r="AF732" s="1396">
        <f t="shared" si="99"/>
        <v>0</v>
      </c>
      <c r="AG732" s="1396" t="s">
        <v>113</v>
      </c>
      <c r="AH732" s="1397">
        <v>60</v>
      </c>
      <c r="AI732" s="1396" t="s">
        <v>744</v>
      </c>
      <c r="AJ732" s="1395">
        <v>1</v>
      </c>
      <c r="AK732" s="1395" t="s">
        <v>114</v>
      </c>
      <c r="AL732" s="1395" t="s">
        <v>115</v>
      </c>
      <c r="AM732" s="1393">
        <v>0</v>
      </c>
      <c r="AN732" s="1393">
        <v>1</v>
      </c>
      <c r="AO732" s="1392" t="s">
        <v>145</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1159</v>
      </c>
    </row>
    <row r="733" spans="1:56" ht="11.25" customHeight="1">
      <c r="A733" s="878">
        <v>7</v>
      </c>
      <c r="B733" s="159"/>
      <c r="C733" s="66" t="s">
        <v>85</v>
      </c>
      <c r="D733" s="128" t="str">
        <f>IF($O$687="","",$O$687)</f>
        <v>Barracuda BC1-051100117</v>
      </c>
      <c r="E733" s="295"/>
      <c r="F733" s="59"/>
      <c r="G733" s="67"/>
      <c r="H733" s="67"/>
      <c r="I733" s="67"/>
      <c r="J733" s="67"/>
      <c r="K733" s="85"/>
      <c r="L733" s="981" t="s">
        <v>533</v>
      </c>
      <c r="M733" s="159"/>
      <c r="N733" s="67"/>
      <c r="O733" s="67"/>
      <c r="P733" s="67"/>
      <c r="Q733" s="67"/>
      <c r="R733" s="67"/>
      <c r="S733" s="67"/>
      <c r="T733" s="67"/>
      <c r="U733" s="67"/>
      <c r="V733" s="67"/>
      <c r="W733" s="85"/>
      <c r="X733" s="962" t="s">
        <v>533</v>
      </c>
      <c r="Z733" s="1392" t="s">
        <v>112</v>
      </c>
      <c r="AA733" s="1393">
        <f t="shared" si="95"/>
        <v>90</v>
      </c>
      <c r="AB733" s="1393">
        <f t="shared" si="96"/>
        <v>100</v>
      </c>
      <c r="AC733" s="1394">
        <f t="shared" si="97"/>
        <v>0.1</v>
      </c>
      <c r="AD733" s="1395">
        <f t="shared" si="98"/>
        <v>0</v>
      </c>
      <c r="AE733" s="1403" t="s">
        <v>60</v>
      </c>
      <c r="AF733" s="1396">
        <f t="shared" si="99"/>
        <v>0</v>
      </c>
      <c r="AG733" s="1396" t="s">
        <v>113</v>
      </c>
      <c r="AH733" s="1397">
        <v>60</v>
      </c>
      <c r="AI733" s="1396" t="s">
        <v>744</v>
      </c>
      <c r="AJ733" s="1395">
        <v>1</v>
      </c>
      <c r="AK733" s="1395" t="s">
        <v>114</v>
      </c>
      <c r="AL733" s="1395" t="s">
        <v>115</v>
      </c>
      <c r="AM733" s="1393">
        <v>0</v>
      </c>
      <c r="AN733" s="1393">
        <v>0</v>
      </c>
      <c r="AO733" s="1392" t="s">
        <v>145</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1159</v>
      </c>
    </row>
    <row r="734" spans="1:56" ht="11.25" customHeight="1">
      <c r="A734" s="878">
        <v>8</v>
      </c>
      <c r="B734" s="159"/>
      <c r="C734" s="67"/>
      <c r="D734" s="67"/>
      <c r="E734" s="67"/>
      <c r="F734" s="67"/>
      <c r="G734" s="67"/>
      <c r="H734" s="67"/>
      <c r="I734" s="67"/>
      <c r="J734" s="67"/>
      <c r="K734" s="85"/>
      <c r="L734" s="981" t="s">
        <v>533</v>
      </c>
      <c r="M734" s="159"/>
      <c r="N734" s="66" t="s">
        <v>85</v>
      </c>
      <c r="O734" s="128" t="str">
        <f>IF($O$687="","",$O$687)</f>
        <v>Barracuda BC1-051100117</v>
      </c>
      <c r="P734" s="295"/>
      <c r="Q734" s="59"/>
      <c r="R734" s="67"/>
      <c r="S734" s="67"/>
      <c r="T734" s="67"/>
      <c r="U734" s="67"/>
      <c r="V734" s="67"/>
      <c r="W734" s="85"/>
      <c r="X734" s="962" t="s">
        <v>533</v>
      </c>
      <c r="Z734" s="1392" t="s">
        <v>112</v>
      </c>
      <c r="AA734" s="1393">
        <f t="shared" si="95"/>
        <v>90</v>
      </c>
      <c r="AB734" s="1393">
        <f t="shared" si="96"/>
        <v>100</v>
      </c>
      <c r="AC734" s="1394">
        <f t="shared" si="97"/>
        <v>0.1</v>
      </c>
      <c r="AD734" s="1395">
        <f t="shared" si="98"/>
        <v>0</v>
      </c>
      <c r="AE734" s="1403" t="s">
        <v>60</v>
      </c>
      <c r="AF734" s="1396">
        <f t="shared" si="99"/>
        <v>0</v>
      </c>
      <c r="AG734" s="1396" t="s">
        <v>113</v>
      </c>
      <c r="AH734" s="1397">
        <v>60</v>
      </c>
      <c r="AI734" s="1396" t="s">
        <v>744</v>
      </c>
      <c r="AJ734" s="1395">
        <v>1</v>
      </c>
      <c r="AK734" s="1395" t="s">
        <v>114</v>
      </c>
      <c r="AL734" s="1395" t="s">
        <v>115</v>
      </c>
      <c r="AM734" s="1393">
        <v>0</v>
      </c>
      <c r="AN734" s="1393">
        <v>0</v>
      </c>
      <c r="AO734" s="1392" t="s">
        <v>145</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1159</v>
      </c>
    </row>
    <row r="735" spans="1:56" ht="11.25" customHeight="1">
      <c r="A735" s="878">
        <v>9</v>
      </c>
      <c r="B735" s="395" t="s">
        <v>1248</v>
      </c>
      <c r="C735" s="160"/>
      <c r="D735" s="160"/>
      <c r="E735" s="160"/>
      <c r="F735" s="67"/>
      <c r="G735" s="60"/>
      <c r="H735" s="60"/>
      <c r="I735" s="60"/>
      <c r="J735" s="60"/>
      <c r="K735" s="83"/>
      <c r="L735" s="981" t="s">
        <v>533</v>
      </c>
      <c r="M735" s="159"/>
      <c r="N735" s="67"/>
      <c r="O735" s="67"/>
      <c r="P735" s="67"/>
      <c r="Q735" s="67"/>
      <c r="R735" s="67"/>
      <c r="S735" s="67"/>
      <c r="T735" s="67"/>
      <c r="U735" s="67"/>
      <c r="V735" s="67"/>
      <c r="W735" s="85"/>
      <c r="X735" s="962" t="s">
        <v>533</v>
      </c>
      <c r="Z735" s="1392" t="s">
        <v>112</v>
      </c>
      <c r="AA735" s="1393">
        <f t="shared" si="95"/>
        <v>80</v>
      </c>
      <c r="AB735" s="1393">
        <f t="shared" si="96"/>
        <v>100</v>
      </c>
      <c r="AC735" s="1394">
        <f t="shared" si="97"/>
        <v>0.1</v>
      </c>
      <c r="AD735" s="1395">
        <f t="shared" si="98"/>
        <v>0</v>
      </c>
      <c r="AE735" s="1403" t="s">
        <v>60</v>
      </c>
      <c r="AF735" s="1396">
        <f t="shared" si="99"/>
        <v>0</v>
      </c>
      <c r="AG735" s="1396" t="s">
        <v>113</v>
      </c>
      <c r="AH735" s="1397">
        <v>60</v>
      </c>
      <c r="AI735" s="1396" t="s">
        <v>744</v>
      </c>
      <c r="AJ735" s="1395">
        <v>1</v>
      </c>
      <c r="AK735" s="1395" t="s">
        <v>114</v>
      </c>
      <c r="AL735" s="1395" t="s">
        <v>115</v>
      </c>
      <c r="AM735" s="1393">
        <v>0</v>
      </c>
      <c r="AN735" s="1393">
        <v>0</v>
      </c>
      <c r="AO735" s="1392" t="s">
        <v>145</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1160</v>
      </c>
    </row>
    <row r="736" spans="1:56" ht="11.25" customHeight="1">
      <c r="A736" s="878">
        <v>10</v>
      </c>
      <c r="B736" s="150"/>
      <c r="C736" s="60"/>
      <c r="D736" s="60"/>
      <c r="E736" s="60"/>
      <c r="F736" s="60"/>
      <c r="G736" s="60"/>
      <c r="H736" s="60"/>
      <c r="I736" s="60"/>
      <c r="J736" s="60"/>
      <c r="K736" s="83"/>
      <c r="L736" s="981" t="s">
        <v>533</v>
      </c>
      <c r="M736" s="395" t="s">
        <v>1249</v>
      </c>
      <c r="N736" s="160"/>
      <c r="O736" s="160"/>
      <c r="P736" s="160"/>
      <c r="Q736" s="60"/>
      <c r="R736" s="60"/>
      <c r="S736" s="60"/>
      <c r="T736" s="60"/>
      <c r="U736" s="60"/>
      <c r="V736" s="60"/>
      <c r="W736" s="83"/>
      <c r="X736" s="962" t="s">
        <v>533</v>
      </c>
      <c r="Z736" s="1392" t="s">
        <v>112</v>
      </c>
      <c r="AA736" s="1393">
        <f t="shared" si="95"/>
        <v>80</v>
      </c>
      <c r="AB736" s="1393">
        <f t="shared" si="96"/>
        <v>120</v>
      </c>
      <c r="AC736" s="1394">
        <f t="shared" si="97"/>
        <v>0.1</v>
      </c>
      <c r="AD736" s="1395">
        <f t="shared" si="98"/>
        <v>0</v>
      </c>
      <c r="AE736" s="1403" t="s">
        <v>60</v>
      </c>
      <c r="AF736" s="1396">
        <f t="shared" si="99"/>
        <v>0</v>
      </c>
      <c r="AG736" s="1396" t="s">
        <v>113</v>
      </c>
      <c r="AH736" s="1397">
        <v>60</v>
      </c>
      <c r="AI736" s="1396" t="s">
        <v>744</v>
      </c>
      <c r="AJ736" s="1395">
        <v>1</v>
      </c>
      <c r="AK736" s="1395" t="s">
        <v>114</v>
      </c>
      <c r="AL736" s="1395" t="s">
        <v>115</v>
      </c>
      <c r="AM736" s="1393">
        <v>0</v>
      </c>
      <c r="AN736" s="1393">
        <v>0</v>
      </c>
      <c r="AO736" s="1392" t="s">
        <v>145</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1160</v>
      </c>
    </row>
    <row r="737" spans="1:56" ht="11.25" customHeight="1">
      <c r="A737" s="878">
        <v>11</v>
      </c>
      <c r="B737" s="159"/>
      <c r="C737" s="67"/>
      <c r="D737" s="351" t="s">
        <v>136</v>
      </c>
      <c r="E737" s="65"/>
      <c r="F737" s="67"/>
      <c r="G737" s="67"/>
      <c r="H737" s="351" t="s">
        <v>137</v>
      </c>
      <c r="I737" s="65"/>
      <c r="J737" s="67"/>
      <c r="K737" s="83"/>
      <c r="L737" s="981" t="s">
        <v>533</v>
      </c>
      <c r="M737" s="150"/>
      <c r="N737" s="60"/>
      <c r="O737" s="60"/>
      <c r="P737" s="60"/>
      <c r="Q737" s="60"/>
      <c r="R737" s="60"/>
      <c r="S737" s="60"/>
      <c r="T737" s="60"/>
      <c r="U737" s="60"/>
      <c r="V737" s="60"/>
      <c r="W737" s="83"/>
      <c r="X737" s="962" t="s">
        <v>533</v>
      </c>
      <c r="Z737" s="1392" t="s">
        <v>112</v>
      </c>
      <c r="AA737" s="1393">
        <f t="shared" si="95"/>
        <v>80</v>
      </c>
      <c r="AB737" s="1393">
        <f t="shared" si="96"/>
        <v>250</v>
      </c>
      <c r="AC737" s="1394">
        <f t="shared" si="97"/>
        <v>0.1</v>
      </c>
      <c r="AD737" s="1395">
        <f t="shared" si="98"/>
        <v>0</v>
      </c>
      <c r="AE737" s="1403" t="s">
        <v>60</v>
      </c>
      <c r="AF737" s="1396">
        <f t="shared" si="99"/>
        <v>0</v>
      </c>
      <c r="AG737" s="1396" t="s">
        <v>113</v>
      </c>
      <c r="AH737" s="1397">
        <v>60</v>
      </c>
      <c r="AI737" s="1396" t="s">
        <v>744</v>
      </c>
      <c r="AJ737" s="1395">
        <v>1</v>
      </c>
      <c r="AK737" s="1395" t="s">
        <v>403</v>
      </c>
      <c r="AL737" s="1395" t="s">
        <v>115</v>
      </c>
      <c r="AM737" s="1393">
        <v>0</v>
      </c>
      <c r="AN737" s="1393">
        <v>0</v>
      </c>
      <c r="AO737" s="1392" t="s">
        <v>145</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1160</v>
      </c>
    </row>
    <row r="738" spans="1:56" ht="11.25" customHeight="1">
      <c r="A738" s="878">
        <v>12</v>
      </c>
      <c r="B738" s="159"/>
      <c r="C738" s="67"/>
      <c r="D738" s="66" t="s">
        <v>149</v>
      </c>
      <c r="E738" s="183">
        <f>IF(N740="","",N740)</f>
        <v>60</v>
      </c>
      <c r="F738" s="62" t="str">
        <f>N739</f>
        <v>cm</v>
      </c>
      <c r="G738" s="60"/>
      <c r="H738" s="66" t="s">
        <v>149</v>
      </c>
      <c r="I738" s="183">
        <f>IF(N759="","",N759)</f>
        <v>60</v>
      </c>
      <c r="J738" s="62" t="str">
        <f>N758</f>
        <v>cm</v>
      </c>
      <c r="K738" s="83"/>
      <c r="L738" s="981" t="s">
        <v>533</v>
      </c>
      <c r="M738" s="150" t="s">
        <v>121</v>
      </c>
      <c r="N738" s="289" t="s">
        <v>148</v>
      </c>
      <c r="O738" s="289" t="s">
        <v>123</v>
      </c>
      <c r="P738" s="289" t="s">
        <v>124</v>
      </c>
      <c r="Q738" s="60"/>
      <c r="R738" s="289"/>
      <c r="S738" s="289" t="s">
        <v>126</v>
      </c>
      <c r="T738" s="150"/>
      <c r="U738" s="62" t="s">
        <v>127</v>
      </c>
      <c r="V738" s="60"/>
      <c r="W738" s="83"/>
      <c r="X738" s="962" t="s">
        <v>533</v>
      </c>
      <c r="Z738" s="1392" t="s">
        <v>112</v>
      </c>
      <c r="AA738" s="1393">
        <f t="shared" si="95"/>
        <v>80</v>
      </c>
      <c r="AB738" s="1393">
        <f t="shared" si="96"/>
        <v>50</v>
      </c>
      <c r="AC738" s="1394">
        <f t="shared" si="97"/>
        <v>0.1</v>
      </c>
      <c r="AD738" s="1395">
        <f t="shared" si="98"/>
        <v>0</v>
      </c>
      <c r="AE738" s="1403" t="s">
        <v>60</v>
      </c>
      <c r="AF738" s="1396">
        <f t="shared" si="99"/>
        <v>0</v>
      </c>
      <c r="AG738" s="1396" t="s">
        <v>113</v>
      </c>
      <c r="AH738" s="1397">
        <v>60</v>
      </c>
      <c r="AI738" s="1396" t="s">
        <v>744</v>
      </c>
      <c r="AJ738" s="1395">
        <v>1</v>
      </c>
      <c r="AK738" s="1395" t="s">
        <v>403</v>
      </c>
      <c r="AL738" s="1395" t="s">
        <v>115</v>
      </c>
      <c r="AM738" s="1393">
        <v>0</v>
      </c>
      <c r="AN738" s="1393">
        <v>0</v>
      </c>
      <c r="AO738" s="1392" t="s">
        <v>145</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1160</v>
      </c>
    </row>
    <row r="739" spans="1:56" ht="11.25" customHeight="1" thickBot="1">
      <c r="A739" s="878">
        <v>13</v>
      </c>
      <c r="B739" s="159"/>
      <c r="C739" s="66"/>
      <c r="D739" s="66" t="s">
        <v>736</v>
      </c>
      <c r="E739" s="286">
        <f>IF(R740="","",IF(LFMAS="mA",R740,""))</f>
        <v>400</v>
      </c>
      <c r="F739" s="60"/>
      <c r="G739" s="66"/>
      <c r="H739" s="66" t="s">
        <v>736</v>
      </c>
      <c r="I739" s="286">
        <f>IF(R759="","",IF(SFMAS="mA",R759,""))</f>
        <v>100</v>
      </c>
      <c r="J739" s="67"/>
      <c r="K739" s="83"/>
      <c r="L739" s="981" t="s">
        <v>533</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1228</v>
      </c>
      <c r="X739" s="962" t="s">
        <v>533</v>
      </c>
      <c r="Z739" s="1392" t="s">
        <v>112</v>
      </c>
      <c r="AA739" s="1393">
        <f t="shared" si="95"/>
        <v>80</v>
      </c>
      <c r="AB739" s="1393">
        <f t="shared" si="96"/>
        <v>150</v>
      </c>
      <c r="AC739" s="1394">
        <f t="shared" si="97"/>
        <v>0.1</v>
      </c>
      <c r="AD739" s="1395">
        <f t="shared" si="98"/>
        <v>0</v>
      </c>
      <c r="AE739" s="1403" t="s">
        <v>60</v>
      </c>
      <c r="AF739" s="1396">
        <f t="shared" si="99"/>
        <v>0</v>
      </c>
      <c r="AG739" s="1396" t="s">
        <v>113</v>
      </c>
      <c r="AH739" s="1397">
        <v>60</v>
      </c>
      <c r="AI739" s="1396" t="s">
        <v>744</v>
      </c>
      <c r="AJ739" s="1395">
        <v>1</v>
      </c>
      <c r="AK739" s="1395" t="s">
        <v>114</v>
      </c>
      <c r="AL739" s="1395" t="s">
        <v>115</v>
      </c>
      <c r="AM739" s="1393">
        <v>0</v>
      </c>
      <c r="AN739" s="1393">
        <v>0</v>
      </c>
      <c r="AO739" s="1392" t="s">
        <v>145</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1160</v>
      </c>
    </row>
    <row r="740" spans="1:56" ht="11.25" customHeight="1">
      <c r="A740" s="878">
        <v>14</v>
      </c>
      <c r="B740" s="159"/>
      <c r="C740" s="60"/>
      <c r="D740" s="66" t="s">
        <v>738</v>
      </c>
      <c r="E740" s="286" t="str">
        <f>IF(R740="","",IF(LFMAS="mAs",R740,""))</f>
        <v/>
      </c>
      <c r="F740" s="60"/>
      <c r="G740" s="60"/>
      <c r="H740" s="66" t="s">
        <v>738</v>
      </c>
      <c r="I740" s="286" t="str">
        <f>IF(R759="","",IF(SFMAS="mAs",R759,""))</f>
        <v/>
      </c>
      <c r="J740" s="67"/>
      <c r="K740" s="83"/>
      <c r="L740" s="981" t="s">
        <v>533</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533</v>
      </c>
      <c r="Z740" s="1392" t="s">
        <v>112</v>
      </c>
      <c r="AA740" s="1393">
        <f t="shared" si="95"/>
        <v>110</v>
      </c>
      <c r="AB740" s="1393">
        <f t="shared" si="96"/>
        <v>100</v>
      </c>
      <c r="AC740" s="1394">
        <f t="shared" si="97"/>
        <v>0.1</v>
      </c>
      <c r="AD740" s="1395">
        <f t="shared" si="98"/>
        <v>0</v>
      </c>
      <c r="AE740" s="1396" t="s">
        <v>60</v>
      </c>
      <c r="AF740" s="1396">
        <f t="shared" si="99"/>
        <v>0</v>
      </c>
      <c r="AG740" s="1396" t="s">
        <v>113</v>
      </c>
      <c r="AH740" s="1397">
        <v>60</v>
      </c>
      <c r="AI740" s="1396" t="s">
        <v>744</v>
      </c>
      <c r="AJ740" s="1395">
        <v>1</v>
      </c>
      <c r="AK740" s="1395" t="s">
        <v>114</v>
      </c>
      <c r="AL740" s="1395" t="s">
        <v>115</v>
      </c>
      <c r="AM740" s="1393">
        <v>0</v>
      </c>
      <c r="AN740" s="1393">
        <v>0</v>
      </c>
      <c r="AO740" s="1392" t="s">
        <v>145</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1164</v>
      </c>
    </row>
    <row r="741" spans="1:56" ht="11.25" customHeight="1">
      <c r="A741" s="878">
        <v>15</v>
      </c>
      <c r="B741" s="159"/>
      <c r="C741" s="60"/>
      <c r="D741" s="66" t="s">
        <v>140</v>
      </c>
      <c r="E741" s="287">
        <f>IF(S740="","",S740)</f>
        <v>0.05</v>
      </c>
      <c r="F741" s="60"/>
      <c r="G741" s="60"/>
      <c r="H741" s="66" t="s">
        <v>140</v>
      </c>
      <c r="I741" s="287">
        <f>IF(S759="","",S759)</f>
        <v>0.1</v>
      </c>
      <c r="J741" s="67"/>
      <c r="K741" s="83"/>
      <c r="L741" s="981" t="s">
        <v>533</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533</v>
      </c>
      <c r="Z741" s="1392" t="s">
        <v>112</v>
      </c>
      <c r="AA741" s="1393">
        <f t="shared" si="95"/>
        <v>130</v>
      </c>
      <c r="AB741" s="1393">
        <f t="shared" si="96"/>
        <v>100</v>
      </c>
      <c r="AC741" s="1394">
        <f t="shared" si="97"/>
        <v>0.1</v>
      </c>
      <c r="AD741" s="1395">
        <f t="shared" si="98"/>
        <v>0</v>
      </c>
      <c r="AE741" s="1396" t="s">
        <v>142</v>
      </c>
      <c r="AF741" s="1396">
        <f t="shared" si="99"/>
        <v>0</v>
      </c>
      <c r="AG741" s="1396" t="s">
        <v>113</v>
      </c>
      <c r="AH741" s="1397">
        <v>60</v>
      </c>
      <c r="AI741" s="1396" t="s">
        <v>744</v>
      </c>
      <c r="AJ741" s="1395">
        <v>1</v>
      </c>
      <c r="AK741" s="1395" t="s">
        <v>114</v>
      </c>
      <c r="AL741" s="1395" t="s">
        <v>115</v>
      </c>
      <c r="AM741" s="1393">
        <v>0</v>
      </c>
      <c r="AN741" s="1393">
        <v>0</v>
      </c>
      <c r="AO741" s="1392" t="s">
        <v>145</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1164</v>
      </c>
    </row>
    <row r="742" spans="1:56" ht="11.25" customHeight="1">
      <c r="A742" s="878">
        <v>16</v>
      </c>
      <c r="B742" s="159"/>
      <c r="C742" s="60"/>
      <c r="D742" s="60"/>
      <c r="E742" s="60"/>
      <c r="F742" s="60"/>
      <c r="G742" s="60"/>
      <c r="H742" s="60"/>
      <c r="I742" s="60"/>
      <c r="J742" s="67"/>
      <c r="K742" s="83"/>
      <c r="L742" s="981" t="s">
        <v>533</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533</v>
      </c>
      <c r="Z742" s="957" t="s">
        <v>112</v>
      </c>
      <c r="AA742" s="947">
        <f t="shared" ref="AA742:AB747" si="105">AK679</f>
        <v>80</v>
      </c>
      <c r="AB742" s="947">
        <f t="shared" si="105"/>
        <v>200</v>
      </c>
      <c r="AC742" s="948">
        <f t="shared" si="97"/>
        <v>0.01</v>
      </c>
      <c r="AD742" s="946">
        <f t="shared" ref="AD742:AD747" si="106">AN679</f>
        <v>0</v>
      </c>
      <c r="AE742" s="949" t="s">
        <v>60</v>
      </c>
      <c r="AF742" s="949">
        <f t="shared" si="99"/>
        <v>0</v>
      </c>
      <c r="AG742" s="949" t="s">
        <v>113</v>
      </c>
      <c r="AH742" s="950">
        <v>60</v>
      </c>
      <c r="AI742" s="949" t="s">
        <v>744</v>
      </c>
      <c r="AJ742" s="946">
        <v>1</v>
      </c>
      <c r="AK742" s="951" t="s">
        <v>114</v>
      </c>
      <c r="AL742" s="951" t="s">
        <v>115</v>
      </c>
      <c r="AM742" s="952">
        <v>0</v>
      </c>
      <c r="AN742" s="952">
        <v>1</v>
      </c>
      <c r="AO742" s="951" t="s">
        <v>116</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1163</v>
      </c>
    </row>
    <row r="743" spans="1:56" ht="11.25" customHeight="1">
      <c r="A743" s="878">
        <v>17</v>
      </c>
      <c r="B743" s="159"/>
      <c r="C743" s="67"/>
      <c r="D743" s="60" t="s">
        <v>695</v>
      </c>
      <c r="E743" s="160" t="s">
        <v>696</v>
      </c>
      <c r="F743" s="160"/>
      <c r="G743" s="60"/>
      <c r="H743" s="60" t="s">
        <v>695</v>
      </c>
      <c r="I743" s="160" t="s">
        <v>696</v>
      </c>
      <c r="J743" s="160"/>
      <c r="K743" s="85"/>
      <c r="L743" s="981" t="s">
        <v>533</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533</v>
      </c>
      <c r="Z743" s="957" t="s">
        <v>112</v>
      </c>
      <c r="AA743" s="947">
        <f t="shared" si="105"/>
        <v>80</v>
      </c>
      <c r="AB743" s="947">
        <f t="shared" si="105"/>
        <v>200</v>
      </c>
      <c r="AC743" s="948">
        <f>AM680</f>
        <v>0.02</v>
      </c>
      <c r="AD743" s="946">
        <f t="shared" si="106"/>
        <v>0</v>
      </c>
      <c r="AE743" s="949" t="s">
        <v>60</v>
      </c>
      <c r="AF743" s="949">
        <f t="shared" si="99"/>
        <v>0</v>
      </c>
      <c r="AG743" s="949" t="s">
        <v>113</v>
      </c>
      <c r="AH743" s="950">
        <v>60</v>
      </c>
      <c r="AI743" s="949" t="s">
        <v>744</v>
      </c>
      <c r="AJ743" s="946">
        <v>1</v>
      </c>
      <c r="AK743" s="951" t="s">
        <v>114</v>
      </c>
      <c r="AL743" s="951" t="s">
        <v>115</v>
      </c>
      <c r="AM743" s="952">
        <v>0</v>
      </c>
      <c r="AN743" s="952">
        <v>1</v>
      </c>
      <c r="AO743" s="951" t="s">
        <v>116</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1163</v>
      </c>
    </row>
    <row r="744" spans="1:56" ht="11.25" customHeight="1" thickBot="1">
      <c r="A744" s="878">
        <v>18</v>
      </c>
      <c r="B744" s="159"/>
      <c r="C744" s="60"/>
      <c r="D744" s="188" t="s">
        <v>590</v>
      </c>
      <c r="E744" s="188" t="s">
        <v>590</v>
      </c>
      <c r="F744" s="188" t="s">
        <v>1228</v>
      </c>
      <c r="G744" s="60"/>
      <c r="H744" s="188" t="s">
        <v>590</v>
      </c>
      <c r="I744" s="188" t="s">
        <v>590</v>
      </c>
      <c r="J744" s="188" t="s">
        <v>1228</v>
      </c>
      <c r="K744" s="83"/>
      <c r="L744" s="981" t="s">
        <v>533</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533</v>
      </c>
      <c r="Z744" s="957" t="s">
        <v>112</v>
      </c>
      <c r="AA744" s="947">
        <f t="shared" si="105"/>
        <v>80</v>
      </c>
      <c r="AB744" s="947">
        <f t="shared" si="105"/>
        <v>200</v>
      </c>
      <c r="AC744" s="948">
        <f>AM681</f>
        <v>0.04</v>
      </c>
      <c r="AD744" s="946">
        <f t="shared" si="106"/>
        <v>0</v>
      </c>
      <c r="AE744" s="949" t="s">
        <v>60</v>
      </c>
      <c r="AF744" s="949">
        <f t="shared" si="99"/>
        <v>0</v>
      </c>
      <c r="AG744" s="949" t="s">
        <v>113</v>
      </c>
      <c r="AH744" s="950">
        <v>60</v>
      </c>
      <c r="AI744" s="949" t="s">
        <v>744</v>
      </c>
      <c r="AJ744" s="946">
        <v>1</v>
      </c>
      <c r="AK744" s="951" t="s">
        <v>114</v>
      </c>
      <c r="AL744" s="951" t="s">
        <v>115</v>
      </c>
      <c r="AM744" s="952">
        <v>0</v>
      </c>
      <c r="AN744" s="952">
        <v>1</v>
      </c>
      <c r="AO744" s="951" t="s">
        <v>116</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1163</v>
      </c>
    </row>
    <row r="745" spans="1:56" ht="11.25" customHeight="1">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533</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533</v>
      </c>
      <c r="Z745" s="957" t="s">
        <v>112</v>
      </c>
      <c r="AA745" s="947">
        <f t="shared" si="105"/>
        <v>80</v>
      </c>
      <c r="AB745" s="947">
        <f t="shared" si="105"/>
        <v>200</v>
      </c>
      <c r="AC745" s="948">
        <f>AM682</f>
        <v>0.1</v>
      </c>
      <c r="AD745" s="946">
        <f t="shared" si="106"/>
        <v>0</v>
      </c>
      <c r="AE745" s="949" t="s">
        <v>60</v>
      </c>
      <c r="AF745" s="949">
        <f t="shared" si="99"/>
        <v>0</v>
      </c>
      <c r="AG745" s="949" t="s">
        <v>113</v>
      </c>
      <c r="AH745" s="950">
        <v>60</v>
      </c>
      <c r="AI745" s="949" t="s">
        <v>744</v>
      </c>
      <c r="AJ745" s="946">
        <v>1</v>
      </c>
      <c r="AK745" s="951" t="s">
        <v>114</v>
      </c>
      <c r="AL745" s="951" t="s">
        <v>115</v>
      </c>
      <c r="AM745" s="952">
        <v>0</v>
      </c>
      <c r="AN745" s="952">
        <v>0</v>
      </c>
      <c r="AO745" s="951" t="s">
        <v>116</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1163</v>
      </c>
    </row>
    <row r="746" spans="1:56" ht="11.25" customHeight="1">
      <c r="A746" s="878">
        <v>20</v>
      </c>
      <c r="B746" s="159"/>
      <c r="C746" s="60"/>
      <c r="D746" s="60"/>
      <c r="E746" s="146" t="str">
        <f t="shared" si="107"/>
        <v/>
      </c>
      <c r="F746" s="567" t="str">
        <f t="shared" si="108"/>
        <v/>
      </c>
      <c r="G746" s="60"/>
      <c r="H746" s="60"/>
      <c r="I746" s="146" t="str">
        <f t="shared" si="109"/>
        <v/>
      </c>
      <c r="J746" s="567" t="str">
        <f t="shared" si="110"/>
        <v/>
      </c>
      <c r="K746" s="83"/>
      <c r="L746" s="981" t="s">
        <v>533</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533</v>
      </c>
      <c r="Z746" s="957" t="s">
        <v>112</v>
      </c>
      <c r="AA746" s="947">
        <f t="shared" si="105"/>
        <v>80</v>
      </c>
      <c r="AB746" s="947">
        <f t="shared" si="105"/>
        <v>200</v>
      </c>
      <c r="AC746" s="948">
        <f>AM683</f>
        <v>0.25</v>
      </c>
      <c r="AD746" s="946">
        <f t="shared" si="106"/>
        <v>0</v>
      </c>
      <c r="AE746" s="949" t="s">
        <v>60</v>
      </c>
      <c r="AF746" s="949">
        <f t="shared" si="99"/>
        <v>0</v>
      </c>
      <c r="AG746" s="949" t="s">
        <v>113</v>
      </c>
      <c r="AH746" s="950">
        <v>60</v>
      </c>
      <c r="AI746" s="949" t="s">
        <v>744</v>
      </c>
      <c r="AJ746" s="946">
        <v>1</v>
      </c>
      <c r="AK746" s="951" t="s">
        <v>114</v>
      </c>
      <c r="AL746" s="951" t="s">
        <v>115</v>
      </c>
      <c r="AM746" s="952">
        <v>0</v>
      </c>
      <c r="AN746" s="952">
        <v>0</v>
      </c>
      <c r="AO746" s="951" t="s">
        <v>116</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1163</v>
      </c>
    </row>
    <row r="747" spans="1:56" ht="11.25" customHeight="1">
      <c r="A747" s="878">
        <v>21</v>
      </c>
      <c r="B747" s="159"/>
      <c r="C747" s="60"/>
      <c r="D747" s="60"/>
      <c r="E747" s="146" t="str">
        <f t="shared" si="107"/>
        <v/>
      </c>
      <c r="F747" s="567" t="str">
        <f t="shared" si="108"/>
        <v/>
      </c>
      <c r="G747" s="60"/>
      <c r="H747" s="60"/>
      <c r="I747" s="146" t="str">
        <f t="shared" si="109"/>
        <v/>
      </c>
      <c r="J747" s="567" t="str">
        <f t="shared" si="110"/>
        <v/>
      </c>
      <c r="K747" s="83"/>
      <c r="L747" s="981" t="s">
        <v>533</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533</v>
      </c>
      <c r="Z747" s="957" t="s">
        <v>112</v>
      </c>
      <c r="AA747" s="947">
        <f t="shared" si="105"/>
        <v>80</v>
      </c>
      <c r="AB747" s="947">
        <f t="shared" si="105"/>
        <v>200</v>
      </c>
      <c r="AC747" s="948">
        <f>AM684</f>
        <v>0.4</v>
      </c>
      <c r="AD747" s="946">
        <f t="shared" si="106"/>
        <v>0</v>
      </c>
      <c r="AE747" s="949" t="s">
        <v>60</v>
      </c>
      <c r="AF747" s="949">
        <f t="shared" si="99"/>
        <v>0</v>
      </c>
      <c r="AG747" s="949" t="s">
        <v>113</v>
      </c>
      <c r="AH747" s="950">
        <v>60</v>
      </c>
      <c r="AI747" s="949" t="s">
        <v>744</v>
      </c>
      <c r="AJ747" s="946">
        <v>1</v>
      </c>
      <c r="AK747" s="951" t="s">
        <v>114</v>
      </c>
      <c r="AL747" s="951" t="s">
        <v>115</v>
      </c>
      <c r="AM747" s="952">
        <v>0</v>
      </c>
      <c r="AN747" s="952">
        <v>0</v>
      </c>
      <c r="AO747" s="951" t="s">
        <v>116</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1163</v>
      </c>
    </row>
    <row r="748" spans="1:56" ht="11.25" customHeight="1">
      <c r="A748" s="878">
        <v>22</v>
      </c>
      <c r="B748" s="159"/>
      <c r="C748" s="60"/>
      <c r="D748" s="60"/>
      <c r="E748" s="146" t="str">
        <f t="shared" si="107"/>
        <v/>
      </c>
      <c r="F748" s="567" t="str">
        <f t="shared" si="108"/>
        <v/>
      </c>
      <c r="G748" s="60"/>
      <c r="H748" s="60"/>
      <c r="I748" s="146" t="str">
        <f t="shared" si="109"/>
        <v/>
      </c>
      <c r="J748" s="567" t="str">
        <f t="shared" si="110"/>
        <v/>
      </c>
      <c r="K748" s="83"/>
      <c r="L748" s="981" t="s">
        <v>533</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533</v>
      </c>
    </row>
    <row r="749" spans="1:56" ht="11.25" customHeight="1" thickBot="1">
      <c r="A749" s="878">
        <v>23</v>
      </c>
      <c r="B749" s="159"/>
      <c r="C749" s="60"/>
      <c r="D749" s="60"/>
      <c r="E749" s="146" t="str">
        <f t="shared" si="107"/>
        <v/>
      </c>
      <c r="F749" s="567" t="str">
        <f t="shared" si="108"/>
        <v/>
      </c>
      <c r="G749" s="60"/>
      <c r="H749" s="60"/>
      <c r="I749" s="146" t="str">
        <f t="shared" si="109"/>
        <v/>
      </c>
      <c r="J749" s="567" t="str">
        <f t="shared" si="110"/>
        <v/>
      </c>
      <c r="K749" s="85"/>
      <c r="L749" s="981" t="s">
        <v>533</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533</v>
      </c>
    </row>
    <row r="750" spans="1:56" ht="11.25" customHeight="1" thickTop="1">
      <c r="A750" s="878">
        <v>24</v>
      </c>
      <c r="B750" s="159"/>
      <c r="C750" s="67"/>
      <c r="D750" s="60"/>
      <c r="E750" s="146" t="str">
        <f t="shared" si="107"/>
        <v/>
      </c>
      <c r="F750" s="567" t="str">
        <f t="shared" si="108"/>
        <v/>
      </c>
      <c r="G750" s="60"/>
      <c r="H750" s="60"/>
      <c r="I750" s="146" t="str">
        <f t="shared" si="109"/>
        <v/>
      </c>
      <c r="J750" s="567" t="str">
        <f t="shared" si="110"/>
        <v/>
      </c>
      <c r="K750" s="85"/>
      <c r="L750" s="981" t="s">
        <v>533</v>
      </c>
      <c r="M750" s="863" t="s">
        <v>150</v>
      </c>
      <c r="N750" s="137"/>
      <c r="O750" s="137"/>
      <c r="P750" s="137"/>
      <c r="Q750" s="137"/>
      <c r="R750" s="137"/>
      <c r="S750" s="137"/>
      <c r="T750" s="137"/>
      <c r="U750" s="137"/>
      <c r="V750" s="137"/>
      <c r="W750" s="79"/>
      <c r="X750" s="962" t="s">
        <v>533</v>
      </c>
    </row>
    <row r="751" spans="1:56" ht="11.25" customHeight="1">
      <c r="A751" s="878">
        <v>25</v>
      </c>
      <c r="B751" s="159"/>
      <c r="C751" s="67"/>
      <c r="D751" s="60"/>
      <c r="E751" s="146" t="str">
        <f t="shared" si="107"/>
        <v/>
      </c>
      <c r="F751" s="567" t="str">
        <f t="shared" si="108"/>
        <v/>
      </c>
      <c r="G751" s="60"/>
      <c r="H751" s="60"/>
      <c r="I751" s="146" t="str">
        <f t="shared" si="109"/>
        <v/>
      </c>
      <c r="J751" s="567" t="str">
        <f t="shared" si="110"/>
        <v/>
      </c>
      <c r="K751" s="85"/>
      <c r="L751" s="981" t="s">
        <v>533</v>
      </c>
      <c r="M751" s="150"/>
      <c r="N751" s="876" t="s">
        <v>195</v>
      </c>
      <c r="O751" s="1448" t="str">
        <f>IF(O752&lt;&gt;"",O752,IF(OR(AB442=0,AB442=""),"",AB442))</f>
        <v/>
      </c>
      <c r="P751" s="59"/>
      <c r="Q751" s="59"/>
      <c r="R751" s="59"/>
      <c r="S751" s="59"/>
      <c r="T751" s="59"/>
      <c r="U751" s="59"/>
      <c r="V751" s="59"/>
      <c r="W751" s="126"/>
      <c r="X751" s="962" t="s">
        <v>533</v>
      </c>
    </row>
    <row r="752" spans="1:56" ht="11.25" customHeight="1" thickBot="1">
      <c r="A752" s="878">
        <v>26</v>
      </c>
      <c r="B752" s="159"/>
      <c r="C752" s="67"/>
      <c r="D752" s="60"/>
      <c r="E752" s="146" t="str">
        <f t="shared" si="107"/>
        <v/>
      </c>
      <c r="F752" s="567" t="str">
        <f t="shared" si="108"/>
        <v/>
      </c>
      <c r="G752" s="60"/>
      <c r="H752" s="60"/>
      <c r="I752" s="146" t="str">
        <f t="shared" si="109"/>
        <v/>
      </c>
      <c r="J752" s="567" t="str">
        <f t="shared" si="110"/>
        <v/>
      </c>
      <c r="K752" s="85"/>
      <c r="L752" s="981" t="s">
        <v>533</v>
      </c>
      <c r="M752" s="125"/>
      <c r="N752" s="1447" t="s">
        <v>748</v>
      </c>
      <c r="O752" s="1449"/>
      <c r="P752" s="1289">
        <f>LEN(O751)</f>
        <v>0</v>
      </c>
      <c r="Q752" s="59"/>
      <c r="R752" s="59"/>
      <c r="S752" s="59"/>
      <c r="T752" s="59"/>
      <c r="U752" s="59"/>
      <c r="V752" s="59"/>
      <c r="W752" s="126"/>
      <c r="X752" s="962" t="s">
        <v>533</v>
      </c>
    </row>
    <row r="753" spans="1:24" ht="11.25" customHeight="1" thickBot="1">
      <c r="A753" s="878">
        <v>27</v>
      </c>
      <c r="B753" s="159"/>
      <c r="C753" s="67"/>
      <c r="D753" s="60"/>
      <c r="E753" s="146" t="str">
        <f t="shared" si="107"/>
        <v/>
      </c>
      <c r="F753" s="567" t="str">
        <f t="shared" si="108"/>
        <v/>
      </c>
      <c r="G753" s="60"/>
      <c r="H753" s="60"/>
      <c r="I753" s="146" t="str">
        <f t="shared" si="109"/>
        <v/>
      </c>
      <c r="J753" s="567" t="str">
        <f t="shared" si="110"/>
        <v/>
      </c>
      <c r="K753" s="85"/>
      <c r="L753" s="981" t="s">
        <v>533</v>
      </c>
      <c r="M753" s="150"/>
      <c r="N753" s="876" t="s">
        <v>195</v>
      </c>
      <c r="O753" s="1448" t="str">
        <f>IF(O754&lt;&gt;"",O754,IF(OR(AB443=0,AB443=""),"",AB443))</f>
        <v/>
      </c>
      <c r="P753" s="1415"/>
      <c r="Q753" s="59"/>
      <c r="R753" s="59"/>
      <c r="S753" s="59"/>
      <c r="U753" s="1421" t="s">
        <v>590</v>
      </c>
      <c r="V753" s="1421" t="s">
        <v>1228</v>
      </c>
      <c r="W753" s="1422" t="s">
        <v>593</v>
      </c>
      <c r="X753" s="962" t="s">
        <v>533</v>
      </c>
    </row>
    <row r="754" spans="1:24" ht="11.25" customHeight="1" thickBot="1">
      <c r="A754" s="878">
        <v>28</v>
      </c>
      <c r="B754" s="159"/>
      <c r="C754" s="67"/>
      <c r="D754" s="60"/>
      <c r="E754" s="146" t="str">
        <f t="shared" si="107"/>
        <v/>
      </c>
      <c r="F754" s="567" t="str">
        <f t="shared" si="108"/>
        <v/>
      </c>
      <c r="G754" s="60"/>
      <c r="H754" s="60"/>
      <c r="I754" s="146" t="str">
        <f t="shared" si="109"/>
        <v/>
      </c>
      <c r="J754" s="567" t="str">
        <f t="shared" si="110"/>
        <v/>
      </c>
      <c r="K754" s="83"/>
      <c r="L754" s="981" t="s">
        <v>533</v>
      </c>
      <c r="M754" s="150"/>
      <c r="N754" s="1218" t="s">
        <v>748</v>
      </c>
      <c r="O754" s="1449"/>
      <c r="P754" s="1288">
        <f>LEN(O753)</f>
        <v>0</v>
      </c>
      <c r="Q754" s="60"/>
      <c r="R754" s="60"/>
      <c r="S754" s="60"/>
      <c r="T754" s="1421" t="s">
        <v>698</v>
      </c>
      <c r="U754" s="1418" t="str">
        <f>IF(T740="","NA",IF(E758="TBD","TBD",IF(E758&gt;0.05,"NO","YES")))</f>
        <v>NA</v>
      </c>
      <c r="V754" s="1419" t="str">
        <f>IF(W740="","NA",IF(F758="TBD","TBD",IF(F758&gt;0.05,"NO","YES")))</f>
        <v>NA</v>
      </c>
      <c r="W754" s="1420" t="str">
        <f>IF(M806&lt;&gt;1,"NA",IF(K827="TBD","TBD",IF(K827&gt;=0.05,"NO","YES")))</f>
        <v>NA</v>
      </c>
      <c r="X754" s="962" t="s">
        <v>533</v>
      </c>
    </row>
    <row r="755" spans="1:24" ht="11.25" customHeight="1">
      <c r="A755" s="878">
        <v>29</v>
      </c>
      <c r="B755" s="159"/>
      <c r="C755" s="67"/>
      <c r="D755" s="60"/>
      <c r="E755" s="60"/>
      <c r="F755" s="568"/>
      <c r="G755" s="60"/>
      <c r="H755" s="60"/>
      <c r="I755" s="60"/>
      <c r="J755" s="568"/>
      <c r="K755" s="83"/>
      <c r="L755" s="981" t="s">
        <v>533</v>
      </c>
      <c r="M755" s="395" t="s">
        <v>1250</v>
      </c>
      <c r="N755" s="160"/>
      <c r="O755" s="160"/>
      <c r="P755" s="160"/>
      <c r="Q755" s="60"/>
      <c r="R755" s="60"/>
      <c r="S755" s="60"/>
      <c r="T755" s="60"/>
      <c r="U755" s="60"/>
      <c r="V755" s="60"/>
      <c r="W755" s="83"/>
      <c r="X755" s="962" t="s">
        <v>533</v>
      </c>
    </row>
    <row r="756" spans="1:24" ht="11.25" customHeight="1">
      <c r="A756" s="878">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81" t="s">
        <v>533</v>
      </c>
      <c r="M756" s="150"/>
      <c r="N756" s="60"/>
      <c r="O756" s="60"/>
      <c r="P756" s="60"/>
      <c r="Q756" s="60"/>
      <c r="R756" s="60"/>
      <c r="S756" s="60"/>
      <c r="T756" s="60"/>
      <c r="U756" s="60"/>
      <c r="V756" s="60"/>
      <c r="W756" s="83"/>
      <c r="X756" s="962" t="s">
        <v>533</v>
      </c>
    </row>
    <row r="757" spans="1:24" ht="11.25" customHeight="1">
      <c r="A757" s="878">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81" t="s">
        <v>533</v>
      </c>
      <c r="M757" s="150" t="s">
        <v>121</v>
      </c>
      <c r="N757" s="289" t="s">
        <v>148</v>
      </c>
      <c r="O757" s="289" t="s">
        <v>123</v>
      </c>
      <c r="P757" s="289" t="s">
        <v>124</v>
      </c>
      <c r="Q757" s="60"/>
      <c r="R757" s="289"/>
      <c r="S757" s="289" t="s">
        <v>126</v>
      </c>
      <c r="T757" s="152"/>
      <c r="U757" s="62" t="s">
        <v>127</v>
      </c>
      <c r="V757" s="60"/>
      <c r="W757" s="83"/>
      <c r="X757" s="962" t="s">
        <v>533</v>
      </c>
    </row>
    <row r="758" spans="1:24" ht="11.25" customHeight="1" thickBot="1">
      <c r="A758" s="878">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81" t="s">
        <v>533</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1228</v>
      </c>
      <c r="X758" s="962" t="s">
        <v>533</v>
      </c>
    </row>
    <row r="759" spans="1:24" ht="11.25" customHeight="1" thickBot="1">
      <c r="A759" s="878">
        <v>33</v>
      </c>
      <c r="B759" s="159"/>
      <c r="C759" s="67"/>
      <c r="D759" s="60"/>
      <c r="E759" s="60"/>
      <c r="F759" s="60"/>
      <c r="G759" s="60"/>
      <c r="H759" s="60"/>
      <c r="I759" s="60"/>
      <c r="J759" s="60"/>
      <c r="K759" s="83"/>
      <c r="L759" s="981" t="s">
        <v>533</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533</v>
      </c>
    </row>
    <row r="760" spans="1:24" ht="11.25" customHeight="1" thickBot="1">
      <c r="A760" s="878">
        <v>34</v>
      </c>
      <c r="B760" s="150"/>
      <c r="C760" s="60"/>
      <c r="D760" s="345" t="s">
        <v>698</v>
      </c>
      <c r="E760" s="350" t="str">
        <f>IF(T740="","NA",IF(E758="TBD","TBD",IF(E758&gt;0.05,"NO","YES")))</f>
        <v>NA</v>
      </c>
      <c r="F760" s="179" t="str">
        <f>IF(W740="","NA",IF(F758="TBD","TBD",IF(F758&gt;0.05,"NO","YES")))</f>
        <v>NA</v>
      </c>
      <c r="G760" s="60"/>
      <c r="H760" s="345" t="s">
        <v>698</v>
      </c>
      <c r="I760" s="350" t="str">
        <f>IF(T759="","NA",IF(I758="TBD","TBD",IF(I758&gt;0.05,"NO","YES")))</f>
        <v>NA</v>
      </c>
      <c r="J760" s="179" t="str">
        <f>IF(W759="","NA",IF(J758="TBD","TBD",IF(J758&gt;0.05,"NO","YES")))</f>
        <v>NA</v>
      </c>
      <c r="K760" s="83"/>
      <c r="L760" s="981" t="s">
        <v>533</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533</v>
      </c>
    </row>
    <row r="761" spans="1:24" ht="11.25" customHeight="1">
      <c r="A761" s="878">
        <v>35</v>
      </c>
      <c r="B761" s="159"/>
      <c r="C761" s="67"/>
      <c r="D761" s="67"/>
      <c r="E761" s="67"/>
      <c r="F761" s="67"/>
      <c r="G761" s="67"/>
      <c r="H761" s="67"/>
      <c r="I761" s="67"/>
      <c r="J761" s="67"/>
      <c r="K761" s="83"/>
      <c r="L761" s="981" t="s">
        <v>533</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533</v>
      </c>
    </row>
    <row r="762" spans="1:24" ht="11.25" customHeight="1">
      <c r="A762" s="878">
        <v>36</v>
      </c>
      <c r="B762" s="159"/>
      <c r="C762" s="62" t="s">
        <v>155</v>
      </c>
      <c r="D762" s="67"/>
      <c r="E762" s="67"/>
      <c r="F762" s="67"/>
      <c r="G762" s="67"/>
      <c r="H762" s="67"/>
      <c r="I762" s="67"/>
      <c r="J762" s="67"/>
      <c r="K762" s="83"/>
      <c r="L762" s="981" t="s">
        <v>533</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533</v>
      </c>
    </row>
    <row r="763" spans="1:24" ht="11.25" customHeight="1">
      <c r="A763" s="878">
        <v>37</v>
      </c>
      <c r="B763" s="159"/>
      <c r="C763" s="67"/>
      <c r="D763" s="67"/>
      <c r="E763" s="67"/>
      <c r="F763" s="67"/>
      <c r="G763" s="67"/>
      <c r="H763" s="67"/>
      <c r="I763" s="67"/>
      <c r="J763" s="67"/>
      <c r="K763" s="83"/>
      <c r="L763" s="981" t="s">
        <v>533</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533</v>
      </c>
    </row>
    <row r="764" spans="1:24" ht="11.25" customHeight="1">
      <c r="A764" s="878">
        <v>38</v>
      </c>
      <c r="B764" s="159"/>
      <c r="C764" s="60"/>
      <c r="D764" s="166" t="s">
        <v>699</v>
      </c>
      <c r="E764" s="246" t="s">
        <v>156</v>
      </c>
      <c r="F764" s="60"/>
      <c r="G764" s="60"/>
      <c r="H764" s="60"/>
      <c r="I764" s="60"/>
      <c r="J764" s="60"/>
      <c r="K764" s="83"/>
      <c r="L764" s="981" t="s">
        <v>533</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533</v>
      </c>
    </row>
    <row r="765" spans="1:24" ht="11.25" customHeight="1">
      <c r="A765" s="878">
        <v>39</v>
      </c>
      <c r="B765" s="159"/>
      <c r="C765" s="67"/>
      <c r="D765" s="67"/>
      <c r="E765" s="67"/>
      <c r="F765" s="67"/>
      <c r="G765" s="67"/>
      <c r="H765" s="67"/>
      <c r="I765" s="67"/>
      <c r="J765" s="67"/>
      <c r="K765" s="85"/>
      <c r="L765" s="981" t="s">
        <v>533</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533</v>
      </c>
    </row>
    <row r="766" spans="1:24" ht="11.25" customHeight="1">
      <c r="A766" s="878">
        <v>40</v>
      </c>
      <c r="B766" s="159"/>
      <c r="C766" s="67"/>
      <c r="D766" s="67"/>
      <c r="E766" s="67"/>
      <c r="F766" s="67"/>
      <c r="G766" s="67"/>
      <c r="H766" s="67"/>
      <c r="I766" s="67"/>
      <c r="J766" s="67"/>
      <c r="K766" s="85"/>
      <c r="L766" s="981" t="s">
        <v>533</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533</v>
      </c>
    </row>
    <row r="767" spans="1:24" ht="11.25" customHeight="1">
      <c r="A767" s="878">
        <v>41</v>
      </c>
      <c r="B767" s="159"/>
      <c r="C767" s="67"/>
      <c r="D767" s="67"/>
      <c r="E767" s="67"/>
      <c r="F767" s="67"/>
      <c r="G767" s="67"/>
      <c r="H767" s="67"/>
      <c r="I767" s="67"/>
      <c r="J767" s="67"/>
      <c r="K767" s="85"/>
      <c r="L767" s="981" t="s">
        <v>533</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533</v>
      </c>
    </row>
    <row r="768" spans="1:24" ht="11.25" customHeight="1" thickBot="1">
      <c r="A768" s="878">
        <v>42</v>
      </c>
      <c r="B768" s="159"/>
      <c r="C768" s="67"/>
      <c r="D768" s="67"/>
      <c r="E768" s="67"/>
      <c r="F768" s="67"/>
      <c r="G768" s="67"/>
      <c r="H768" s="67"/>
      <c r="I768" s="67"/>
      <c r="J768" s="67"/>
      <c r="K768" s="85"/>
      <c r="L768" s="981" t="s">
        <v>533</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533</v>
      </c>
    </row>
    <row r="769" spans="1:24" ht="11.25" customHeight="1" thickTop="1">
      <c r="A769" s="878">
        <v>43</v>
      </c>
      <c r="B769" s="141" t="s">
        <v>681</v>
      </c>
      <c r="C769" s="1290" t="str">
        <f>IF(O780="","",IF(LEN(O780)&lt;=135,O780,IF(LEN(O780)&lt;=260,LEFT(O780,SEARCH(" ",O780,125)),LEFT(O780,SEARCH(" ",O780,130)))))</f>
        <v/>
      </c>
      <c r="D769" s="59"/>
      <c r="E769" s="59"/>
      <c r="F769" s="59"/>
      <c r="G769" s="59"/>
      <c r="H769" s="59"/>
      <c r="I769" s="59"/>
      <c r="J769" s="59"/>
      <c r="K769" s="85"/>
      <c r="L769" s="981" t="s">
        <v>533</v>
      </c>
      <c r="M769" s="162"/>
      <c r="N769" s="137"/>
      <c r="O769" s="137"/>
      <c r="P769" s="137"/>
      <c r="Q769" s="137"/>
      <c r="R769" s="137"/>
      <c r="S769" s="137"/>
      <c r="T769" s="137"/>
      <c r="U769" s="137"/>
      <c r="V769" s="137"/>
      <c r="W769" s="79"/>
      <c r="X769" s="962" t="s">
        <v>533</v>
      </c>
    </row>
    <row r="770" spans="1:24" ht="11.25" customHeight="1">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533</v>
      </c>
      <c r="M770" s="150"/>
      <c r="N770" s="876" t="s">
        <v>195</v>
      </c>
      <c r="O770" s="1448" t="str">
        <f>IF(O771&lt;&gt;"",O771,IF(OR(AB444=0,AB444=""),"",AB444))</f>
        <v/>
      </c>
      <c r="P770" s="1453"/>
      <c r="Q770" s="59"/>
      <c r="R770" s="59"/>
      <c r="S770" s="59"/>
      <c r="T770" s="59"/>
      <c r="U770" s="67"/>
      <c r="V770" s="60"/>
      <c r="W770" s="83"/>
      <c r="X770" s="962" t="s">
        <v>533</v>
      </c>
    </row>
    <row r="771" spans="1:24" ht="11.25" customHeight="1">
      <c r="A771" s="878">
        <v>45</v>
      </c>
      <c r="B771" s="141"/>
      <c r="C771" s="1290" t="str">
        <f>IF(LEN(O780)&lt;=265,"",RIGHT(O780,LEN(O780)-SEARCH(" ",O780,255)))</f>
        <v/>
      </c>
      <c r="D771" s="59"/>
      <c r="E771" s="59"/>
      <c r="F771" s="59"/>
      <c r="G771" s="59"/>
      <c r="H771" s="59"/>
      <c r="I771" s="59"/>
      <c r="J771" s="59"/>
      <c r="K771" s="85"/>
      <c r="L771" s="981" t="s">
        <v>533</v>
      </c>
      <c r="M771" s="125"/>
      <c r="N771" s="1447" t="s">
        <v>748</v>
      </c>
      <c r="O771" s="1449"/>
      <c r="P771" s="1288">
        <f>LEN(O770)</f>
        <v>0</v>
      </c>
      <c r="Q771" s="67"/>
      <c r="R771" s="60"/>
      <c r="S771" s="60"/>
      <c r="T771" s="60"/>
      <c r="U771" s="67"/>
      <c r="V771" s="67"/>
      <c r="W771" s="83"/>
      <c r="X771" s="962" t="s">
        <v>533</v>
      </c>
    </row>
    <row r="772" spans="1:24" ht="11.25" customHeight="1" thickBot="1">
      <c r="A772" s="878">
        <v>46</v>
      </c>
      <c r="B772" s="150"/>
      <c r="C772" s="1290" t="str">
        <f>IF(O782="","",IF(LEN(O782)&lt;=135,O782,IF(LEN(O782)&lt;=260,LEFT(O782,SEARCH(" ",O782,125)),LEFT(O782,SEARCH(" ",O782,130)))))</f>
        <v/>
      </c>
      <c r="D772" s="59"/>
      <c r="E772" s="59"/>
      <c r="F772" s="59"/>
      <c r="G772" s="59"/>
      <c r="H772" s="59"/>
      <c r="I772" s="59"/>
      <c r="J772" s="59"/>
      <c r="K772" s="85"/>
      <c r="L772" s="981" t="s">
        <v>533</v>
      </c>
      <c r="M772" s="150"/>
      <c r="N772" s="876" t="s">
        <v>195</v>
      </c>
      <c r="O772" s="1448" t="str">
        <f>IF(O773&lt;&gt;"",O773,IF(OR(AB445=0,AB445=""),"",AB445))</f>
        <v/>
      </c>
      <c r="P772" s="1453"/>
      <c r="Q772" s="59"/>
      <c r="R772" s="59"/>
      <c r="S772" s="59"/>
      <c r="T772" s="59"/>
      <c r="U772" s="67"/>
      <c r="V772" s="60"/>
      <c r="W772" s="83"/>
      <c r="X772" s="962" t="s">
        <v>533</v>
      </c>
    </row>
    <row r="773" spans="1:24" ht="11.25" customHeight="1" thickBot="1">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533</v>
      </c>
      <c r="M773" s="150"/>
      <c r="N773" s="1218" t="s">
        <v>748</v>
      </c>
      <c r="O773" s="1449"/>
      <c r="P773" s="1288">
        <f>LEN(O772)</f>
        <v>0</v>
      </c>
      <c r="Q773" s="67"/>
      <c r="R773" s="60"/>
      <c r="S773" s="60"/>
      <c r="T773" s="60"/>
      <c r="U773" s="60"/>
      <c r="V773" s="1421" t="s">
        <v>590</v>
      </c>
      <c r="W773" s="1422" t="s">
        <v>1228</v>
      </c>
      <c r="X773" s="962" t="s">
        <v>533</v>
      </c>
    </row>
    <row r="774" spans="1:24" ht="11.25" customHeight="1" thickBot="1">
      <c r="A774" s="878">
        <v>48</v>
      </c>
      <c r="B774" s="159"/>
      <c r="C774" s="1290" t="str">
        <f>IF(LEN(O782)&lt;=265,"",RIGHT(O782,LEN(O782)-SEARCH(" ",O782,255)))</f>
        <v/>
      </c>
      <c r="D774" s="59"/>
      <c r="E774" s="59"/>
      <c r="F774" s="59"/>
      <c r="G774" s="59"/>
      <c r="H774" s="59"/>
      <c r="I774" s="59"/>
      <c r="J774" s="59"/>
      <c r="K774" s="85"/>
      <c r="L774" s="981" t="s">
        <v>533</v>
      </c>
      <c r="M774" s="125"/>
      <c r="N774" s="160"/>
      <c r="O774" s="160"/>
      <c r="P774" s="67"/>
      <c r="Q774" s="122"/>
      <c r="R774" s="60"/>
      <c r="S774" s="60"/>
      <c r="T774" s="60"/>
      <c r="U774" s="1454" t="s">
        <v>698</v>
      </c>
      <c r="V774" s="1419" t="str">
        <f>IF(T759="","NA",IF(I758="TBD","TBD",IF(I758&gt;0.05,"NO","YES")))</f>
        <v>NA</v>
      </c>
      <c r="W774" s="1420" t="str">
        <f>IF(W759="","NA",IF(J758="TBD","TBD",IF(J758&gt;0.05,"NO","YES")))</f>
        <v>NA</v>
      </c>
      <c r="X774" s="962" t="s">
        <v>533</v>
      </c>
    </row>
    <row r="775" spans="1:24" ht="11.25" customHeight="1">
      <c r="A775" s="878">
        <v>49</v>
      </c>
      <c r="B775" s="159"/>
      <c r="C775" s="67"/>
      <c r="D775" s="67"/>
      <c r="E775" s="67"/>
      <c r="F775" s="67"/>
      <c r="G775" s="67"/>
      <c r="H775" s="67"/>
      <c r="I775" s="67"/>
      <c r="J775" s="67"/>
      <c r="K775" s="85"/>
      <c r="L775" s="981" t="s">
        <v>533</v>
      </c>
      <c r="M775" s="150"/>
      <c r="N775" s="166" t="s">
        <v>699</v>
      </c>
      <c r="O775" s="246" t="s">
        <v>156</v>
      </c>
      <c r="P775" s="67"/>
      <c r="Q775" s="67"/>
      <c r="R775" s="67"/>
      <c r="S775" s="60"/>
      <c r="T775" s="60"/>
      <c r="U775" s="60"/>
      <c r="V775" s="60"/>
      <c r="W775" s="83"/>
      <c r="X775" s="962" t="s">
        <v>533</v>
      </c>
    </row>
    <row r="776" spans="1:24" ht="11.25" customHeight="1">
      <c r="A776" s="878">
        <v>50</v>
      </c>
      <c r="B776" s="159"/>
      <c r="C776" s="67"/>
      <c r="D776" s="67"/>
      <c r="E776" s="67"/>
      <c r="F776" s="67"/>
      <c r="G776" s="67"/>
      <c r="H776" s="67"/>
      <c r="I776" s="67"/>
      <c r="J776" s="67"/>
      <c r="K776" s="85"/>
      <c r="L776" s="981" t="s">
        <v>533</v>
      </c>
      <c r="M776" s="150"/>
      <c r="N776" s="60"/>
      <c r="O776" s="67"/>
      <c r="P776" s="67"/>
      <c r="Q776" s="60"/>
      <c r="R776" s="60"/>
      <c r="S776" s="60"/>
      <c r="T776" s="60"/>
      <c r="U776" s="60"/>
      <c r="V776" s="60"/>
      <c r="W776" s="83"/>
      <c r="X776" s="962" t="s">
        <v>533</v>
      </c>
    </row>
    <row r="777" spans="1:24" ht="11.25" customHeight="1" thickBot="1">
      <c r="A777" s="878">
        <v>51</v>
      </c>
      <c r="B777" s="116"/>
      <c r="C777" s="98"/>
      <c r="D777" s="98"/>
      <c r="E777" s="98"/>
      <c r="F777" s="98"/>
      <c r="G777" s="98"/>
      <c r="H777" s="98"/>
      <c r="I777" s="98"/>
      <c r="J777" s="98"/>
      <c r="K777" s="103"/>
      <c r="L777" s="981" t="s">
        <v>533</v>
      </c>
      <c r="M777" s="116"/>
      <c r="N777" s="98"/>
      <c r="O777" s="98"/>
      <c r="P777" s="98"/>
      <c r="Q777" s="98"/>
      <c r="R777" s="98"/>
      <c r="S777" s="98"/>
      <c r="T777" s="98"/>
      <c r="U777" s="98"/>
      <c r="V777" s="98"/>
      <c r="W777" s="103"/>
      <c r="X777" s="962" t="s">
        <v>533</v>
      </c>
    </row>
    <row r="778" spans="1:24" ht="11.25" customHeight="1" thickTop="1">
      <c r="A778" s="878">
        <v>52</v>
      </c>
      <c r="L778" s="981" t="s">
        <v>533</v>
      </c>
      <c r="X778" s="962" t="s">
        <v>533</v>
      </c>
    </row>
    <row r="779" spans="1:24" ht="11.25" customHeight="1">
      <c r="A779" s="878">
        <v>53</v>
      </c>
      <c r="B779" s="144"/>
      <c r="C779" s="144"/>
      <c r="D779" s="144"/>
      <c r="E779" s="144"/>
      <c r="F779" s="144"/>
      <c r="G779" s="144"/>
      <c r="H779" s="144"/>
      <c r="I779" s="144"/>
      <c r="J779" s="144"/>
      <c r="K779" s="144"/>
      <c r="L779" s="981" t="s">
        <v>533</v>
      </c>
      <c r="N779" s="1451" t="s">
        <v>1178</v>
      </c>
      <c r="X779" s="962" t="s">
        <v>533</v>
      </c>
    </row>
    <row r="780" spans="1:24" ht="11.25" customHeight="1">
      <c r="A780" s="878">
        <v>54</v>
      </c>
      <c r="B780" s="144"/>
      <c r="C780" s="144"/>
      <c r="D780" s="144"/>
      <c r="E780" s="144"/>
      <c r="F780" s="144"/>
      <c r="G780" s="144"/>
      <c r="H780" s="144"/>
      <c r="I780" s="144"/>
      <c r="J780" s="144"/>
      <c r="K780" s="144"/>
      <c r="L780" s="981" t="s">
        <v>533</v>
      </c>
      <c r="N780" s="1452" t="s">
        <v>637</v>
      </c>
      <c r="O780" s="1038" t="str">
        <f>IF(AND(O751="",O753=""),"","Lg. F:  "&amp;O751&amp;IF(O753&lt;&gt;"","; "&amp;O753,""))</f>
        <v/>
      </c>
      <c r="X780" s="962" t="s">
        <v>533</v>
      </c>
    </row>
    <row r="781" spans="1:24" ht="11.25" customHeight="1">
      <c r="A781" s="878">
        <v>55</v>
      </c>
      <c r="B781" s="144"/>
      <c r="C781" s="144"/>
      <c r="D781" s="144"/>
      <c r="E781" s="144"/>
      <c r="F781" s="144"/>
      <c r="G781" s="144"/>
      <c r="H781" s="144"/>
      <c r="I781" s="144"/>
      <c r="J781" s="144"/>
      <c r="K781" s="144"/>
      <c r="L781" s="981" t="s">
        <v>533</v>
      </c>
      <c r="N781" s="1452"/>
      <c r="X781" s="962" t="s">
        <v>533</v>
      </c>
    </row>
    <row r="782" spans="1:24" ht="11.25" customHeight="1">
      <c r="A782" s="878">
        <v>56</v>
      </c>
      <c r="B782" s="144"/>
      <c r="C782" s="144"/>
      <c r="D782" s="144"/>
      <c r="E782" s="144"/>
      <c r="F782" s="144"/>
      <c r="G782" s="144"/>
      <c r="H782" s="144"/>
      <c r="I782" s="144"/>
      <c r="J782" s="144"/>
      <c r="K782" s="144"/>
      <c r="L782" s="981" t="s">
        <v>533</v>
      </c>
      <c r="N782" s="1452" t="s">
        <v>650</v>
      </c>
      <c r="O782" s="505" t="str">
        <f>IF(AND(O770="",O772=""),"","Sm. F:  "&amp;O770&amp;IF(O772&lt;&gt;"","; "&amp;O772,""))</f>
        <v/>
      </c>
      <c r="X782" s="962" t="s">
        <v>533</v>
      </c>
    </row>
    <row r="783" spans="1:24" ht="11.25" customHeight="1">
      <c r="A783" s="878">
        <v>57</v>
      </c>
      <c r="B783" s="144"/>
      <c r="C783" s="144"/>
      <c r="D783" s="144"/>
      <c r="E783" s="144"/>
      <c r="F783" s="144"/>
      <c r="G783" s="144"/>
      <c r="H783" s="144"/>
      <c r="I783" s="144"/>
      <c r="J783" s="144"/>
      <c r="K783" s="144"/>
      <c r="L783" s="981" t="s">
        <v>533</v>
      </c>
      <c r="X783" s="962" t="s">
        <v>533</v>
      </c>
    </row>
    <row r="784" spans="1:24" ht="11.25" customHeight="1">
      <c r="A784" s="878">
        <v>58</v>
      </c>
      <c r="B784" s="144"/>
      <c r="C784" s="144"/>
      <c r="D784" s="144"/>
      <c r="E784" s="144"/>
      <c r="F784" s="144"/>
      <c r="G784" s="144"/>
      <c r="H784" s="144"/>
      <c r="I784" s="144"/>
      <c r="J784" s="144"/>
      <c r="K784" s="144"/>
      <c r="L784" s="981" t="s">
        <v>533</v>
      </c>
      <c r="X784" s="962" t="s">
        <v>533</v>
      </c>
    </row>
    <row r="785" spans="1:24" ht="11.25" customHeight="1">
      <c r="A785" s="878">
        <v>59</v>
      </c>
      <c r="B785" s="144"/>
      <c r="C785" s="144"/>
      <c r="D785" s="144"/>
      <c r="E785" s="144"/>
      <c r="F785" s="144"/>
      <c r="G785" s="144"/>
      <c r="H785" s="144"/>
      <c r="I785" s="144"/>
      <c r="J785" s="144"/>
      <c r="K785" s="144"/>
      <c r="L785" s="981" t="s">
        <v>533</v>
      </c>
      <c r="X785" s="962" t="s">
        <v>533</v>
      </c>
    </row>
    <row r="786" spans="1:24" ht="11.25" customHeight="1">
      <c r="A786" s="878">
        <v>60</v>
      </c>
      <c r="B786" s="144"/>
      <c r="C786" s="144"/>
      <c r="D786" s="144"/>
      <c r="E786" s="144"/>
      <c r="F786" s="144"/>
      <c r="G786" s="144"/>
      <c r="H786" s="144"/>
      <c r="I786" s="144"/>
      <c r="J786" s="144"/>
      <c r="K786" s="144"/>
      <c r="L786" s="981" t="s">
        <v>533</v>
      </c>
      <c r="X786" s="962" t="s">
        <v>533</v>
      </c>
    </row>
    <row r="787" spans="1:24" ht="11.25" customHeight="1">
      <c r="A787" s="878">
        <v>61</v>
      </c>
      <c r="B787" s="144"/>
      <c r="C787" s="144"/>
      <c r="D787" s="144"/>
      <c r="E787" s="144"/>
      <c r="F787" s="144"/>
      <c r="G787" s="144"/>
      <c r="H787" s="144"/>
      <c r="I787" s="144"/>
      <c r="J787" s="144"/>
      <c r="K787" s="144"/>
      <c r="L787" s="981" t="s">
        <v>533</v>
      </c>
      <c r="X787" s="962" t="s">
        <v>533</v>
      </c>
    </row>
    <row r="788" spans="1:24" ht="11.25" customHeight="1">
      <c r="A788" s="878">
        <v>62</v>
      </c>
      <c r="B788" s="144"/>
      <c r="C788" s="144"/>
      <c r="D788" s="144"/>
      <c r="E788" s="144"/>
      <c r="F788" s="144"/>
      <c r="G788" s="144"/>
      <c r="H788" s="144"/>
      <c r="I788" s="144"/>
      <c r="J788" s="144"/>
      <c r="K788" s="144"/>
      <c r="L788" s="981" t="s">
        <v>533</v>
      </c>
      <c r="X788" s="962" t="s">
        <v>533</v>
      </c>
    </row>
    <row r="789" spans="1:24" ht="11.25" customHeight="1">
      <c r="A789" s="878">
        <v>63</v>
      </c>
      <c r="B789" s="144"/>
      <c r="C789" s="144"/>
      <c r="D789" s="144"/>
      <c r="E789" s="144"/>
      <c r="F789" s="144"/>
      <c r="G789" s="144"/>
      <c r="H789" s="144"/>
      <c r="I789" s="144"/>
      <c r="J789" s="144"/>
      <c r="K789" s="144"/>
      <c r="L789" s="981" t="s">
        <v>533</v>
      </c>
      <c r="X789" s="962" t="s">
        <v>533</v>
      </c>
    </row>
    <row r="790" spans="1:24" ht="11.25" customHeight="1">
      <c r="A790" s="878">
        <v>64</v>
      </c>
      <c r="B790" s="144"/>
      <c r="C790" s="144"/>
      <c r="D790" s="144"/>
      <c r="E790" s="144"/>
      <c r="F790" s="144"/>
      <c r="G790" s="144"/>
      <c r="H790" s="144"/>
      <c r="I790" s="144"/>
      <c r="J790" s="144"/>
      <c r="K790" s="144"/>
      <c r="L790" s="981" t="s">
        <v>533</v>
      </c>
      <c r="X790" s="962" t="s">
        <v>533</v>
      </c>
    </row>
    <row r="791" spans="1:24" ht="11.25" customHeight="1">
      <c r="A791" s="878">
        <v>65</v>
      </c>
      <c r="B791" s="64" t="str">
        <f t="array" ref="B791:C792">$B$65:$C$66</f>
        <v>Date:</v>
      </c>
      <c r="C791" s="1467">
        <v>43039</v>
      </c>
      <c r="D791" s="69"/>
      <c r="E791" s="144"/>
      <c r="F791" s="144"/>
      <c r="G791" s="144"/>
      <c r="H791" s="144"/>
      <c r="I791" s="64" t="str">
        <f t="array" ref="I791:J792">$I$65:$J$66</f>
        <v>Inspector:</v>
      </c>
      <c r="J791" s="565" t="str">
        <v>Eugene Mah</v>
      </c>
      <c r="L791" s="981" t="s">
        <v>533</v>
      </c>
      <c r="X791" s="962" t="s">
        <v>533</v>
      </c>
    </row>
    <row r="792" spans="1:24" ht="11.25" customHeight="1">
      <c r="A792" s="878">
        <v>66</v>
      </c>
      <c r="B792" s="64" t="str">
        <v>Room Number:</v>
      </c>
      <c r="C792" s="508" t="str">
        <v>Room 04 RT 127M - Tube 1</v>
      </c>
      <c r="D792" s="60"/>
      <c r="E792" s="144"/>
      <c r="F792" s="144"/>
      <c r="G792" s="144"/>
      <c r="H792" s="144"/>
      <c r="I792" s="64" t="str">
        <v>Survey ID:</v>
      </c>
      <c r="J792" s="1475">
        <v>1976</v>
      </c>
      <c r="L792" s="981" t="s">
        <v>533</v>
      </c>
      <c r="X792" s="962" t="s">
        <v>533</v>
      </c>
    </row>
    <row r="793" spans="1:24" ht="11.25" customHeight="1">
      <c r="A793" s="878">
        <v>1</v>
      </c>
      <c r="K793" s="165" t="str">
        <f>$F$2</f>
        <v>Medical University of South Carolina</v>
      </c>
      <c r="L793" s="981" t="s">
        <v>533</v>
      </c>
      <c r="W793" s="165" t="str">
        <f>$F$2</f>
        <v>Medical University of South Carolina</v>
      </c>
      <c r="X793" s="962" t="s">
        <v>533</v>
      </c>
    </row>
    <row r="794" spans="1:24" ht="11.25" customHeight="1">
      <c r="A794" s="878">
        <v>2</v>
      </c>
      <c r="F794" s="344" t="str">
        <f>$F$464</f>
        <v>Measurement Data</v>
      </c>
      <c r="K794" s="166" t="str">
        <f>$F$5</f>
        <v>Radiographic System Compliance Inspection</v>
      </c>
      <c r="L794" s="981" t="s">
        <v>533</v>
      </c>
      <c r="W794" s="166" t="str">
        <f>$F$5</f>
        <v>Radiographic System Compliance Inspection</v>
      </c>
      <c r="X794" s="962" t="s">
        <v>533</v>
      </c>
    </row>
    <row r="795" spans="1:24" ht="11.25" customHeight="1" thickBot="1">
      <c r="A795" s="878">
        <v>3</v>
      </c>
      <c r="B795" s="144"/>
      <c r="C795" s="144"/>
      <c r="D795" s="144"/>
      <c r="E795" s="144"/>
      <c r="F795" s="144"/>
      <c r="G795" s="144"/>
      <c r="H795" s="144"/>
      <c r="I795" s="144"/>
      <c r="J795" s="144"/>
      <c r="K795" s="144"/>
      <c r="L795" s="981" t="s">
        <v>533</v>
      </c>
      <c r="M795" s="144"/>
      <c r="N795" s="144"/>
      <c r="O795" s="144"/>
      <c r="P795" s="144"/>
      <c r="Q795" s="144"/>
      <c r="R795" s="144"/>
      <c r="S795" s="144"/>
      <c r="T795" s="144"/>
      <c r="U795" s="144"/>
      <c r="V795" s="144"/>
      <c r="W795" s="144"/>
      <c r="X795" s="962" t="s">
        <v>533</v>
      </c>
    </row>
    <row r="796" spans="1:24" ht="11.25" customHeight="1" thickTop="1">
      <c r="A796" s="878">
        <v>4</v>
      </c>
      <c r="B796" s="93"/>
      <c r="C796" s="76"/>
      <c r="D796" s="76"/>
      <c r="E796" s="76"/>
      <c r="F796" s="76"/>
      <c r="G796" s="76"/>
      <c r="H796" s="76"/>
      <c r="I796" s="76"/>
      <c r="J796" s="76"/>
      <c r="K796" s="94"/>
      <c r="L796" s="981" t="s">
        <v>533</v>
      </c>
      <c r="M796" s="144"/>
      <c r="O796" s="144"/>
      <c r="P796" s="144"/>
      <c r="Q796" s="344" t="str">
        <f>$F$464</f>
        <v>Measurement Data</v>
      </c>
      <c r="R796" s="144"/>
      <c r="S796" s="144"/>
      <c r="T796" s="144"/>
      <c r="U796" s="144"/>
      <c r="V796" s="144"/>
      <c r="W796" s="144"/>
      <c r="X796" s="962" t="s">
        <v>533</v>
      </c>
    </row>
    <row r="797" spans="1:24" ht="11.25" customHeight="1" thickBot="1">
      <c r="A797" s="878">
        <v>5</v>
      </c>
      <c r="B797" s="150"/>
      <c r="C797" s="66" t="s">
        <v>85</v>
      </c>
      <c r="D797" s="128" t="str">
        <f>IF($O$687="","",$O$687)</f>
        <v>Barracuda BC1-051100117</v>
      </c>
      <c r="E797" s="295"/>
      <c r="F797" s="59"/>
      <c r="G797" s="60"/>
      <c r="H797" s="60"/>
      <c r="I797" s="60"/>
      <c r="J797" s="60"/>
      <c r="K797" s="83"/>
      <c r="L797" s="981" t="s">
        <v>533</v>
      </c>
      <c r="M797" s="290"/>
      <c r="T797" s="60"/>
      <c r="U797" s="60"/>
      <c r="V797" s="60"/>
      <c r="W797" s="60"/>
      <c r="X797" s="962" t="s">
        <v>533</v>
      </c>
    </row>
    <row r="798" spans="1:24" ht="11.25" customHeight="1" thickTop="1">
      <c r="A798" s="878">
        <v>6</v>
      </c>
      <c r="B798" s="150"/>
      <c r="C798" s="60"/>
      <c r="D798" s="60"/>
      <c r="E798" s="60"/>
      <c r="F798" s="60"/>
      <c r="G798" s="60"/>
      <c r="H798" s="60"/>
      <c r="I798" s="60"/>
      <c r="J798" s="60"/>
      <c r="K798" s="83"/>
      <c r="L798" s="981" t="s">
        <v>533</v>
      </c>
      <c r="M798" s="93"/>
      <c r="N798" s="76"/>
      <c r="O798" s="76"/>
      <c r="P798" s="76"/>
      <c r="Q798" s="76"/>
      <c r="R798" s="76"/>
      <c r="S798" s="76"/>
      <c r="T798" s="76"/>
      <c r="U798" s="76"/>
      <c r="V798" s="76"/>
      <c r="W798" s="94"/>
      <c r="X798" s="962" t="s">
        <v>533</v>
      </c>
    </row>
    <row r="799" spans="1:24" ht="11.25" customHeight="1">
      <c r="A799" s="878">
        <v>7</v>
      </c>
      <c r="B799" s="159"/>
      <c r="C799" s="67"/>
      <c r="D799" s="67"/>
      <c r="E799" s="67"/>
      <c r="F799" s="67"/>
      <c r="G799" s="67"/>
      <c r="H799" s="67"/>
      <c r="I799" s="67"/>
      <c r="J799" s="67"/>
      <c r="K799" s="85"/>
      <c r="L799" s="981" t="s">
        <v>533</v>
      </c>
      <c r="M799" s="150"/>
      <c r="N799" s="66" t="s">
        <v>85</v>
      </c>
      <c r="O799" s="128" t="str">
        <f>IF($O$687="","",$O$687)</f>
        <v>Barracuda BC1-051100117</v>
      </c>
      <c r="P799" s="295"/>
      <c r="Q799" s="59"/>
      <c r="R799" s="60"/>
      <c r="S799" s="60"/>
      <c r="T799" s="60"/>
      <c r="U799" s="60"/>
      <c r="V799" s="60"/>
      <c r="W799" s="83"/>
      <c r="X799" s="962" t="s">
        <v>533</v>
      </c>
    </row>
    <row r="800" spans="1:24" ht="11.25" customHeight="1">
      <c r="A800" s="878">
        <v>8</v>
      </c>
      <c r="B800" s="159"/>
      <c r="C800" s="67"/>
      <c r="D800" s="67"/>
      <c r="E800" s="67"/>
      <c r="F800" s="67"/>
      <c r="G800" s="355" t="str">
        <f>"Timer performance ("&amp;O809&amp;" Focal Spot)"</f>
        <v>Timer performance (Large Focal Spot)</v>
      </c>
      <c r="H800" s="67"/>
      <c r="I800" s="67"/>
      <c r="J800" s="67"/>
      <c r="K800" s="85"/>
      <c r="L800" s="981" t="s">
        <v>533</v>
      </c>
      <c r="M800" s="150"/>
      <c r="N800" s="60"/>
      <c r="O800" s="60"/>
      <c r="P800" s="60"/>
      <c r="Q800" s="60"/>
      <c r="R800" s="60"/>
      <c r="S800" s="60"/>
      <c r="T800" s="60"/>
      <c r="U800" s="60"/>
      <c r="V800" s="60"/>
      <c r="W800" s="83"/>
      <c r="X800" s="962" t="s">
        <v>533</v>
      </c>
    </row>
    <row r="801" spans="1:24" ht="11.25" customHeight="1">
      <c r="A801" s="878">
        <v>9</v>
      </c>
      <c r="B801" s="159"/>
      <c r="C801" s="67"/>
      <c r="D801" s="67"/>
      <c r="E801" s="67"/>
      <c r="F801" s="67"/>
      <c r="G801" s="67"/>
      <c r="H801" s="67"/>
      <c r="I801" s="67"/>
      <c r="J801" s="67"/>
      <c r="K801" s="85"/>
      <c r="L801" s="981" t="s">
        <v>533</v>
      </c>
      <c r="M801" s="159"/>
      <c r="N801" s="67"/>
      <c r="O801" s="67"/>
      <c r="P801" s="67"/>
      <c r="Q801" s="67"/>
      <c r="R801" s="67"/>
      <c r="S801" s="67"/>
      <c r="T801" s="67"/>
      <c r="U801" s="67"/>
      <c r="V801" s="67"/>
      <c r="W801" s="85"/>
      <c r="X801" s="962" t="s">
        <v>533</v>
      </c>
    </row>
    <row r="802" spans="1:24" ht="11.25" customHeight="1">
      <c r="A802" s="878">
        <v>10</v>
      </c>
      <c r="B802" s="159"/>
      <c r="C802" s="67"/>
      <c r="D802" s="67"/>
      <c r="E802" s="67"/>
      <c r="F802" s="67"/>
      <c r="G802" s="67"/>
      <c r="H802" s="67"/>
      <c r="I802" s="67"/>
      <c r="J802" s="67"/>
      <c r="K802" s="85"/>
      <c r="L802" s="981" t="s">
        <v>533</v>
      </c>
      <c r="M802" s="467" t="s">
        <v>157</v>
      </c>
      <c r="N802" s="60"/>
      <c r="O802" s="60"/>
      <c r="P802" s="60"/>
      <c r="Q802" s="60"/>
      <c r="R802" s="67"/>
      <c r="S802" s="67"/>
      <c r="T802" s="60"/>
      <c r="U802" s="60"/>
      <c r="V802" s="60"/>
      <c r="W802" s="83"/>
      <c r="X802" s="962" t="s">
        <v>533</v>
      </c>
    </row>
    <row r="803" spans="1:24" ht="11.25" customHeight="1">
      <c r="A803" s="878">
        <v>11</v>
      </c>
      <c r="B803" s="150"/>
      <c r="C803" s="67"/>
      <c r="D803" s="363" t="s">
        <v>159</v>
      </c>
      <c r="E803" s="364" t="str">
        <f>IF($O$805="","",$O$805)</f>
        <v>HF</v>
      </c>
      <c r="F803" s="365" t="str">
        <f>$Q$805</f>
        <v xml:space="preserve"> (High Frequency)</v>
      </c>
      <c r="G803" s="67"/>
      <c r="H803" s="67"/>
      <c r="I803" s="67"/>
      <c r="J803" s="67"/>
      <c r="K803" s="85"/>
      <c r="L803" s="981" t="s">
        <v>533</v>
      </c>
      <c r="M803" s="159"/>
      <c r="N803" s="67"/>
      <c r="O803" s="67"/>
      <c r="P803" s="67"/>
      <c r="Q803" s="67"/>
      <c r="R803" s="67"/>
      <c r="S803" s="67"/>
      <c r="T803" s="67"/>
      <c r="U803" s="67"/>
      <c r="V803" s="67"/>
      <c r="W803" s="85"/>
      <c r="X803" s="962" t="s">
        <v>533</v>
      </c>
    </row>
    <row r="804" spans="1:24" ht="11.25" customHeight="1">
      <c r="A804" s="878">
        <v>12</v>
      </c>
      <c r="B804" s="159"/>
      <c r="C804" s="67"/>
      <c r="D804" s="60"/>
      <c r="E804" s="60"/>
      <c r="F804" s="60"/>
      <c r="G804" s="60"/>
      <c r="H804" s="60"/>
      <c r="I804" s="60"/>
      <c r="J804" s="60"/>
      <c r="K804" s="83"/>
      <c r="L804" s="981" t="s">
        <v>533</v>
      </c>
      <c r="M804" s="159"/>
      <c r="N804" s="62" t="s">
        <v>158</v>
      </c>
      <c r="O804" s="67"/>
      <c r="P804" s="67"/>
      <c r="Q804" s="67"/>
      <c r="R804" s="67"/>
      <c r="S804" s="67"/>
      <c r="T804" s="67"/>
      <c r="U804" s="67"/>
      <c r="V804" s="67"/>
      <c r="W804" s="85"/>
      <c r="X804" s="962" t="s">
        <v>533</v>
      </c>
    </row>
    <row r="805" spans="1:24" ht="11.25" customHeight="1">
      <c r="A805" s="878">
        <v>13</v>
      </c>
      <c r="B805" s="356"/>
      <c r="C805" s="67"/>
      <c r="D805" s="67"/>
      <c r="E805" s="67"/>
      <c r="F805" s="367" t="s">
        <v>694</v>
      </c>
      <c r="G805" s="66"/>
      <c r="H805" s="60"/>
      <c r="I805" s="60"/>
      <c r="J805" s="368" t="s">
        <v>161</v>
      </c>
      <c r="K805" s="636"/>
      <c r="L805" s="981" t="s">
        <v>533</v>
      </c>
      <c r="M805" s="159"/>
      <c r="N805" s="363" t="s">
        <v>159</v>
      </c>
      <c r="O805" s="1393" t="str">
        <f>IF(P805&lt;&gt;"",P805,IF(OR(AB182=0,AB182=""),"",AB182))</f>
        <v>HF</v>
      </c>
      <c r="P805" s="1002" t="s">
        <v>1221</v>
      </c>
      <c r="Q805" s="365" t="str">
        <f>IF(OR($O$805=0,$O$805="",$O$805="Dent"),"",IF(OR($O$805=1,$O$805=3),"-Phase",IF($O$805="HF"," (High Frequency)",IF($O$805="CP"," (Constant Potential)",""))))</f>
        <v xml:space="preserve"> (High Frequency)</v>
      </c>
      <c r="R805" s="67"/>
      <c r="S805" s="67"/>
      <c r="T805" s="67"/>
      <c r="U805" s="67"/>
      <c r="V805" s="67"/>
      <c r="W805" s="85"/>
      <c r="X805" s="962" t="s">
        <v>533</v>
      </c>
    </row>
    <row r="806" spans="1:24" ht="11.25" customHeight="1">
      <c r="A806" s="878">
        <v>14</v>
      </c>
      <c r="B806" s="159"/>
      <c r="C806" s="67"/>
      <c r="D806" s="67"/>
      <c r="E806" s="67"/>
      <c r="F806" s="67"/>
      <c r="G806" s="67"/>
      <c r="H806" s="67"/>
      <c r="I806" s="67"/>
      <c r="J806" s="67"/>
      <c r="K806" s="85"/>
      <c r="L806" s="981" t="s">
        <v>533</v>
      </c>
      <c r="M806" s="1455">
        <f>IF($N$806&lt;&gt;"",$N$806,IF(OR(AB183=0,AB183=""),"",AB183))</f>
        <v>2</v>
      </c>
      <c r="N806" s="1002"/>
      <c r="O806" s="119" t="s">
        <v>160</v>
      </c>
      <c r="P806" s="60"/>
      <c r="Q806" s="60"/>
      <c r="R806" s="67"/>
      <c r="S806" s="60"/>
      <c r="T806" s="60"/>
      <c r="U806" s="67"/>
      <c r="V806" s="67"/>
      <c r="W806" s="83"/>
      <c r="X806" s="962" t="s">
        <v>533</v>
      </c>
    </row>
    <row r="807" spans="1:24" ht="11.25" customHeight="1">
      <c r="A807" s="878">
        <v>15</v>
      </c>
      <c r="B807" s="159"/>
      <c r="C807" s="66" t="s">
        <v>138</v>
      </c>
      <c r="D807" s="183">
        <f>IF(N809="","",N809)</f>
        <v>60</v>
      </c>
      <c r="E807" s="296" t="str">
        <f>IF(N808="","",N808)</f>
        <v>cm</v>
      </c>
      <c r="F807" s="67"/>
      <c r="G807" s="60"/>
      <c r="H807" s="60"/>
      <c r="I807" s="66" t="s">
        <v>138</v>
      </c>
      <c r="J807" s="183">
        <f>IF(N740="","",N740)</f>
        <v>60</v>
      </c>
      <c r="K807" s="84" t="str">
        <f>IF(N739="","",N739)</f>
        <v>cm</v>
      </c>
      <c r="L807" s="981" t="s">
        <v>533</v>
      </c>
      <c r="M807" s="150" t="s">
        <v>121</v>
      </c>
      <c r="N807" s="289" t="s">
        <v>148</v>
      </c>
      <c r="O807" s="289" t="s">
        <v>123</v>
      </c>
      <c r="P807" s="289" t="s">
        <v>124</v>
      </c>
      <c r="Q807" s="60"/>
      <c r="R807" s="357" t="s">
        <v>162</v>
      </c>
      <c r="S807" s="362"/>
      <c r="T807" s="360"/>
      <c r="U807" s="358" t="s">
        <v>163</v>
      </c>
      <c r="V807" s="160"/>
      <c r="W807" s="83"/>
      <c r="X807" s="962" t="s">
        <v>533</v>
      </c>
    </row>
    <row r="808" spans="1:24" ht="11.25" customHeight="1" thickBot="1">
      <c r="A808" s="878">
        <v>16</v>
      </c>
      <c r="B808" s="159"/>
      <c r="C808" s="66" t="s">
        <v>735</v>
      </c>
      <c r="D808" s="59">
        <f>IF(Q809="","",Q809)</f>
        <v>80</v>
      </c>
      <c r="E808" s="60"/>
      <c r="F808" s="67"/>
      <c r="G808" s="60"/>
      <c r="H808" s="60"/>
      <c r="I808" s="66" t="s">
        <v>735</v>
      </c>
      <c r="J808" s="59">
        <f>IF(Q740="","",Q740)</f>
        <v>80</v>
      </c>
      <c r="K808" s="83"/>
      <c r="L808" s="981" t="s">
        <v>533</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1228</v>
      </c>
      <c r="X808" s="962" t="s">
        <v>533</v>
      </c>
    </row>
    <row r="809" spans="1:24" ht="11.25" customHeight="1">
      <c r="A809" s="878">
        <v>17</v>
      </c>
      <c r="B809" s="141"/>
      <c r="C809" s="67"/>
      <c r="D809" s="479"/>
      <c r="E809" s="60"/>
      <c r="F809" s="67"/>
      <c r="G809" s="60"/>
      <c r="H809" s="60"/>
      <c r="I809" s="66" t="s">
        <v>736</v>
      </c>
      <c r="J809" s="286">
        <f>IF(R740="","",IF(R739="mA",R740,""))</f>
        <v>400</v>
      </c>
      <c r="K809" s="83"/>
      <c r="L809" s="981" t="s">
        <v>533</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533</v>
      </c>
    </row>
    <row r="810" spans="1:24" ht="11.25" customHeight="1">
      <c r="A810" s="878">
        <v>18</v>
      </c>
      <c r="B810" s="141"/>
      <c r="C810" s="67"/>
      <c r="D810" s="67"/>
      <c r="E810" s="67"/>
      <c r="F810" s="60"/>
      <c r="G810" s="60"/>
      <c r="H810" s="60"/>
      <c r="I810" s="66" t="s">
        <v>738</v>
      </c>
      <c r="J810" s="297" t="str">
        <f>IF(R740="","",IF(R739="mAs",R740,""))</f>
        <v/>
      </c>
      <c r="K810" s="83"/>
      <c r="L810" s="981" t="s">
        <v>533</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533</v>
      </c>
    </row>
    <row r="811" spans="1:24" ht="11.25" customHeight="1">
      <c r="A811" s="878">
        <v>19</v>
      </c>
      <c r="B811" s="150"/>
      <c r="C811" s="67"/>
      <c r="D811" s="60"/>
      <c r="E811" s="60"/>
      <c r="F811" s="60"/>
      <c r="G811" s="60"/>
      <c r="H811" s="60"/>
      <c r="I811" s="60"/>
      <c r="J811" s="60"/>
      <c r="K811" s="83"/>
      <c r="L811" s="981" t="s">
        <v>533</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533</v>
      </c>
    </row>
    <row r="812" spans="1:24" ht="11.25" customHeight="1">
      <c r="A812" s="878">
        <v>20</v>
      </c>
      <c r="B812" s="643" t="s">
        <v>164</v>
      </c>
      <c r="C812" s="944"/>
      <c r="D812" s="60"/>
      <c r="E812" s="192" t="str">
        <f>"Time"&amp;IF($O$805=1," (Pulses)"," (sec)")</f>
        <v>Time (sec)</v>
      </c>
      <c r="F812" s="193"/>
      <c r="G812" s="60" t="s">
        <v>697</v>
      </c>
      <c r="H812" s="60"/>
      <c r="I812" s="60"/>
      <c r="J812" s="192" t="str">
        <f>"Time"&amp;IF($O$805=1," (Pulses)"," (sec)")</f>
        <v>Time (sec)</v>
      </c>
      <c r="K812" s="512"/>
      <c r="L812" s="981" t="s">
        <v>533</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533</v>
      </c>
    </row>
    <row r="813" spans="1:24" ht="11.25" customHeight="1" thickBot="1">
      <c r="A813" s="878">
        <v>21</v>
      </c>
      <c r="B813" s="292" t="s">
        <v>132</v>
      </c>
      <c r="C813" s="175" t="s">
        <v>133</v>
      </c>
      <c r="D813" s="175" t="str">
        <f t="shared" ref="D813:D823" si="122">IF(R808="","",R808)</f>
        <v>mA/mAs</v>
      </c>
      <c r="E813" s="188" t="s">
        <v>695</v>
      </c>
      <c r="F813" s="174" t="s">
        <v>696</v>
      </c>
      <c r="G813" s="188" t="str">
        <f>IF($O$805=1," (Pulses)"," (Percent)")</f>
        <v xml:space="preserve"> (Percent)</v>
      </c>
      <c r="H813" s="188" t="s">
        <v>761</v>
      </c>
      <c r="I813" s="60"/>
      <c r="J813" s="188" t="s">
        <v>695</v>
      </c>
      <c r="K813" s="299" t="s">
        <v>696</v>
      </c>
      <c r="L813" s="981" t="s">
        <v>533</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533</v>
      </c>
    </row>
    <row r="814" spans="1:24" ht="11.25" customHeight="1">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533</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533</v>
      </c>
    </row>
    <row r="815" spans="1:24" ht="11.25" customHeight="1">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533</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533</v>
      </c>
    </row>
    <row r="816" spans="1:24" ht="11.25" customHeight="1">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533</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533</v>
      </c>
    </row>
    <row r="817" spans="1:24" ht="11.25" customHeight="1">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533</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533</v>
      </c>
    </row>
    <row r="818" spans="1:24" ht="11.25" customHeight="1" thickBot="1">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533</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533</v>
      </c>
    </row>
    <row r="819" spans="1:24" ht="11.25" customHeight="1" thickTop="1">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533</v>
      </c>
      <c r="M819" s="93"/>
      <c r="N819" s="603" t="s">
        <v>165</v>
      </c>
      <c r="O819" s="76"/>
      <c r="P819" s="76"/>
      <c r="Q819" s="76"/>
      <c r="R819" s="76"/>
      <c r="S819" s="76"/>
      <c r="T819" s="76"/>
      <c r="U819" s="76"/>
      <c r="V819" s="76"/>
      <c r="W819" s="94"/>
      <c r="X819" s="962" t="s">
        <v>533</v>
      </c>
    </row>
    <row r="820" spans="1:24" ht="11.25" customHeight="1">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533</v>
      </c>
      <c r="M820" s="159"/>
      <c r="N820" s="62" t="s">
        <v>166</v>
      </c>
      <c r="O820" s="67"/>
      <c r="P820" s="67"/>
      <c r="Q820" s="67"/>
      <c r="R820" s="67"/>
      <c r="S820" s="67"/>
      <c r="T820" s="67"/>
      <c r="U820" s="67"/>
      <c r="V820" s="67"/>
      <c r="W820" s="85"/>
      <c r="X820" s="962" t="s">
        <v>533</v>
      </c>
    </row>
    <row r="821" spans="1:24" ht="11.25" customHeight="1">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533</v>
      </c>
      <c r="M821" s="159"/>
      <c r="N821" s="67"/>
      <c r="O821" s="67"/>
      <c r="P821" s="67"/>
      <c r="Q821" s="67"/>
      <c r="R821" s="67"/>
      <c r="S821" s="67"/>
      <c r="T821" s="67"/>
      <c r="U821" s="67"/>
      <c r="V821" s="67"/>
      <c r="W821" s="85"/>
      <c r="X821" s="962" t="s">
        <v>533</v>
      </c>
    </row>
    <row r="822" spans="1:24" ht="11.25" customHeight="1">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533</v>
      </c>
      <c r="M822" s="150"/>
      <c r="N822" s="187" t="s">
        <v>681</v>
      </c>
      <c r="O822" s="1381" t="str">
        <f>IF(O805="1*","Note: Although this is a single phase generator, the exposure time was recorded in seconds, rather than pulses.","")</f>
        <v/>
      </c>
      <c r="P822" s="59"/>
      <c r="Q822" s="59"/>
      <c r="R822" s="59"/>
      <c r="S822" s="59"/>
      <c r="T822" s="59"/>
      <c r="U822" s="59"/>
      <c r="V822" s="59"/>
      <c r="W822" s="126"/>
      <c r="X822" s="962" t="s">
        <v>533</v>
      </c>
    </row>
    <row r="823" spans="1:24" ht="11.25" customHeight="1">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533</v>
      </c>
      <c r="M823" s="127" t="s">
        <v>167</v>
      </c>
      <c r="N823" s="59"/>
      <c r="O823" s="59"/>
      <c r="P823" s="59"/>
      <c r="Q823" s="59"/>
      <c r="R823" s="59"/>
      <c r="S823" s="59"/>
      <c r="T823" s="59"/>
      <c r="U823" s="59"/>
      <c r="V823" s="59"/>
      <c r="W823" s="126"/>
      <c r="X823" s="962" t="s">
        <v>533</v>
      </c>
    </row>
    <row r="824" spans="1:24" ht="11.25" customHeight="1">
      <c r="A824" s="878">
        <v>32</v>
      </c>
      <c r="B824" s="150"/>
      <c r="C824" s="67"/>
      <c r="D824" s="60"/>
      <c r="E824" s="60"/>
      <c r="F824" s="60"/>
      <c r="G824" s="60"/>
      <c r="H824" s="60"/>
      <c r="I824" s="60"/>
      <c r="J824" s="60"/>
      <c r="K824" s="83"/>
      <c r="L824" s="981" t="s">
        <v>533</v>
      </c>
      <c r="M824" s="130"/>
      <c r="N824" s="301" t="s">
        <v>151</v>
      </c>
      <c r="O824" s="1025" t="str">
        <f>IF(O825&lt;&gt;"",O825,IF(OR(AB446=0,AB446=""),"",AB446))</f>
        <v/>
      </c>
      <c r="P824" s="59"/>
      <c r="Q824" s="59"/>
      <c r="R824" s="59"/>
      <c r="S824" s="59"/>
      <c r="T824" s="59"/>
      <c r="U824" s="59"/>
      <c r="V824" s="59"/>
      <c r="W824" s="126"/>
      <c r="X824" s="962" t="s">
        <v>533</v>
      </c>
    </row>
    <row r="825" spans="1:24" ht="11.25" customHeight="1">
      <c r="A825" s="878">
        <v>33</v>
      </c>
      <c r="B825" s="150"/>
      <c r="C825" s="67"/>
      <c r="D825" s="60"/>
      <c r="E825" s="60"/>
      <c r="F825" s="60"/>
      <c r="G825" s="60"/>
      <c r="H825" s="60"/>
      <c r="I825" s="60"/>
      <c r="J825" s="353" t="s">
        <v>152</v>
      </c>
      <c r="K825" s="420" t="str">
        <f>IF(AND(K814&gt;0,MIN(K815:K823)&gt;0),AVERAGE(K814:K823),"")</f>
        <v/>
      </c>
      <c r="L825" s="981" t="s">
        <v>533</v>
      </c>
      <c r="M825" s="150"/>
      <c r="N825" s="1447" t="s">
        <v>748</v>
      </c>
      <c r="O825" s="1449"/>
      <c r="P825" s="1289">
        <f>LEN(O824)</f>
        <v>0</v>
      </c>
      <c r="Q825" s="940"/>
      <c r="R825" s="940"/>
      <c r="S825" s="940"/>
      <c r="T825" s="940"/>
      <c r="U825" s="940"/>
      <c r="V825" s="940"/>
      <c r="W825" s="1450"/>
      <c r="X825" s="962" t="s">
        <v>533</v>
      </c>
    </row>
    <row r="826" spans="1:24" ht="11.25" customHeight="1">
      <c r="A826" s="878">
        <v>34</v>
      </c>
      <c r="B826" s="150"/>
      <c r="C826" s="67"/>
      <c r="D826" s="60"/>
      <c r="E826" s="60"/>
      <c r="F826" s="60"/>
      <c r="G826" s="60"/>
      <c r="H826" s="60"/>
      <c r="I826" s="60"/>
      <c r="J826" s="353" t="s">
        <v>153</v>
      </c>
      <c r="K826" s="637" t="str">
        <f>IF(AND(K814&gt;0,MIN(K815:K823)&gt;0),STDEV(K814:K823),"")</f>
        <v/>
      </c>
      <c r="L826" s="981" t="s">
        <v>533</v>
      </c>
      <c r="M826" s="150"/>
      <c r="N826" s="67"/>
      <c r="O826" s="67"/>
      <c r="P826" s="67"/>
      <c r="Q826" s="67"/>
      <c r="R826" s="192" t="str">
        <f>"Time"&amp;IF($O$805=1," (Pulses)"," (sec)")</f>
        <v>Time (sec)</v>
      </c>
      <c r="S826" s="193"/>
      <c r="T826" s="60" t="s">
        <v>697</v>
      </c>
      <c r="U826" s="1072" t="s">
        <v>168</v>
      </c>
      <c r="V826" s="1072" t="s">
        <v>169</v>
      </c>
      <c r="W826" s="1073" t="s">
        <v>170</v>
      </c>
      <c r="X826" s="962" t="s">
        <v>533</v>
      </c>
    </row>
    <row r="827" spans="1:24" ht="11.25" customHeight="1" thickBot="1">
      <c r="A827" s="878">
        <v>35</v>
      </c>
      <c r="B827" s="150"/>
      <c r="C827" s="67"/>
      <c r="D827" s="60"/>
      <c r="E827" s="60"/>
      <c r="F827" s="60"/>
      <c r="G827" s="60"/>
      <c r="H827" s="60"/>
      <c r="I827" s="60"/>
      <c r="J827" s="353" t="s">
        <v>171</v>
      </c>
      <c r="K827" s="638" t="str">
        <f>IF(OR(K825="",K825=0,K826=""),"TBD",IF(K825&gt;0,K826/K825,"TBD"))</f>
        <v>TBD</v>
      </c>
      <c r="L827" s="981" t="s">
        <v>533</v>
      </c>
      <c r="M827" s="150"/>
      <c r="N827" s="67"/>
      <c r="O827" s="67"/>
      <c r="P827" s="67"/>
      <c r="Q827" s="67"/>
      <c r="R827" s="188" t="s">
        <v>695</v>
      </c>
      <c r="S827" s="174" t="s">
        <v>696</v>
      </c>
      <c r="T827" s="188" t="str">
        <f>IF($O$805=1," (Pulses)"," (Percent)")</f>
        <v xml:space="preserve"> (Percent)</v>
      </c>
      <c r="U827" s="1074" t="s">
        <v>761</v>
      </c>
      <c r="V827" s="1074" t="s">
        <v>761</v>
      </c>
      <c r="W827" s="1075" t="s">
        <v>761</v>
      </c>
      <c r="X827" s="962" t="s">
        <v>533</v>
      </c>
    </row>
    <row r="828" spans="1:24" ht="11.25" customHeight="1" thickBot="1">
      <c r="A828" s="878">
        <v>36</v>
      </c>
      <c r="B828" s="150"/>
      <c r="C828" s="67"/>
      <c r="D828" s="60"/>
      <c r="E828" s="60"/>
      <c r="F828" s="60"/>
      <c r="G828" s="60"/>
      <c r="H828" s="60"/>
      <c r="I828" s="60"/>
      <c r="J828" s="60"/>
      <c r="K828" s="83"/>
      <c r="L828" s="981" t="s">
        <v>533</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533</v>
      </c>
    </row>
    <row r="829" spans="1:24" ht="11.25" customHeight="1" thickBot="1">
      <c r="A829" s="878">
        <v>37</v>
      </c>
      <c r="B829" s="150"/>
      <c r="C829" s="67"/>
      <c r="D829" s="60"/>
      <c r="E829" s="60"/>
      <c r="F829" s="60"/>
      <c r="G829" s="178" t="s">
        <v>698</v>
      </c>
      <c r="H829" s="179" t="str">
        <f>IF(M806&lt;&gt;1,"NA",IF(MIN(F814:F823)=0,"TBD",IF(OR(H814="NO",H815="NO",H816="NO",H817="NO",H818="NO",H819="NO",H820="NO",H821="NO",H822="NO",H823="NO"),"NO","YES")))</f>
        <v>NA</v>
      </c>
      <c r="I829" s="60"/>
      <c r="J829" s="369" t="s">
        <v>698</v>
      </c>
      <c r="K829" s="639" t="str">
        <f>IF(M806&lt;&gt;1,"NA",IF(K827="TBD","TBD",IF(K827&gt;=0.05,"NO","YES")))</f>
        <v>NA</v>
      </c>
      <c r="L829" s="981" t="s">
        <v>533</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533</v>
      </c>
    </row>
    <row r="830" spans="1:24" ht="11.25" customHeight="1">
      <c r="A830" s="878">
        <v>38</v>
      </c>
      <c r="B830" s="141" t="s">
        <v>681</v>
      </c>
      <c r="C830" s="1290" t="str">
        <f>IF(O833="","",IF(LEN(O833)&lt;=135,O833,IF(LEN(O833)&lt;=260,LEFT(O833,SEARCH(" ",O833,125)),LEFT(O833,SEARCH(" ",O833,130)))))</f>
        <v/>
      </c>
      <c r="D830" s="59"/>
      <c r="E830" s="59"/>
      <c r="F830" s="59"/>
      <c r="G830" s="59"/>
      <c r="H830" s="59"/>
      <c r="I830" s="59"/>
      <c r="J830" s="59"/>
      <c r="K830" s="83"/>
      <c r="L830" s="981" t="s">
        <v>533</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533</v>
      </c>
    </row>
    <row r="831" spans="1:24" ht="11.25" customHeight="1">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533</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533</v>
      </c>
    </row>
    <row r="832" spans="1:24" ht="11.25" customHeight="1">
      <c r="A832" s="878">
        <v>40</v>
      </c>
      <c r="B832" s="150"/>
      <c r="C832" s="1290" t="str">
        <f>IF(LEN(O833)&lt;=265,"",RIGHT(O833,LEN(O833)-SEARCH(" ",O833,255)))</f>
        <v/>
      </c>
      <c r="D832" s="59"/>
      <c r="E832" s="59"/>
      <c r="F832" s="59"/>
      <c r="G832" s="59"/>
      <c r="H832" s="59"/>
      <c r="I832" s="59"/>
      <c r="J832" s="59"/>
      <c r="K832" s="83"/>
      <c r="L832" s="981" t="s">
        <v>533</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533</v>
      </c>
    </row>
    <row r="833" spans="1:24" ht="11.25" customHeight="1">
      <c r="A833" s="878">
        <v>41</v>
      </c>
      <c r="B833" s="150"/>
      <c r="C833" s="1290" t="str">
        <f>IF(O836="","",IF(LEN(O836)&lt;=135,O836,IF(LEN(O836)&lt;=260,LEFT(O836,SEARCH(" ",O836,125)),LEFT(O836,SEARCH(" ",O836,130)))))</f>
        <v/>
      </c>
      <c r="D833" s="59"/>
      <c r="E833" s="59"/>
      <c r="F833" s="59"/>
      <c r="G833" s="59"/>
      <c r="H833" s="59"/>
      <c r="I833" s="59"/>
      <c r="J833" s="59"/>
      <c r="K833" s="83"/>
      <c r="L833" s="981" t="s">
        <v>533</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533</v>
      </c>
    </row>
    <row r="834" spans="1:24" ht="11.25" customHeight="1">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533</v>
      </c>
      <c r="M834" s="150"/>
      <c r="N834" s="60"/>
      <c r="O834" s="62"/>
      <c r="P834" s="60" t="s">
        <v>172</v>
      </c>
      <c r="Q834" s="60"/>
      <c r="R834" s="148" t="str">
        <f t="shared" si="135"/>
        <v/>
      </c>
      <c r="S834" s="352" t="str">
        <f t="shared" si="136"/>
        <v/>
      </c>
      <c r="T834" s="402" t="str">
        <f t="shared" si="131"/>
        <v/>
      </c>
      <c r="U834" s="1057" t="str">
        <f t="shared" si="132"/>
        <v/>
      </c>
      <c r="V834" s="1057" t="str">
        <f t="shared" si="133"/>
        <v/>
      </c>
      <c r="W834" s="1058" t="str">
        <f t="shared" si="134"/>
        <v/>
      </c>
      <c r="X834" s="962" t="s">
        <v>533</v>
      </c>
    </row>
    <row r="835" spans="1:24" ht="11.25" customHeight="1">
      <c r="A835" s="878">
        <v>43</v>
      </c>
      <c r="B835" s="150"/>
      <c r="C835" s="1290" t="str">
        <f>IF(LEN(O836)&lt;=265,"",RIGHT(O836,LEN(O836)-SEARCH(" ",O836,255)))</f>
        <v/>
      </c>
      <c r="D835" s="59"/>
      <c r="E835" s="59"/>
      <c r="F835" s="59"/>
      <c r="G835" s="59"/>
      <c r="H835" s="59"/>
      <c r="I835" s="59"/>
      <c r="J835" s="59"/>
      <c r="K835" s="83"/>
      <c r="L835" s="981" t="s">
        <v>533</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533</v>
      </c>
    </row>
    <row r="836" spans="1:24" ht="11.25" customHeight="1">
      <c r="A836" s="878">
        <v>44</v>
      </c>
      <c r="B836" s="159"/>
      <c r="C836" s="67"/>
      <c r="D836" s="67"/>
      <c r="E836" s="67"/>
      <c r="F836" s="67"/>
      <c r="G836" s="67"/>
      <c r="H836" s="67"/>
      <c r="I836" s="67"/>
      <c r="J836" s="67"/>
      <c r="K836" s="83"/>
      <c r="L836" s="981" t="s">
        <v>533</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533</v>
      </c>
    </row>
    <row r="837" spans="1:24" ht="11.25" customHeight="1">
      <c r="A837" s="878">
        <v>45</v>
      </c>
      <c r="B837" s="150"/>
      <c r="C837" s="468" t="s">
        <v>173</v>
      </c>
      <c r="D837" s="60"/>
      <c r="E837" s="60"/>
      <c r="F837" s="60"/>
      <c r="G837" s="60"/>
      <c r="H837" s="60"/>
      <c r="I837" s="60"/>
      <c r="J837" s="60"/>
      <c r="K837" s="83"/>
      <c r="L837" s="981" t="s">
        <v>533</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533</v>
      </c>
    </row>
    <row r="838" spans="1:24" ht="11.25" customHeight="1">
      <c r="A838" s="878">
        <v>46</v>
      </c>
      <c r="B838" s="159"/>
      <c r="C838" s="60" t="s">
        <v>585</v>
      </c>
      <c r="D838" s="60"/>
      <c r="E838" s="60"/>
      <c r="F838" s="60"/>
      <c r="G838" s="60" t="s">
        <v>585</v>
      </c>
      <c r="H838" s="60"/>
      <c r="I838" s="60"/>
      <c r="J838" s="67"/>
      <c r="K838" s="83"/>
      <c r="L838" s="981" t="s">
        <v>533</v>
      </c>
      <c r="M838" s="150"/>
      <c r="N838" s="468" t="s">
        <v>173</v>
      </c>
      <c r="O838" s="60"/>
      <c r="P838" s="60"/>
      <c r="Q838" s="60"/>
      <c r="R838" s="60"/>
      <c r="S838" s="60"/>
      <c r="T838" s="60"/>
      <c r="U838" s="60"/>
      <c r="V838" s="60"/>
      <c r="W838" s="83"/>
      <c r="X838" s="962" t="s">
        <v>533</v>
      </c>
    </row>
    <row r="839" spans="1:24" ht="11.25" customHeight="1">
      <c r="A839" s="878">
        <v>47</v>
      </c>
      <c r="B839" s="159"/>
      <c r="C839" s="59" t="s">
        <v>174</v>
      </c>
      <c r="D839" s="288" t="s">
        <v>175</v>
      </c>
      <c r="E839" s="288" t="s">
        <v>176</v>
      </c>
      <c r="F839" s="60"/>
      <c r="G839" s="59" t="s">
        <v>174</v>
      </c>
      <c r="H839" s="288" t="s">
        <v>704</v>
      </c>
      <c r="I839" s="288" t="s">
        <v>176</v>
      </c>
      <c r="J839" s="60"/>
      <c r="K839" s="83"/>
      <c r="L839" s="981" t="s">
        <v>533</v>
      </c>
      <c r="M839" s="150"/>
      <c r="N839" s="60" t="s">
        <v>585</v>
      </c>
      <c r="O839" s="60"/>
      <c r="P839" s="60"/>
      <c r="Q839" s="60"/>
      <c r="R839" s="60" t="s">
        <v>585</v>
      </c>
      <c r="S839" s="60"/>
      <c r="T839" s="60"/>
      <c r="U839" s="60"/>
      <c r="V839" s="60"/>
      <c r="W839" s="83"/>
      <c r="X839" s="962" t="s">
        <v>533</v>
      </c>
    </row>
    <row r="840" spans="1:24" ht="11.25" customHeight="1">
      <c r="A840" s="878">
        <v>48</v>
      </c>
      <c r="B840" s="125"/>
      <c r="C840" s="60" t="s">
        <v>177</v>
      </c>
      <c r="D840" s="289" t="s">
        <v>1182</v>
      </c>
      <c r="E840" s="302">
        <v>0</v>
      </c>
      <c r="F840" s="62" t="s">
        <v>178</v>
      </c>
      <c r="G840" s="60" t="s">
        <v>179</v>
      </c>
      <c r="H840" s="289" t="s">
        <v>180</v>
      </c>
      <c r="I840" s="303">
        <v>0.15</v>
      </c>
      <c r="J840" s="60"/>
      <c r="K840" s="83"/>
      <c r="L840" s="981" t="s">
        <v>533</v>
      </c>
      <c r="M840" s="150"/>
      <c r="N840" s="59" t="s">
        <v>174</v>
      </c>
      <c r="O840" s="288" t="s">
        <v>175</v>
      </c>
      <c r="P840" s="288" t="s">
        <v>176</v>
      </c>
      <c r="Q840" s="60"/>
      <c r="R840" s="59" t="s">
        <v>174</v>
      </c>
      <c r="S840" s="288" t="s">
        <v>704</v>
      </c>
      <c r="T840" s="288" t="s">
        <v>176</v>
      </c>
      <c r="U840" s="60"/>
      <c r="V840" s="60"/>
      <c r="W840" s="83"/>
      <c r="X840" s="962" t="s">
        <v>533</v>
      </c>
    </row>
    <row r="841" spans="1:24" ht="11.25" customHeight="1">
      <c r="A841" s="878">
        <v>49</v>
      </c>
      <c r="B841" s="150"/>
      <c r="C841" s="60"/>
      <c r="D841" s="289" t="s">
        <v>1183</v>
      </c>
      <c r="E841" s="302">
        <v>1</v>
      </c>
      <c r="F841" s="62" t="s">
        <v>178</v>
      </c>
      <c r="G841" s="60"/>
      <c r="H841" s="304" t="s">
        <v>181</v>
      </c>
      <c r="I841" s="303">
        <v>0.1</v>
      </c>
      <c r="J841" s="60"/>
      <c r="K841" s="83"/>
      <c r="L841" s="981" t="s">
        <v>533</v>
      </c>
      <c r="M841" s="150"/>
      <c r="N841" s="60" t="s">
        <v>177</v>
      </c>
      <c r="O841" s="289" t="s">
        <v>1182</v>
      </c>
      <c r="P841" s="302">
        <v>0</v>
      </c>
      <c r="Q841" s="62" t="s">
        <v>178</v>
      </c>
      <c r="R841" s="60" t="s">
        <v>179</v>
      </c>
      <c r="S841" s="289" t="s">
        <v>180</v>
      </c>
      <c r="T841" s="303">
        <v>0.15</v>
      </c>
      <c r="U841" s="60"/>
      <c r="V841" s="60"/>
      <c r="W841" s="83"/>
      <c r="X841" s="962" t="s">
        <v>533</v>
      </c>
    </row>
    <row r="842" spans="1:24" ht="11.25" customHeight="1">
      <c r="A842" s="878">
        <v>50</v>
      </c>
      <c r="B842" s="150"/>
      <c r="C842" s="60"/>
      <c r="D842" s="289" t="s">
        <v>1180</v>
      </c>
      <c r="E842" s="302">
        <v>2</v>
      </c>
      <c r="F842" s="62" t="s">
        <v>178</v>
      </c>
      <c r="G842" s="60"/>
      <c r="H842" s="289" t="s">
        <v>182</v>
      </c>
      <c r="I842" s="303">
        <v>0.05</v>
      </c>
      <c r="J842" s="60"/>
      <c r="K842" s="83"/>
      <c r="L842" s="981" t="s">
        <v>533</v>
      </c>
      <c r="M842" s="150"/>
      <c r="N842" s="60"/>
      <c r="O842" s="289" t="s">
        <v>1183</v>
      </c>
      <c r="P842" s="302">
        <v>1</v>
      </c>
      <c r="Q842" s="62" t="s">
        <v>1179</v>
      </c>
      <c r="R842" s="60"/>
      <c r="S842" s="304" t="s">
        <v>181</v>
      </c>
      <c r="T842" s="303">
        <v>0.1</v>
      </c>
      <c r="U842" s="60"/>
      <c r="V842" s="60"/>
      <c r="W842" s="83"/>
      <c r="X842" s="962" t="s">
        <v>533</v>
      </c>
    </row>
    <row r="843" spans="1:24" ht="11.25" customHeight="1">
      <c r="A843" s="878">
        <v>51</v>
      </c>
      <c r="B843" s="150"/>
      <c r="C843" s="59"/>
      <c r="D843" s="288" t="s">
        <v>1181</v>
      </c>
      <c r="E843" s="298">
        <v>3</v>
      </c>
      <c r="F843" s="62" t="s">
        <v>178</v>
      </c>
      <c r="G843" s="89" t="s">
        <v>183</v>
      </c>
      <c r="H843" s="306" t="s">
        <v>180</v>
      </c>
      <c r="I843" s="307">
        <v>0.2</v>
      </c>
      <c r="J843" s="60"/>
      <c r="K843" s="83"/>
      <c r="L843" s="981" t="s">
        <v>533</v>
      </c>
      <c r="M843" s="150"/>
      <c r="N843" s="60"/>
      <c r="O843" s="289" t="s">
        <v>1180</v>
      </c>
      <c r="P843" s="302">
        <v>2</v>
      </c>
      <c r="Q843" s="62" t="s">
        <v>178</v>
      </c>
      <c r="R843" s="60"/>
      <c r="S843" s="289" t="s">
        <v>182</v>
      </c>
      <c r="T843" s="303">
        <v>0.05</v>
      </c>
      <c r="U843" s="60"/>
      <c r="V843" s="60"/>
      <c r="W843" s="83"/>
      <c r="X843" s="962" t="s">
        <v>533</v>
      </c>
    </row>
    <row r="844" spans="1:24" ht="11.25" customHeight="1">
      <c r="A844" s="878">
        <v>52</v>
      </c>
      <c r="B844" s="150"/>
      <c r="C844" s="60" t="s">
        <v>184</v>
      </c>
      <c r="D844" s="289" t="s">
        <v>180</v>
      </c>
      <c r="E844" s="303">
        <v>0.25</v>
      </c>
      <c r="F844" s="60"/>
      <c r="G844" s="60"/>
      <c r="H844" s="304" t="s">
        <v>181</v>
      </c>
      <c r="I844" s="303">
        <v>0.15</v>
      </c>
      <c r="J844" s="60"/>
      <c r="K844" s="83"/>
      <c r="L844" s="981" t="s">
        <v>533</v>
      </c>
      <c r="M844" s="150"/>
      <c r="N844" s="59"/>
      <c r="O844" s="288" t="s">
        <v>1181</v>
      </c>
      <c r="P844" s="298">
        <v>3</v>
      </c>
      <c r="Q844" s="62" t="s">
        <v>178</v>
      </c>
      <c r="R844" s="89" t="s">
        <v>183</v>
      </c>
      <c r="S844" s="306" t="s">
        <v>180</v>
      </c>
      <c r="T844" s="307">
        <v>0.2</v>
      </c>
      <c r="U844" s="60"/>
      <c r="V844" s="60"/>
      <c r="W844" s="83"/>
      <c r="X844" s="962" t="s">
        <v>533</v>
      </c>
    </row>
    <row r="845" spans="1:24" ht="11.25" customHeight="1">
      <c r="A845" s="878">
        <v>53</v>
      </c>
      <c r="B845" s="150"/>
      <c r="C845" s="60"/>
      <c r="D845" s="304" t="s">
        <v>185</v>
      </c>
      <c r="E845" s="303">
        <v>0.2</v>
      </c>
      <c r="F845" s="60"/>
      <c r="G845" s="60"/>
      <c r="H845" s="304" t="s">
        <v>186</v>
      </c>
      <c r="I845" s="303">
        <v>0.1</v>
      </c>
      <c r="J845" s="60"/>
      <c r="K845" s="83"/>
      <c r="L845" s="981" t="s">
        <v>533</v>
      </c>
      <c r="M845" s="150"/>
      <c r="N845" s="60" t="s">
        <v>184</v>
      </c>
      <c r="O845" s="289" t="s">
        <v>180</v>
      </c>
      <c r="P845" s="303">
        <v>0.25</v>
      </c>
      <c r="Q845" s="60"/>
      <c r="R845" s="60"/>
      <c r="S845" s="304" t="s">
        <v>181</v>
      </c>
      <c r="T845" s="303">
        <v>0.15</v>
      </c>
      <c r="U845" s="60"/>
      <c r="V845" s="60"/>
      <c r="W845" s="83"/>
      <c r="X845" s="962" t="s">
        <v>533</v>
      </c>
    </row>
    <row r="846" spans="1:24" ht="11.25" customHeight="1">
      <c r="A846" s="878">
        <v>54</v>
      </c>
      <c r="B846" s="150"/>
      <c r="C846" s="60"/>
      <c r="D846" s="304" t="s">
        <v>187</v>
      </c>
      <c r="E846" s="303">
        <v>0.15</v>
      </c>
      <c r="F846" s="60"/>
      <c r="G846" s="60"/>
      <c r="H846" s="289" t="s">
        <v>188</v>
      </c>
      <c r="I846" s="303">
        <v>0.05</v>
      </c>
      <c r="J846" s="60"/>
      <c r="K846" s="83"/>
      <c r="L846" s="981" t="s">
        <v>533</v>
      </c>
      <c r="M846" s="150"/>
      <c r="N846" s="60"/>
      <c r="O846" s="304" t="s">
        <v>185</v>
      </c>
      <c r="P846" s="303">
        <v>0.2</v>
      </c>
      <c r="Q846" s="60"/>
      <c r="R846" s="60"/>
      <c r="S846" s="304" t="s">
        <v>186</v>
      </c>
      <c r="T846" s="303">
        <v>0.1</v>
      </c>
      <c r="U846" s="60"/>
      <c r="V846" s="60"/>
      <c r="W846" s="83"/>
      <c r="X846" s="962" t="s">
        <v>533</v>
      </c>
    </row>
    <row r="847" spans="1:24" ht="11.25" customHeight="1">
      <c r="A847" s="878">
        <v>55</v>
      </c>
      <c r="B847" s="150"/>
      <c r="C847" s="60"/>
      <c r="D847" s="304" t="s">
        <v>189</v>
      </c>
      <c r="E847" s="303">
        <v>0.1</v>
      </c>
      <c r="F847" s="60"/>
      <c r="G847" s="60"/>
      <c r="H847" s="60"/>
      <c r="I847" s="60"/>
      <c r="J847" s="60"/>
      <c r="K847" s="83"/>
      <c r="L847" s="981" t="s">
        <v>533</v>
      </c>
      <c r="M847" s="150"/>
      <c r="N847" s="60"/>
      <c r="O847" s="304" t="s">
        <v>187</v>
      </c>
      <c r="P847" s="303">
        <v>0.15</v>
      </c>
      <c r="Q847" s="60"/>
      <c r="R847" s="60"/>
      <c r="S847" s="289" t="s">
        <v>188</v>
      </c>
      <c r="T847" s="303">
        <v>0.05</v>
      </c>
      <c r="U847" s="60"/>
      <c r="V847" s="60"/>
      <c r="W847" s="83"/>
      <c r="X847" s="962" t="s">
        <v>533</v>
      </c>
    </row>
    <row r="848" spans="1:24" ht="11.25" customHeight="1">
      <c r="A848" s="878">
        <v>56</v>
      </c>
      <c r="B848" s="150"/>
      <c r="C848" s="60"/>
      <c r="D848" s="289" t="s">
        <v>188</v>
      </c>
      <c r="E848" s="303">
        <v>0.05</v>
      </c>
      <c r="F848" s="60"/>
      <c r="G848" s="60"/>
      <c r="H848" s="60"/>
      <c r="I848" s="60"/>
      <c r="J848" s="60"/>
      <c r="K848" s="83"/>
      <c r="L848" s="981" t="s">
        <v>533</v>
      </c>
      <c r="M848" s="150"/>
      <c r="N848" s="60"/>
      <c r="O848" s="304" t="s">
        <v>189</v>
      </c>
      <c r="P848" s="303">
        <v>0.1</v>
      </c>
      <c r="Q848" s="60"/>
      <c r="R848" s="60"/>
      <c r="S848" s="60"/>
      <c r="T848" s="60"/>
      <c r="U848" s="60"/>
      <c r="V848" s="60"/>
      <c r="W848" s="83"/>
      <c r="X848" s="962" t="s">
        <v>533</v>
      </c>
    </row>
    <row r="849" spans="1:24" ht="11.25" customHeight="1">
      <c r="A849" s="878">
        <v>57</v>
      </c>
      <c r="B849" s="150"/>
      <c r="C849" s="60" t="s">
        <v>190</v>
      </c>
      <c r="D849" s="289" t="s">
        <v>191</v>
      </c>
      <c r="E849" s="783" t="s">
        <v>193</v>
      </c>
      <c r="F849" s="62" t="s">
        <v>178</v>
      </c>
      <c r="G849" s="67"/>
      <c r="H849" s="67"/>
      <c r="I849" s="67"/>
      <c r="J849" s="60"/>
      <c r="K849" s="83"/>
      <c r="L849" s="981" t="s">
        <v>533</v>
      </c>
      <c r="M849" s="150"/>
      <c r="N849" s="59"/>
      <c r="O849" s="288" t="s">
        <v>188</v>
      </c>
      <c r="P849" s="305">
        <v>0.05</v>
      </c>
      <c r="Q849" s="60"/>
      <c r="R849" s="60"/>
      <c r="S849" s="60"/>
      <c r="T849" s="60"/>
      <c r="U849" s="60"/>
      <c r="V849" s="60"/>
      <c r="W849" s="83"/>
      <c r="X849" s="962" t="s">
        <v>533</v>
      </c>
    </row>
    <row r="850" spans="1:24" ht="11.25" customHeight="1">
      <c r="A850" s="878">
        <v>58</v>
      </c>
      <c r="B850" s="150"/>
      <c r="C850" s="59"/>
      <c r="D850" s="288" t="s">
        <v>191</v>
      </c>
      <c r="E850" s="782" t="s">
        <v>212</v>
      </c>
      <c r="F850" s="60"/>
      <c r="G850" s="67"/>
      <c r="H850" s="67"/>
      <c r="I850" s="67"/>
      <c r="J850" s="60"/>
      <c r="K850" s="83"/>
      <c r="L850" s="981" t="s">
        <v>533</v>
      </c>
      <c r="M850" s="150"/>
      <c r="N850" s="60" t="s">
        <v>190</v>
      </c>
      <c r="O850" s="289" t="s">
        <v>191</v>
      </c>
      <c r="P850" s="783" t="s">
        <v>192</v>
      </c>
      <c r="Q850" s="62" t="s">
        <v>178</v>
      </c>
      <c r="R850" s="60"/>
      <c r="S850" s="60"/>
      <c r="T850" s="60"/>
      <c r="U850" s="60"/>
      <c r="V850" s="60"/>
      <c r="W850" s="83"/>
      <c r="X850" s="962" t="s">
        <v>533</v>
      </c>
    </row>
    <row r="851" spans="1:24" ht="11.25" customHeight="1" thickBot="1">
      <c r="A851" s="878">
        <v>59</v>
      </c>
      <c r="B851" s="168"/>
      <c r="C851" s="87"/>
      <c r="D851" s="87"/>
      <c r="E851" s="87"/>
      <c r="F851" s="87"/>
      <c r="G851" s="87"/>
      <c r="H851" s="87"/>
      <c r="I851" s="87"/>
      <c r="J851" s="87"/>
      <c r="K851" s="88"/>
      <c r="L851" s="981" t="s">
        <v>533</v>
      </c>
      <c r="M851" s="150"/>
      <c r="N851" s="59"/>
      <c r="O851" s="288" t="s">
        <v>191</v>
      </c>
      <c r="P851" s="782" t="s">
        <v>194</v>
      </c>
      <c r="Q851" s="60"/>
      <c r="R851" s="60"/>
      <c r="S851" s="60"/>
      <c r="T851" s="60"/>
      <c r="U851" s="60"/>
      <c r="V851" s="60"/>
      <c r="W851" s="83"/>
      <c r="X851" s="962" t="s">
        <v>533</v>
      </c>
    </row>
    <row r="852" spans="1:24" ht="11.25" customHeight="1" thickTop="1">
      <c r="A852" s="878">
        <v>60</v>
      </c>
      <c r="L852" s="981" t="s">
        <v>533</v>
      </c>
      <c r="M852" s="150"/>
      <c r="N852" s="60"/>
      <c r="O852" s="60"/>
      <c r="P852" s="60"/>
      <c r="Q852" s="60"/>
      <c r="R852" s="60"/>
      <c r="S852" s="60"/>
      <c r="T852" s="60"/>
      <c r="U852" s="60"/>
      <c r="V852" s="60"/>
      <c r="W852" s="83"/>
      <c r="X852" s="962" t="s">
        <v>533</v>
      </c>
    </row>
    <row r="853" spans="1:24" ht="11.25" customHeight="1" thickBot="1">
      <c r="A853" s="878">
        <v>61</v>
      </c>
      <c r="L853" s="981" t="s">
        <v>533</v>
      </c>
      <c r="M853" s="168"/>
      <c r="N853" s="87"/>
      <c r="O853" s="87"/>
      <c r="P853" s="87"/>
      <c r="Q853" s="87"/>
      <c r="R853" s="87"/>
      <c r="S853" s="87"/>
      <c r="T853" s="87"/>
      <c r="U853" s="87"/>
      <c r="V853" s="87"/>
      <c r="W853" s="88"/>
      <c r="X853" s="962" t="s">
        <v>533</v>
      </c>
    </row>
    <row r="854" spans="1:24" ht="11.25" customHeight="1" thickTop="1">
      <c r="A854" s="878">
        <v>62</v>
      </c>
      <c r="B854" s="144"/>
      <c r="C854" s="144"/>
      <c r="D854" s="144"/>
      <c r="E854" s="144"/>
      <c r="F854" s="144"/>
      <c r="G854" s="144"/>
      <c r="H854" s="144"/>
      <c r="I854" s="144"/>
      <c r="J854" s="144"/>
      <c r="K854" s="144"/>
      <c r="L854" s="981" t="s">
        <v>533</v>
      </c>
      <c r="M854" s="144"/>
      <c r="N854" s="144"/>
      <c r="O854" s="144"/>
      <c r="P854" s="144"/>
      <c r="Q854" s="144"/>
      <c r="R854" s="144"/>
      <c r="S854" s="144"/>
      <c r="T854" s="144"/>
      <c r="U854" s="144"/>
      <c r="V854" s="144"/>
      <c r="W854" s="144"/>
      <c r="X854" s="962" t="s">
        <v>533</v>
      </c>
    </row>
    <row r="855" spans="1:24" ht="11.25" customHeight="1">
      <c r="A855" s="878">
        <v>63</v>
      </c>
      <c r="B855" s="144"/>
      <c r="C855" s="144"/>
      <c r="D855" s="144"/>
      <c r="E855" s="144"/>
      <c r="F855" s="144"/>
      <c r="G855" s="144"/>
      <c r="H855" s="144"/>
      <c r="I855" s="144"/>
      <c r="J855" s="144"/>
      <c r="K855" s="144"/>
      <c r="L855" s="981" t="s">
        <v>533</v>
      </c>
      <c r="M855" s="144"/>
      <c r="N855" s="144"/>
      <c r="O855" s="144"/>
      <c r="P855" s="144"/>
      <c r="Q855" s="144"/>
      <c r="R855" s="144"/>
      <c r="S855" s="144"/>
      <c r="T855" s="144"/>
      <c r="U855" s="144"/>
      <c r="V855" s="144"/>
      <c r="W855" s="144"/>
      <c r="X855" s="962" t="s">
        <v>533</v>
      </c>
    </row>
    <row r="856" spans="1:24" ht="11.25" customHeight="1">
      <c r="A856" s="878">
        <v>64</v>
      </c>
      <c r="B856" s="144"/>
      <c r="C856" s="144"/>
      <c r="D856" s="144"/>
      <c r="E856" s="144"/>
      <c r="F856" s="144"/>
      <c r="G856" s="144"/>
      <c r="H856" s="144"/>
      <c r="I856" s="144"/>
      <c r="J856" s="144"/>
      <c r="K856" s="144"/>
      <c r="L856" s="981" t="s">
        <v>533</v>
      </c>
      <c r="M856" s="144"/>
      <c r="N856" s="144"/>
      <c r="O856" s="144"/>
      <c r="P856" s="144"/>
      <c r="Q856" s="144"/>
      <c r="R856" s="144"/>
      <c r="S856" s="144"/>
      <c r="T856" s="144"/>
      <c r="U856" s="144"/>
      <c r="V856" s="144"/>
      <c r="W856" s="144"/>
      <c r="X856" s="962" t="s">
        <v>533</v>
      </c>
    </row>
    <row r="857" spans="1:24" ht="11.25" customHeight="1">
      <c r="A857" s="878">
        <v>65</v>
      </c>
      <c r="B857" s="64" t="str">
        <f t="array" ref="B857:C858">$B$65:$C$66</f>
        <v>Date:</v>
      </c>
      <c r="C857" s="1467">
        <v>43039</v>
      </c>
      <c r="D857" s="144"/>
      <c r="E857" s="144"/>
      <c r="F857" s="144"/>
      <c r="G857" s="144"/>
      <c r="H857" s="144"/>
      <c r="I857" s="64" t="str">
        <f t="array" ref="I857:J858">$I$65:$J$66</f>
        <v>Inspector:</v>
      </c>
      <c r="J857" s="565" t="str">
        <v>Eugene Mah</v>
      </c>
      <c r="L857" s="981" t="s">
        <v>533</v>
      </c>
      <c r="M857" s="144"/>
      <c r="N857" s="144"/>
      <c r="O857" s="144"/>
      <c r="P857" s="144"/>
      <c r="Q857" s="144"/>
      <c r="R857" s="144"/>
      <c r="S857" s="144"/>
      <c r="T857" s="144"/>
      <c r="U857" s="144"/>
      <c r="V857" s="144"/>
      <c r="W857" s="144"/>
      <c r="X857" s="962" t="s">
        <v>533</v>
      </c>
    </row>
    <row r="858" spans="1:24" ht="11.25" customHeight="1">
      <c r="A858" s="878">
        <v>66</v>
      </c>
      <c r="B858" s="64" t="str">
        <v>Room Number:</v>
      </c>
      <c r="C858" s="508" t="str">
        <v>Room 04 RT 127M - Tube 1</v>
      </c>
      <c r="D858" s="144"/>
      <c r="E858" s="144"/>
      <c r="F858" s="144"/>
      <c r="G858" s="144"/>
      <c r="H858" s="144"/>
      <c r="I858" s="64" t="str">
        <v>Survey ID:</v>
      </c>
      <c r="J858" s="1475">
        <v>1976</v>
      </c>
      <c r="L858" s="981" t="s">
        <v>533</v>
      </c>
      <c r="M858" s="144"/>
      <c r="N858" s="144"/>
      <c r="O858" s="144"/>
      <c r="P858" s="144"/>
      <c r="Q858" s="144"/>
      <c r="R858" s="144"/>
      <c r="S858" s="144"/>
      <c r="T858" s="144"/>
      <c r="U858" s="144"/>
      <c r="V858" s="144"/>
      <c r="W858" s="144"/>
      <c r="X858" s="962" t="s">
        <v>533</v>
      </c>
    </row>
    <row r="859" spans="1:24" ht="11.25" customHeight="1">
      <c r="A859" s="878">
        <v>1</v>
      </c>
      <c r="K859" s="165" t="str">
        <f>$F$2</f>
        <v>Medical University of South Carolina</v>
      </c>
      <c r="L859" s="981" t="s">
        <v>533</v>
      </c>
      <c r="W859" s="165" t="str">
        <f>$F$2</f>
        <v>Medical University of South Carolina</v>
      </c>
      <c r="X859" s="962" t="s">
        <v>533</v>
      </c>
    </row>
    <row r="860" spans="1:24" ht="11.25" customHeight="1">
      <c r="A860" s="878">
        <v>2</v>
      </c>
      <c r="F860" s="344" t="str">
        <f>$F$464</f>
        <v>Measurement Data</v>
      </c>
      <c r="K860" s="166" t="str">
        <f>$F$5</f>
        <v>Radiographic System Compliance Inspection</v>
      </c>
      <c r="L860" s="981" t="s">
        <v>533</v>
      </c>
      <c r="R860" s="344" t="str">
        <f>$F$464</f>
        <v>Measurement Data</v>
      </c>
      <c r="W860" s="166" t="str">
        <f>$F$5</f>
        <v>Radiographic System Compliance Inspection</v>
      </c>
      <c r="X860" s="962" t="s">
        <v>533</v>
      </c>
    </row>
    <row r="861" spans="1:24" ht="11.25" customHeight="1" thickBot="1">
      <c r="A861" s="878">
        <v>3</v>
      </c>
      <c r="L861" s="981" t="s">
        <v>533</v>
      </c>
      <c r="X861" s="962" t="s">
        <v>533</v>
      </c>
    </row>
    <row r="862" spans="1:24" ht="11.25" customHeight="1" thickTop="1">
      <c r="A862" s="878">
        <v>4</v>
      </c>
      <c r="B862" s="93"/>
      <c r="C862" s="76"/>
      <c r="D862" s="76"/>
      <c r="E862" s="76"/>
      <c r="F862" s="76"/>
      <c r="G862" s="76"/>
      <c r="H862" s="76"/>
      <c r="I862" s="76"/>
      <c r="J862" s="76"/>
      <c r="K862" s="94"/>
      <c r="L862" s="981" t="s">
        <v>533</v>
      </c>
      <c r="M862" s="93"/>
      <c r="N862" s="76"/>
      <c r="O862" s="76"/>
      <c r="P862" s="76"/>
      <c r="Q862" s="76"/>
      <c r="R862" s="76"/>
      <c r="S862" s="76"/>
      <c r="T862" s="76"/>
      <c r="U862" s="76"/>
      <c r="V862" s="76"/>
      <c r="W862" s="94"/>
      <c r="X862" s="962" t="s">
        <v>533</v>
      </c>
    </row>
    <row r="863" spans="1:24" ht="11.25" customHeight="1">
      <c r="A863" s="878">
        <v>5</v>
      </c>
      <c r="B863" s="159"/>
      <c r="C863" s="66" t="s">
        <v>85</v>
      </c>
      <c r="D863" s="73" t="str">
        <f>IF($O$687="","",$O$687)</f>
        <v>Barracuda BC1-051100117</v>
      </c>
      <c r="E863" s="59"/>
      <c r="F863" s="59"/>
      <c r="G863" s="67"/>
      <c r="H863" s="67"/>
      <c r="I863" s="67"/>
      <c r="J863" s="67"/>
      <c r="K863" s="85"/>
      <c r="L863" s="981" t="s">
        <v>533</v>
      </c>
      <c r="M863" s="212"/>
      <c r="N863" s="66" t="s">
        <v>85</v>
      </c>
      <c r="O863" s="73" t="str">
        <f>IF($O$687="","",$O$687)</f>
        <v>Barracuda BC1-051100117</v>
      </c>
      <c r="P863" s="59"/>
      <c r="Q863" s="59"/>
      <c r="R863" s="67"/>
      <c r="S863" s="67"/>
      <c r="T863" s="3"/>
      <c r="U863" s="3"/>
      <c r="V863" s="3"/>
      <c r="W863" s="45"/>
      <c r="X863" s="962" t="s">
        <v>533</v>
      </c>
    </row>
    <row r="864" spans="1:24" ht="11.25" customHeight="1">
      <c r="A864" s="878">
        <v>6</v>
      </c>
      <c r="B864" s="159"/>
      <c r="C864" s="67"/>
      <c r="D864" s="67"/>
      <c r="E864" s="67"/>
      <c r="F864" s="67"/>
      <c r="G864" s="67"/>
      <c r="H864" s="67"/>
      <c r="I864" s="67"/>
      <c r="J864" s="67"/>
      <c r="K864" s="85"/>
      <c r="L864" s="981" t="s">
        <v>533</v>
      </c>
      <c r="M864" s="56"/>
      <c r="N864" s="3"/>
      <c r="O864" s="43"/>
      <c r="P864" s="3"/>
      <c r="Q864" s="3"/>
      <c r="R864" s="3"/>
      <c r="S864" s="3"/>
      <c r="T864" s="3"/>
      <c r="U864" s="3"/>
      <c r="V864" s="3"/>
      <c r="W864" s="45"/>
      <c r="X864" s="962" t="s">
        <v>533</v>
      </c>
    </row>
    <row r="865" spans="1:24" ht="11.25" customHeight="1">
      <c r="A865" s="878">
        <v>7</v>
      </c>
      <c r="B865" s="159"/>
      <c r="C865" s="65"/>
      <c r="D865" s="67"/>
      <c r="E865" s="67"/>
      <c r="F865" s="67"/>
      <c r="G865" s="67"/>
      <c r="H865" s="67"/>
      <c r="I865" s="67"/>
      <c r="J865" s="67"/>
      <c r="K865" s="85"/>
      <c r="L865" s="981" t="s">
        <v>533</v>
      </c>
      <c r="M865" s="395" t="s">
        <v>790</v>
      </c>
      <c r="N865" s="65"/>
      <c r="O865" s="65"/>
      <c r="P865" s="67"/>
      <c r="Q865" s="67"/>
      <c r="R865" s="67"/>
      <c r="S865" s="67"/>
      <c r="T865" s="67"/>
      <c r="U865" s="67"/>
      <c r="V865" s="67"/>
      <c r="W865" s="85"/>
      <c r="X865" s="962" t="s">
        <v>533</v>
      </c>
    </row>
    <row r="866" spans="1:24" ht="11.25" customHeight="1">
      <c r="A866" s="878">
        <v>8</v>
      </c>
      <c r="B866" s="466" t="s">
        <v>790</v>
      </c>
      <c r="C866" s="67"/>
      <c r="D866" s="67"/>
      <c r="E866" s="66" t="s">
        <v>735</v>
      </c>
      <c r="F866" s="286">
        <f>IF(Q870="","",Q870)</f>
        <v>80</v>
      </c>
      <c r="G866" s="66" t="s">
        <v>213</v>
      </c>
      <c r="H866" s="59" t="str">
        <f>IF(P870="","",P870)</f>
        <v>70-120/Low</v>
      </c>
      <c r="I866" s="67"/>
      <c r="J866" s="60"/>
      <c r="K866" s="83"/>
      <c r="L866" s="981" t="s">
        <v>533</v>
      </c>
      <c r="M866" s="150"/>
      <c r="N866" s="60"/>
      <c r="O866" s="60"/>
      <c r="P866" s="60"/>
      <c r="Q866" s="60"/>
      <c r="R866" s="60"/>
      <c r="S866" s="60"/>
      <c r="T866" s="60"/>
      <c r="U866" s="60"/>
      <c r="V866" s="60"/>
      <c r="W866" s="83"/>
      <c r="X866" s="962" t="s">
        <v>533</v>
      </c>
    </row>
    <row r="867" spans="1:24" ht="11.25" customHeight="1">
      <c r="A867" s="878">
        <v>9</v>
      </c>
      <c r="B867" s="150"/>
      <c r="C867" s="60"/>
      <c r="D867" s="60"/>
      <c r="E867" s="66" t="s">
        <v>138</v>
      </c>
      <c r="F867" s="59">
        <f>IF(N870="","",N870)</f>
        <v>60</v>
      </c>
      <c r="G867" s="62" t="str">
        <f>LFSDD</f>
        <v>cm</v>
      </c>
      <c r="H867" s="60"/>
      <c r="I867" s="60"/>
      <c r="J867" s="60" t="s">
        <v>214</v>
      </c>
      <c r="K867" s="83"/>
      <c r="L867" s="981" t="s">
        <v>533</v>
      </c>
      <c r="M867" s="150"/>
      <c r="N867" s="60"/>
      <c r="O867" s="60"/>
      <c r="P867" s="60"/>
      <c r="Q867" s="60"/>
      <c r="R867" s="60"/>
      <c r="S867" s="60"/>
      <c r="T867" s="60"/>
      <c r="U867" s="60"/>
      <c r="V867" s="60"/>
      <c r="W867" s="83"/>
      <c r="X867" s="962" t="s">
        <v>533</v>
      </c>
    </row>
    <row r="868" spans="1:24" ht="11.25" customHeight="1" thickBot="1">
      <c r="A868" s="878">
        <v>10</v>
      </c>
      <c r="B868" s="150" t="s">
        <v>121</v>
      </c>
      <c r="C868" s="145"/>
      <c r="D868" s="151" t="s">
        <v>126</v>
      </c>
      <c r="E868" s="150"/>
      <c r="F868" s="62" t="s">
        <v>127</v>
      </c>
      <c r="G868" s="60"/>
      <c r="H868" s="60"/>
      <c r="I868" s="60" t="s">
        <v>1229</v>
      </c>
      <c r="J868" s="145" t="s">
        <v>215</v>
      </c>
      <c r="K868" s="83"/>
      <c r="L868" s="981" t="s">
        <v>533</v>
      </c>
      <c r="M868" s="150" t="s">
        <v>638</v>
      </c>
      <c r="N868" s="289" t="s">
        <v>148</v>
      </c>
      <c r="O868" s="289" t="s">
        <v>123</v>
      </c>
      <c r="P868" s="289" t="s">
        <v>124</v>
      </c>
      <c r="Q868" s="60"/>
      <c r="R868" s="289"/>
      <c r="S868" s="151" t="s">
        <v>126</v>
      </c>
      <c r="T868" s="60"/>
      <c r="U868" s="62" t="s">
        <v>127</v>
      </c>
      <c r="V868" s="60"/>
      <c r="W868" s="83"/>
      <c r="X868" s="962" t="s">
        <v>533</v>
      </c>
    </row>
    <row r="869" spans="1:24" ht="11.25" customHeight="1" thickBot="1">
      <c r="A869" s="878">
        <v>11</v>
      </c>
      <c r="B869" s="292" t="s">
        <v>128</v>
      </c>
      <c r="C869" s="188" t="str">
        <f>IF(LFMAS="","mA/mAs",LFMAS)</f>
        <v>mA</v>
      </c>
      <c r="D869" s="299" t="s">
        <v>131</v>
      </c>
      <c r="E869" s="292" t="s">
        <v>132</v>
      </c>
      <c r="F869" s="175" t="s">
        <v>133</v>
      </c>
      <c r="G869" s="175" t="s">
        <v>131</v>
      </c>
      <c r="H869" s="175" t="s">
        <v>1228</v>
      </c>
      <c r="I869" s="308" t="s">
        <v>216</v>
      </c>
      <c r="J869" s="174" t="s">
        <v>102</v>
      </c>
      <c r="K869" s="373" t="s">
        <v>761</v>
      </c>
      <c r="L869" s="981" t="s">
        <v>533</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1228</v>
      </c>
      <c r="X869" s="962" t="s">
        <v>533</v>
      </c>
    </row>
    <row r="870" spans="1:24" ht="11.25" customHeight="1">
      <c r="A870" s="878">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218</v>
      </c>
      <c r="L870" s="981" t="s">
        <v>533</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533</v>
      </c>
    </row>
    <row r="871" spans="1:24" ht="11.25" customHeight="1" thickBot="1">
      <c r="A871" s="878">
        <v>13</v>
      </c>
      <c r="B871" s="292" t="s">
        <v>217</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533</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533</v>
      </c>
    </row>
    <row r="872" spans="1:24" ht="11.25" customHeight="1">
      <c r="A872" s="878">
        <v>14</v>
      </c>
      <c r="B872" s="130" t="s">
        <v>219</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533</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533</v>
      </c>
    </row>
    <row r="873" spans="1:24" ht="11.25" customHeight="1">
      <c r="A873" s="878">
        <v>15</v>
      </c>
      <c r="B873" s="130" t="s">
        <v>219</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219</v>
      </c>
      <c r="L873" s="981" t="s">
        <v>533</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533</v>
      </c>
    </row>
    <row r="874" spans="1:24" ht="11.25" customHeight="1" thickBot="1">
      <c r="A874" s="878">
        <v>16</v>
      </c>
      <c r="B874" s="292" t="s">
        <v>219</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533</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533</v>
      </c>
    </row>
    <row r="875" spans="1:24" ht="11.25" customHeight="1" thickBot="1">
      <c r="A875" s="878">
        <v>17</v>
      </c>
      <c r="B875" s="125" t="s">
        <v>220</v>
      </c>
      <c r="C875" s="60"/>
      <c r="D875" s="60"/>
      <c r="E875" s="60"/>
      <c r="F875" s="60"/>
      <c r="G875" s="60"/>
      <c r="H875" s="60"/>
      <c r="I875" s="66"/>
      <c r="J875" s="60"/>
      <c r="K875" s="83"/>
      <c r="L875" s="981" t="s">
        <v>533</v>
      </c>
      <c r="M875" s="125" t="s">
        <v>220</v>
      </c>
      <c r="N875" s="60"/>
      <c r="O875" s="60"/>
      <c r="P875" s="60"/>
      <c r="Q875" s="60"/>
      <c r="R875" s="60"/>
      <c r="S875" s="60"/>
      <c r="T875" s="60"/>
      <c r="U875" s="60"/>
      <c r="V875" s="60"/>
      <c r="W875" s="83"/>
      <c r="X875" s="962" t="s">
        <v>533</v>
      </c>
    </row>
    <row r="876" spans="1:24" ht="11.25" customHeight="1" thickBot="1">
      <c r="A876" s="878">
        <v>18</v>
      </c>
      <c r="B876" s="150"/>
      <c r="C876" s="60"/>
      <c r="D876" s="60"/>
      <c r="E876" s="60"/>
      <c r="F876" s="60"/>
      <c r="G876" s="60"/>
      <c r="H876" s="60"/>
      <c r="I876" s="60"/>
      <c r="J876" s="60"/>
      <c r="K876" s="83"/>
      <c r="L876" s="981" t="s">
        <v>533</v>
      </c>
      <c r="M876" s="150"/>
      <c r="N876" s="60"/>
      <c r="O876" s="60"/>
      <c r="P876" s="60"/>
      <c r="Q876" s="60"/>
      <c r="R876" s="60"/>
      <c r="S876" s="60"/>
      <c r="T876" s="60"/>
      <c r="U876" s="60"/>
      <c r="V876" s="1423" t="s">
        <v>761</v>
      </c>
      <c r="W876" s="84"/>
      <c r="X876" s="962" t="s">
        <v>533</v>
      </c>
    </row>
    <row r="877" spans="1:24" ht="11.25" customHeight="1">
      <c r="A877" s="878">
        <v>19</v>
      </c>
      <c r="B877" s="141" t="s">
        <v>681</v>
      </c>
      <c r="C877" s="1290" t="str">
        <f>IF(O877="","",IF(LEN(O877)&lt;=135,O877,IF(LEN(O877)&lt;=260,LEFT(O877,SEARCH(" ",O877,125)),LEFT(O877,SEARCH(" ",O877,130)))))</f>
        <v/>
      </c>
      <c r="D877" s="59"/>
      <c r="E877" s="59"/>
      <c r="F877" s="301"/>
      <c r="G877" s="59"/>
      <c r="H877" s="59"/>
      <c r="I877" s="59"/>
      <c r="J877" s="59"/>
      <c r="K877" s="83"/>
      <c r="L877" s="981" t="s">
        <v>533</v>
      </c>
      <c r="M877" s="159"/>
      <c r="N877" s="830" t="s">
        <v>681</v>
      </c>
      <c r="O877" s="1025" t="str">
        <f>IF(O879&lt;&gt;"",O879,IF(OR(AB447=0,AB447=""),"",AB447))</f>
        <v/>
      </c>
      <c r="P877" s="59"/>
      <c r="Q877" s="59"/>
      <c r="R877" s="59"/>
      <c r="S877" s="59"/>
      <c r="T877" s="59"/>
      <c r="U877" s="59"/>
      <c r="V877" s="1424" t="s">
        <v>218</v>
      </c>
      <c r="W877" s="84"/>
      <c r="X877" s="962" t="s">
        <v>533</v>
      </c>
    </row>
    <row r="878" spans="1:24" ht="11.25" customHeight="1" thickBot="1">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533</v>
      </c>
      <c r="M878" s="125"/>
      <c r="N878" s="876" t="s">
        <v>373</v>
      </c>
      <c r="O878" s="128"/>
      <c r="P878" s="1289">
        <f>LEN(O877)</f>
        <v>0</v>
      </c>
      <c r="Q878" s="59"/>
      <c r="R878" s="59"/>
      <c r="S878" s="59"/>
      <c r="T878" s="59"/>
      <c r="U878" s="59"/>
      <c r="V878" s="1425" t="str">
        <f>IF(J871="","TBD",IF(J871&gt;0.1,"NO","YES"))</f>
        <v>TBD</v>
      </c>
      <c r="W878" s="84"/>
      <c r="X878" s="962" t="s">
        <v>533</v>
      </c>
    </row>
    <row r="879" spans="1:24" ht="11.25" customHeight="1">
      <c r="A879" s="878">
        <v>21</v>
      </c>
      <c r="B879" s="150"/>
      <c r="C879" s="1290" t="str">
        <f>IF(LEN(O877)&lt;=265,"",RIGHT(O877,LEN(O877)-SEARCH(" ",O877,255)))</f>
        <v/>
      </c>
      <c r="D879" s="59"/>
      <c r="E879" s="59"/>
      <c r="F879" s="301"/>
      <c r="G879" s="59"/>
      <c r="H879" s="59"/>
      <c r="I879" s="59"/>
      <c r="J879" s="59"/>
      <c r="K879" s="83"/>
      <c r="L879" s="981" t="s">
        <v>533</v>
      </c>
      <c r="M879" s="150"/>
      <c r="N879" s="1447" t="s">
        <v>748</v>
      </c>
      <c r="O879" s="1449"/>
      <c r="P879" s="128"/>
      <c r="Q879" s="128"/>
      <c r="R879" s="128"/>
      <c r="S879" s="128"/>
      <c r="T879" s="128"/>
      <c r="U879" s="128"/>
      <c r="V879" s="1424" t="s">
        <v>219</v>
      </c>
      <c r="W879" s="84"/>
      <c r="X879" s="962" t="s">
        <v>533</v>
      </c>
    </row>
    <row r="880" spans="1:24" ht="11.25" customHeight="1" thickBot="1">
      <c r="A880" s="878">
        <v>22</v>
      </c>
      <c r="B880" s="150"/>
      <c r="C880" s="60"/>
      <c r="D880" s="60"/>
      <c r="E880" s="60"/>
      <c r="F880" s="60"/>
      <c r="G880" s="60"/>
      <c r="H880" s="60"/>
      <c r="I880" s="60"/>
      <c r="J880" s="60"/>
      <c r="K880" s="83"/>
      <c r="L880" s="981" t="s">
        <v>533</v>
      </c>
      <c r="M880" s="150"/>
      <c r="N880" s="60"/>
      <c r="O880" s="60"/>
      <c r="P880" s="60"/>
      <c r="Q880" s="60"/>
      <c r="R880" s="60"/>
      <c r="S880" s="60"/>
      <c r="T880" s="60"/>
      <c r="U880" s="60"/>
      <c r="V880" s="1425" t="str">
        <f>IF(J874="","TBD",IF(J874&gt;0.1,"NO","YES"))</f>
        <v>TBD</v>
      </c>
      <c r="W880" s="84"/>
      <c r="X880" s="962" t="s">
        <v>533</v>
      </c>
    </row>
    <row r="881" spans="1:24" ht="11.25" customHeight="1">
      <c r="A881" s="878">
        <v>23</v>
      </c>
      <c r="B881" s="466" t="s">
        <v>791</v>
      </c>
      <c r="C881" s="160"/>
      <c r="D881" s="60"/>
      <c r="E881" s="66" t="s">
        <v>735</v>
      </c>
      <c r="F881" s="286">
        <f>IF(Q885="","",Q885)</f>
        <v>80</v>
      </c>
      <c r="G881" s="66" t="s">
        <v>213</v>
      </c>
      <c r="H881" s="59" t="str">
        <f>IF(P885="","",P885)</f>
        <v>70-120/Low</v>
      </c>
      <c r="I881" s="67"/>
      <c r="J881" s="60"/>
      <c r="K881" s="83"/>
      <c r="L881" s="981" t="s">
        <v>533</v>
      </c>
      <c r="M881" s="466" t="s">
        <v>791</v>
      </c>
      <c r="N881" s="160"/>
      <c r="O881" s="160"/>
      <c r="P881" s="60"/>
      <c r="Q881" s="60"/>
      <c r="R881" s="60"/>
      <c r="S881" s="60"/>
      <c r="T881" s="60"/>
      <c r="U881" s="60"/>
      <c r="V881" s="60"/>
      <c r="W881" s="84"/>
      <c r="X881" s="962" t="s">
        <v>533</v>
      </c>
    </row>
    <row r="882" spans="1:24" ht="11.25" customHeight="1">
      <c r="A882" s="878">
        <v>24</v>
      </c>
      <c r="B882" s="150"/>
      <c r="C882" s="60"/>
      <c r="D882" s="60"/>
      <c r="E882" s="66" t="s">
        <v>138</v>
      </c>
      <c r="F882" s="59">
        <f>IF(N885="","",N885)</f>
        <v>60</v>
      </c>
      <c r="G882" s="62" t="str">
        <f>SFSDD</f>
        <v>cm</v>
      </c>
      <c r="H882" s="60"/>
      <c r="I882" s="60"/>
      <c r="J882" s="60" t="s">
        <v>221</v>
      </c>
      <c r="K882" s="83"/>
      <c r="L882" s="981" t="s">
        <v>533</v>
      </c>
      <c r="M882" s="150"/>
      <c r="N882" s="62"/>
      <c r="O882" s="62"/>
      <c r="P882" s="62"/>
      <c r="Q882" s="62"/>
      <c r="R882" s="62"/>
      <c r="S882" s="62"/>
      <c r="T882" s="62"/>
      <c r="U882" s="62"/>
      <c r="V882" s="62"/>
      <c r="W882" s="84"/>
      <c r="X882" s="962" t="s">
        <v>533</v>
      </c>
    </row>
    <row r="883" spans="1:24" ht="11.25" customHeight="1" thickBot="1">
      <c r="A883" s="878">
        <v>25</v>
      </c>
      <c r="B883" s="150" t="s">
        <v>121</v>
      </c>
      <c r="C883" s="145"/>
      <c r="D883" s="151" t="s">
        <v>126</v>
      </c>
      <c r="E883" s="150"/>
      <c r="F883" s="62" t="s">
        <v>127</v>
      </c>
      <c r="G883" s="60"/>
      <c r="H883" s="60"/>
      <c r="I883" s="289" t="s">
        <v>1229</v>
      </c>
      <c r="J883" s="145" t="s">
        <v>215</v>
      </c>
      <c r="K883" s="83"/>
      <c r="L883" s="981" t="s">
        <v>533</v>
      </c>
      <c r="M883" s="150" t="s">
        <v>638</v>
      </c>
      <c r="N883" s="289" t="s">
        <v>148</v>
      </c>
      <c r="O883" s="289" t="s">
        <v>123</v>
      </c>
      <c r="P883" s="289" t="s">
        <v>124</v>
      </c>
      <c r="Q883" s="60"/>
      <c r="R883" s="289"/>
      <c r="S883" s="151" t="s">
        <v>126</v>
      </c>
      <c r="T883" s="289"/>
      <c r="U883" s="62" t="s">
        <v>127</v>
      </c>
      <c r="V883" s="60"/>
      <c r="W883" s="83"/>
      <c r="X883" s="962" t="s">
        <v>533</v>
      </c>
    </row>
    <row r="884" spans="1:24" ht="11.25" customHeight="1" thickBot="1">
      <c r="A884" s="878">
        <v>26</v>
      </c>
      <c r="B884" s="292" t="s">
        <v>128</v>
      </c>
      <c r="C884" s="188" t="str">
        <f>IF(SFMAS="","mA/mAs",SFMAS)</f>
        <v>mA</v>
      </c>
      <c r="D884" s="299" t="s">
        <v>131</v>
      </c>
      <c r="E884" s="292" t="s">
        <v>132</v>
      </c>
      <c r="F884" s="175" t="s">
        <v>133</v>
      </c>
      <c r="G884" s="175" t="s">
        <v>131</v>
      </c>
      <c r="H884" s="175" t="s">
        <v>1228</v>
      </c>
      <c r="I884" s="308" t="s">
        <v>216</v>
      </c>
      <c r="J884" s="174" t="s">
        <v>102</v>
      </c>
      <c r="K884" s="373" t="s">
        <v>761</v>
      </c>
      <c r="L884" s="981" t="s">
        <v>533</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1228</v>
      </c>
      <c r="X884" s="962" t="s">
        <v>533</v>
      </c>
    </row>
    <row r="885" spans="1:24" ht="11.25" customHeight="1">
      <c r="A885" s="878">
        <v>27</v>
      </c>
      <c r="B885" s="374" t="s">
        <v>217</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218</v>
      </c>
      <c r="L885" s="981" t="s">
        <v>533</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533</v>
      </c>
    </row>
    <row r="886" spans="1:24" ht="11.25" customHeight="1" thickBot="1">
      <c r="A886" s="878">
        <v>28</v>
      </c>
      <c r="B886" s="292" t="s">
        <v>217</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533</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533</v>
      </c>
    </row>
    <row r="887" spans="1:24" ht="11.25" customHeight="1">
      <c r="A887" s="878">
        <v>29</v>
      </c>
      <c r="B887" s="130" t="s">
        <v>219</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533</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533</v>
      </c>
    </row>
    <row r="888" spans="1:24" ht="11.25" customHeight="1">
      <c r="A888" s="878">
        <v>30</v>
      </c>
      <c r="B888" s="130" t="s">
        <v>219</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219</v>
      </c>
      <c r="L888" s="981" t="s">
        <v>533</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533</v>
      </c>
    </row>
    <row r="889" spans="1:24" ht="11.25" customHeight="1" thickBot="1">
      <c r="A889" s="878">
        <v>31</v>
      </c>
      <c r="B889" s="292" t="s">
        <v>219</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533</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533</v>
      </c>
    </row>
    <row r="890" spans="1:24" ht="11.25" customHeight="1" thickBot="1">
      <c r="A890" s="878">
        <v>32</v>
      </c>
      <c r="B890" s="125" t="s">
        <v>220</v>
      </c>
      <c r="C890" s="60"/>
      <c r="D890" s="60"/>
      <c r="E890" s="60"/>
      <c r="F890" s="60"/>
      <c r="G890" s="60"/>
      <c r="H890" s="60"/>
      <c r="I890" s="66"/>
      <c r="J890" s="60"/>
      <c r="K890" s="83"/>
      <c r="L890" s="981" t="s">
        <v>533</v>
      </c>
      <c r="M890" s="125" t="s">
        <v>220</v>
      </c>
      <c r="N890" s="60"/>
      <c r="O890" s="60"/>
      <c r="P890" s="60"/>
      <c r="Q890" s="60"/>
      <c r="R890" s="60"/>
      <c r="S890" s="60"/>
      <c r="T890" s="60"/>
      <c r="U890" s="60"/>
      <c r="V890" s="60"/>
      <c r="W890" s="83"/>
      <c r="X890" s="962" t="s">
        <v>533</v>
      </c>
    </row>
    <row r="891" spans="1:24" ht="11.25" customHeight="1" thickBot="1">
      <c r="A891" s="878">
        <v>33</v>
      </c>
      <c r="B891" s="150"/>
      <c r="C891" s="60"/>
      <c r="D891" s="60"/>
      <c r="E891" s="60"/>
      <c r="F891" s="60"/>
      <c r="G891" s="60"/>
      <c r="H891" s="60"/>
      <c r="I891" s="60"/>
      <c r="J891" s="60"/>
      <c r="K891" s="83"/>
      <c r="L891" s="981" t="s">
        <v>533</v>
      </c>
      <c r="M891" s="150"/>
      <c r="N891" s="60"/>
      <c r="O891" s="60"/>
      <c r="P891" s="60"/>
      <c r="Q891" s="60"/>
      <c r="R891" s="60"/>
      <c r="S891" s="60"/>
      <c r="T891" s="60"/>
      <c r="U891" s="60"/>
      <c r="V891" s="1423" t="s">
        <v>761</v>
      </c>
      <c r="W891" s="83"/>
      <c r="X891" s="962" t="s">
        <v>533</v>
      </c>
    </row>
    <row r="892" spans="1:24" ht="11.25" customHeight="1">
      <c r="A892" s="878">
        <v>34</v>
      </c>
      <c r="B892" s="141" t="s">
        <v>681</v>
      </c>
      <c r="C892" s="1290" t="str">
        <f>IF(O892="","",IF(LEN(O892)&lt;=135,O892,IF(LEN(O892)&lt;=260,LEFT(O892,SEARCH(" ",O892,125)),LEFT(O892,SEARCH(" ",O892,130)))))</f>
        <v/>
      </c>
      <c r="D892" s="59"/>
      <c r="E892" s="59"/>
      <c r="F892" s="301"/>
      <c r="G892" s="59"/>
      <c r="H892" s="59"/>
      <c r="I892" s="59"/>
      <c r="J892" s="59"/>
      <c r="K892" s="83"/>
      <c r="L892" s="981" t="s">
        <v>533</v>
      </c>
      <c r="M892" s="159"/>
      <c r="N892" s="830" t="s">
        <v>681</v>
      </c>
      <c r="O892" s="1025" t="str">
        <f>IF(O894&lt;&gt;"",O894,IF(OR(AB448=0,AB448=""),"",AB448))</f>
        <v/>
      </c>
      <c r="P892" s="59"/>
      <c r="Q892" s="59"/>
      <c r="R892" s="59"/>
      <c r="S892" s="59"/>
      <c r="T892" s="59"/>
      <c r="U892" s="59"/>
      <c r="V892" s="1424" t="s">
        <v>218</v>
      </c>
      <c r="W892" s="83"/>
      <c r="X892" s="962" t="s">
        <v>533</v>
      </c>
    </row>
    <row r="893" spans="1:24" ht="11.25" customHeight="1" thickBot="1">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533</v>
      </c>
      <c r="M893" s="125"/>
      <c r="N893" s="876" t="s">
        <v>373</v>
      </c>
      <c r="O893" s="128"/>
      <c r="P893" s="1289">
        <f>LEN(O892)</f>
        <v>0</v>
      </c>
      <c r="Q893" s="128"/>
      <c r="R893" s="128"/>
      <c r="S893" s="128"/>
      <c r="T893" s="128"/>
      <c r="U893" s="128"/>
      <c r="V893" s="1425" t="str">
        <f>IF(J886="","TBD",IF(J886&gt;0.1,"NO","YES"))</f>
        <v>TBD</v>
      </c>
      <c r="W893" s="83"/>
      <c r="X893" s="962" t="s">
        <v>533</v>
      </c>
    </row>
    <row r="894" spans="1:24" ht="11.25" customHeight="1">
      <c r="A894" s="878">
        <v>36</v>
      </c>
      <c r="B894" s="150"/>
      <c r="C894" s="1290" t="str">
        <f>IF(LEN(O892)&lt;=265,"",RIGHT(O892,LEN(O892)-SEARCH(" ",O892,255)))</f>
        <v/>
      </c>
      <c r="D894" s="59"/>
      <c r="E894" s="59"/>
      <c r="F894" s="301"/>
      <c r="G894" s="59"/>
      <c r="H894" s="59"/>
      <c r="I894" s="59"/>
      <c r="J894" s="59"/>
      <c r="K894" s="83"/>
      <c r="L894" s="981" t="s">
        <v>533</v>
      </c>
      <c r="M894" s="150"/>
      <c r="N894" s="1447" t="s">
        <v>748</v>
      </c>
      <c r="O894" s="1449"/>
      <c r="P894" s="59"/>
      <c r="Q894" s="59"/>
      <c r="R894" s="59"/>
      <c r="S894" s="59"/>
      <c r="T894" s="59"/>
      <c r="U894" s="59"/>
      <c r="V894" s="1424" t="s">
        <v>219</v>
      </c>
      <c r="W894" s="83"/>
      <c r="X894" s="962" t="s">
        <v>533</v>
      </c>
    </row>
    <row r="895" spans="1:24" ht="11.25" customHeight="1" thickBot="1">
      <c r="A895" s="878">
        <v>37</v>
      </c>
      <c r="B895" s="150"/>
      <c r="C895" s="60"/>
      <c r="D895" s="60"/>
      <c r="E895" s="60"/>
      <c r="F895" s="176"/>
      <c r="G895" s="60"/>
      <c r="H895" s="60"/>
      <c r="I895" s="60"/>
      <c r="J895" s="60"/>
      <c r="K895" s="83"/>
      <c r="L895" s="981" t="s">
        <v>533</v>
      </c>
      <c r="M895" s="150"/>
      <c r="N895" s="60"/>
      <c r="O895" s="60"/>
      <c r="P895" s="60"/>
      <c r="Q895" s="60"/>
      <c r="R895" s="60"/>
      <c r="S895" s="60"/>
      <c r="T895" s="60"/>
      <c r="U895" s="60"/>
      <c r="V895" s="1425" t="str">
        <f>IF(J889="","TBD",IF(J889&gt;0.1,"NO","YES"))</f>
        <v>TBD</v>
      </c>
      <c r="W895" s="83"/>
      <c r="X895" s="962" t="s">
        <v>533</v>
      </c>
    </row>
    <row r="896" spans="1:24" ht="11.25" customHeight="1">
      <c r="A896" s="878">
        <v>38</v>
      </c>
      <c r="B896" s="466" t="s">
        <v>222</v>
      </c>
      <c r="C896" s="160"/>
      <c r="D896" s="160"/>
      <c r="E896" s="60"/>
      <c r="F896" s="60"/>
      <c r="G896" s="60"/>
      <c r="H896" s="60"/>
      <c r="I896" s="60"/>
      <c r="J896" s="60"/>
      <c r="K896" s="83"/>
      <c r="L896" s="981" t="s">
        <v>533</v>
      </c>
      <c r="M896" s="150"/>
      <c r="N896" s="60"/>
      <c r="O896" s="60"/>
      <c r="P896" s="60"/>
      <c r="Q896" s="60"/>
      <c r="R896" s="60"/>
      <c r="S896" s="60"/>
      <c r="T896" s="60"/>
      <c r="U896" s="60"/>
      <c r="V896" s="60"/>
      <c r="W896" s="83"/>
      <c r="X896" s="962" t="s">
        <v>533</v>
      </c>
    </row>
    <row r="897" spans="1:24" ht="11.25" customHeight="1">
      <c r="A897" s="878">
        <v>39</v>
      </c>
      <c r="B897" s="150"/>
      <c r="C897" s="60"/>
      <c r="D897" s="60"/>
      <c r="E897" s="60" t="s">
        <v>223</v>
      </c>
      <c r="F897" s="60"/>
      <c r="G897" s="60"/>
      <c r="H897" s="60"/>
      <c r="I897" s="60"/>
      <c r="J897" s="60"/>
      <c r="K897" s="83"/>
      <c r="L897" s="981" t="s">
        <v>533</v>
      </c>
      <c r="M897" s="150"/>
      <c r="N897" s="60"/>
      <c r="O897" s="60"/>
      <c r="P897" s="60"/>
      <c r="Q897" s="60"/>
      <c r="R897" s="60"/>
      <c r="S897" s="60"/>
      <c r="T897" s="60"/>
      <c r="U897" s="60"/>
      <c r="V897" s="60"/>
      <c r="W897" s="83"/>
      <c r="X897" s="962" t="s">
        <v>533</v>
      </c>
    </row>
    <row r="898" spans="1:24" ht="11.25" customHeight="1" thickBot="1">
      <c r="A898" s="878">
        <v>40</v>
      </c>
      <c r="B898" s="150"/>
      <c r="C898" s="192" t="s">
        <v>1229</v>
      </c>
      <c r="D898" s="160"/>
      <c r="E898" s="145" t="s">
        <v>215</v>
      </c>
      <c r="F898" s="60"/>
      <c r="G898" s="60"/>
      <c r="H898" s="60"/>
      <c r="I898" s="60"/>
      <c r="J898" s="60"/>
      <c r="K898" s="83"/>
      <c r="L898" s="981" t="s">
        <v>533</v>
      </c>
      <c r="M898" s="150"/>
      <c r="N898" s="60"/>
      <c r="O898" s="60"/>
      <c r="P898" s="60"/>
      <c r="Q898" s="60"/>
      <c r="R898" s="60"/>
      <c r="S898" s="60"/>
      <c r="T898" s="60"/>
      <c r="U898" s="60"/>
      <c r="V898" s="60"/>
      <c r="W898" s="83"/>
      <c r="X898" s="962" t="s">
        <v>533</v>
      </c>
    </row>
    <row r="899" spans="1:24" ht="11.25" customHeight="1" thickBot="1">
      <c r="A899" s="878">
        <v>41</v>
      </c>
      <c r="B899" s="150"/>
      <c r="C899" s="319" t="s">
        <v>216</v>
      </c>
      <c r="D899" s="321"/>
      <c r="E899" s="188" t="s">
        <v>102</v>
      </c>
      <c r="F899" s="60"/>
      <c r="G899" s="370" t="s">
        <v>761</v>
      </c>
      <c r="H899" s="60"/>
      <c r="I899" s="60"/>
      <c r="J899" s="60"/>
      <c r="K899" s="83"/>
      <c r="L899" s="981" t="s">
        <v>533</v>
      </c>
      <c r="M899" s="150"/>
      <c r="N899" s="62" t="s">
        <v>224</v>
      </c>
      <c r="O899" s="60"/>
      <c r="P899" s="60"/>
      <c r="Q899" s="60"/>
      <c r="R899" s="60"/>
      <c r="S899" s="60"/>
      <c r="T899" s="60"/>
      <c r="U899" s="60"/>
      <c r="V899" s="1416" t="s">
        <v>222</v>
      </c>
      <c r="W899" s="1417"/>
      <c r="X899" s="962" t="s">
        <v>533</v>
      </c>
    </row>
    <row r="900" spans="1:24" ht="11.25" customHeight="1" thickBot="1">
      <c r="A900" s="878">
        <v>42</v>
      </c>
      <c r="B900" s="150"/>
      <c r="C900" s="320" t="s">
        <v>225</v>
      </c>
      <c r="D900" s="1613">
        <f>MAX(I870:I874,I885:I889)</f>
        <v>0</v>
      </c>
      <c r="E900" s="145" t="s">
        <v>219</v>
      </c>
      <c r="F900" s="60"/>
      <c r="G900" s="372" t="s">
        <v>219</v>
      </c>
      <c r="H900" s="60"/>
      <c r="I900" s="60"/>
      <c r="J900" s="60"/>
      <c r="K900" s="83"/>
      <c r="L900" s="981" t="s">
        <v>533</v>
      </c>
      <c r="M900" s="150"/>
      <c r="N900" s="60"/>
      <c r="O900" s="66" t="s">
        <v>226</v>
      </c>
      <c r="P900" s="60"/>
      <c r="Q900" s="176" t="s">
        <v>1233</v>
      </c>
      <c r="R900" s="60"/>
      <c r="S900" s="60"/>
      <c r="T900" s="60"/>
      <c r="U900" s="60"/>
      <c r="V900" s="60"/>
      <c r="W900" s="85"/>
      <c r="X900" s="962" t="s">
        <v>533</v>
      </c>
    </row>
    <row r="901" spans="1:24" ht="11.25" customHeight="1" thickBot="1">
      <c r="A901" s="878">
        <v>43</v>
      </c>
      <c r="B901" s="150"/>
      <c r="C901" s="320" t="s">
        <v>227</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533</v>
      </c>
      <c r="M901" s="150"/>
      <c r="N901" s="60"/>
      <c r="O901" s="60"/>
      <c r="P901" s="60"/>
      <c r="Q901" s="1572" t="s">
        <v>1234</v>
      </c>
      <c r="R901" s="60"/>
      <c r="S901" s="60"/>
      <c r="T901" s="60"/>
      <c r="U901" s="60"/>
      <c r="V901" s="1423" t="s">
        <v>761</v>
      </c>
      <c r="W901" s="85"/>
      <c r="X901" s="962" t="s">
        <v>533</v>
      </c>
    </row>
    <row r="902" spans="1:24" ht="11.25" customHeight="1">
      <c r="A902" s="878">
        <v>44</v>
      </c>
      <c r="B902" s="159"/>
      <c r="C902" s="67"/>
      <c r="D902" s="67"/>
      <c r="E902" s="67"/>
      <c r="F902" s="67"/>
      <c r="G902" s="67"/>
      <c r="H902" s="67"/>
      <c r="I902" s="67"/>
      <c r="J902" s="67"/>
      <c r="K902" s="85"/>
      <c r="L902" s="981" t="s">
        <v>533</v>
      </c>
      <c r="M902" s="159"/>
      <c r="N902" s="60"/>
      <c r="O902" s="60"/>
      <c r="P902" s="60"/>
      <c r="Q902" s="1572"/>
      <c r="R902" s="60"/>
      <c r="S902" s="60"/>
      <c r="T902" s="60"/>
      <c r="U902" s="67"/>
      <c r="V902" s="1424" t="s">
        <v>219</v>
      </c>
      <c r="W902" s="85"/>
      <c r="X902" s="962" t="s">
        <v>533</v>
      </c>
    </row>
    <row r="903" spans="1:24" ht="11.25" customHeight="1" thickBot="1">
      <c r="A903" s="878">
        <v>45</v>
      </c>
      <c r="B903" s="159"/>
      <c r="C903" s="62" t="s">
        <v>224</v>
      </c>
      <c r="D903" s="60"/>
      <c r="E903" s="60"/>
      <c r="F903" s="60"/>
      <c r="G903" s="60"/>
      <c r="H903" s="60"/>
      <c r="I903" s="60"/>
      <c r="J903" s="60"/>
      <c r="K903" s="83"/>
      <c r="L903" s="981" t="s">
        <v>533</v>
      </c>
      <c r="M903" s="159"/>
      <c r="N903" s="60"/>
      <c r="O903" s="66" t="s">
        <v>228</v>
      </c>
      <c r="P903" s="60"/>
      <c r="Q903" s="176" t="s">
        <v>1235</v>
      </c>
      <c r="R903" s="60"/>
      <c r="S903" s="60"/>
      <c r="T903" s="60"/>
      <c r="U903" s="67"/>
      <c r="V903" s="1425" t="str">
        <f>IF(OR(E901="NA",$Q$870&lt;&gt;$Q$885),"NA",IF(E901&gt;0.1,"NO","YES"))</f>
        <v>NA</v>
      </c>
      <c r="W903" s="85"/>
      <c r="X903" s="962" t="s">
        <v>533</v>
      </c>
    </row>
    <row r="904" spans="1:24" ht="11.25" customHeight="1">
      <c r="A904" s="878">
        <v>46</v>
      </c>
      <c r="B904" s="159"/>
      <c r="C904" s="60"/>
      <c r="D904" s="66" t="s">
        <v>226</v>
      </c>
      <c r="E904" s="60"/>
      <c r="F904" s="176" t="s">
        <v>1233</v>
      </c>
      <c r="G904" s="60"/>
      <c r="H904" s="60"/>
      <c r="I904" s="60"/>
      <c r="J904" s="60"/>
      <c r="K904" s="83"/>
      <c r="L904" s="981" t="s">
        <v>533</v>
      </c>
      <c r="M904" s="159"/>
      <c r="N904" s="60"/>
      <c r="O904" s="60"/>
      <c r="P904" s="60"/>
      <c r="Q904" s="1572" t="s">
        <v>1236</v>
      </c>
      <c r="R904" s="60"/>
      <c r="S904" s="60"/>
      <c r="T904" s="60"/>
      <c r="U904" s="67"/>
      <c r="V904" s="67"/>
      <c r="W904" s="85"/>
      <c r="X904" s="962" t="s">
        <v>533</v>
      </c>
    </row>
    <row r="905" spans="1:24" ht="11.25" customHeight="1">
      <c r="A905" s="878">
        <v>47</v>
      </c>
      <c r="B905" s="159"/>
      <c r="C905" s="60"/>
      <c r="D905" s="60"/>
      <c r="E905" s="60"/>
      <c r="F905" s="1572" t="s">
        <v>1234</v>
      </c>
      <c r="G905" s="60"/>
      <c r="H905" s="60"/>
      <c r="I905" s="60"/>
      <c r="J905" s="60"/>
      <c r="K905" s="83"/>
      <c r="L905" s="981" t="s">
        <v>533</v>
      </c>
      <c r="M905" s="150"/>
      <c r="N905" s="67"/>
      <c r="O905" s="67"/>
      <c r="P905" s="67"/>
      <c r="Q905" s="60"/>
      <c r="R905" s="60"/>
      <c r="S905" s="60"/>
      <c r="T905" s="60"/>
      <c r="U905" s="60"/>
      <c r="V905" s="60"/>
      <c r="W905" s="83"/>
      <c r="X905" s="962" t="s">
        <v>533</v>
      </c>
    </row>
    <row r="906" spans="1:24" ht="11.25" customHeight="1">
      <c r="A906" s="878">
        <v>48</v>
      </c>
      <c r="B906" s="159"/>
      <c r="C906" s="60"/>
      <c r="D906" s="60"/>
      <c r="E906" s="60"/>
      <c r="F906" s="1572"/>
      <c r="G906" s="60"/>
      <c r="H906" s="60"/>
      <c r="I906" s="60"/>
      <c r="J906" s="60"/>
      <c r="K906" s="83"/>
      <c r="L906" s="981" t="s">
        <v>533</v>
      </c>
      <c r="M906" s="150"/>
      <c r="N906" s="166" t="s">
        <v>699</v>
      </c>
      <c r="O906" s="246" t="s">
        <v>229</v>
      </c>
      <c r="P906" s="60"/>
      <c r="Q906" s="60"/>
      <c r="R906" s="60"/>
      <c r="S906" s="60"/>
      <c r="T906" s="60"/>
      <c r="U906" s="60"/>
      <c r="V906" s="60"/>
      <c r="W906" s="83"/>
      <c r="X906" s="962" t="s">
        <v>533</v>
      </c>
    </row>
    <row r="907" spans="1:24" ht="11.25" customHeight="1">
      <c r="A907" s="878">
        <v>49</v>
      </c>
      <c r="B907" s="159"/>
      <c r="C907" s="60"/>
      <c r="D907" s="66" t="s">
        <v>228</v>
      </c>
      <c r="E907" s="60"/>
      <c r="F907" s="176" t="s">
        <v>1235</v>
      </c>
      <c r="G907" s="60"/>
      <c r="H907" s="60"/>
      <c r="I907" s="60"/>
      <c r="J907" s="60"/>
      <c r="K907" s="83"/>
      <c r="L907" s="981" t="s">
        <v>533</v>
      </c>
      <c r="M907" s="150"/>
      <c r="N907" s="60"/>
      <c r="O907" s="60"/>
      <c r="P907" s="60"/>
      <c r="Q907" s="60"/>
      <c r="R907" s="60"/>
      <c r="S907" s="60"/>
      <c r="T907" s="60"/>
      <c r="U907" s="60"/>
      <c r="V907" s="60"/>
      <c r="W907" s="83"/>
      <c r="X907" s="962" t="s">
        <v>533</v>
      </c>
    </row>
    <row r="908" spans="1:24" ht="11.25" customHeight="1">
      <c r="A908" s="878">
        <v>50</v>
      </c>
      <c r="B908" s="159"/>
      <c r="C908" s="60"/>
      <c r="D908" s="60"/>
      <c r="E908" s="60"/>
      <c r="F908" s="1572" t="s">
        <v>1236</v>
      </c>
      <c r="G908" s="60"/>
      <c r="H908" s="60"/>
      <c r="I908" s="60"/>
      <c r="J908" s="60"/>
      <c r="K908" s="83"/>
      <c r="L908" s="981" t="s">
        <v>533</v>
      </c>
      <c r="M908" s="150"/>
      <c r="N908" s="60"/>
      <c r="O908" s="60"/>
      <c r="P908" s="60"/>
      <c r="Q908" s="60"/>
      <c r="R908" s="60"/>
      <c r="S908" s="60"/>
      <c r="T908" s="60"/>
      <c r="U908" s="60"/>
      <c r="V908" s="60"/>
      <c r="W908" s="83"/>
      <c r="X908" s="962" t="s">
        <v>533</v>
      </c>
    </row>
    <row r="909" spans="1:24" ht="11.25" customHeight="1">
      <c r="A909" s="878">
        <v>51</v>
      </c>
      <c r="B909" s="150"/>
      <c r="C909" s="67"/>
      <c r="D909" s="67"/>
      <c r="E909" s="67"/>
      <c r="F909" s="60"/>
      <c r="G909" s="60"/>
      <c r="H909" s="60"/>
      <c r="I909" s="60"/>
      <c r="J909" s="60"/>
      <c r="K909" s="83"/>
      <c r="L909" s="981" t="s">
        <v>533</v>
      </c>
      <c r="M909" s="150"/>
      <c r="N909" s="60"/>
      <c r="O909" s="60"/>
      <c r="P909" s="60"/>
      <c r="Q909" s="60"/>
      <c r="R909" s="60"/>
      <c r="S909" s="60"/>
      <c r="T909" s="60"/>
      <c r="U909" s="60"/>
      <c r="V909" s="60"/>
      <c r="W909" s="83"/>
      <c r="X909" s="962" t="s">
        <v>533</v>
      </c>
    </row>
    <row r="910" spans="1:24" ht="11.25" customHeight="1">
      <c r="A910" s="878">
        <v>52</v>
      </c>
      <c r="B910" s="150"/>
      <c r="C910" s="166" t="s">
        <v>699</v>
      </c>
      <c r="D910" s="246" t="s">
        <v>229</v>
      </c>
      <c r="E910" s="60"/>
      <c r="F910" s="60"/>
      <c r="G910" s="60"/>
      <c r="H910" s="60"/>
      <c r="I910" s="60"/>
      <c r="J910" s="60"/>
      <c r="K910" s="83"/>
      <c r="L910" s="981" t="s">
        <v>533</v>
      </c>
      <c r="M910" s="150"/>
      <c r="N910" s="60"/>
      <c r="O910" s="60"/>
      <c r="P910" s="60"/>
      <c r="Q910" s="60"/>
      <c r="R910" s="60"/>
      <c r="S910" s="60"/>
      <c r="T910" s="60"/>
      <c r="U910" s="60"/>
      <c r="V910" s="60"/>
      <c r="W910" s="83"/>
      <c r="X910" s="962" t="s">
        <v>533</v>
      </c>
    </row>
    <row r="911" spans="1:24" ht="11.25" customHeight="1">
      <c r="A911" s="878">
        <v>53</v>
      </c>
      <c r="B911" s="150"/>
      <c r="C911" s="60"/>
      <c r="D911" s="60"/>
      <c r="E911" s="60"/>
      <c r="F911" s="60"/>
      <c r="G911" s="60"/>
      <c r="H911" s="60"/>
      <c r="I911" s="60"/>
      <c r="J911" s="60"/>
      <c r="K911" s="83"/>
      <c r="L911" s="981" t="s">
        <v>533</v>
      </c>
      <c r="M911" s="264" t="s">
        <v>539</v>
      </c>
      <c r="N911" s="60"/>
      <c r="O911" s="60"/>
      <c r="P911" s="60"/>
      <c r="Q911" s="60"/>
      <c r="R911" s="60"/>
      <c r="S911" s="60"/>
      <c r="T911" s="60"/>
      <c r="U911" s="60"/>
      <c r="V911" s="60"/>
      <c r="W911" s="83"/>
      <c r="X911" s="962" t="s">
        <v>533</v>
      </c>
    </row>
    <row r="912" spans="1:24" ht="11.25" customHeight="1">
      <c r="A912" s="878">
        <v>54</v>
      </c>
      <c r="B912" s="132" t="s">
        <v>536</v>
      </c>
      <c r="C912" s="65"/>
      <c r="D912" s="67"/>
      <c r="E912" s="67"/>
      <c r="F912" s="121" t="s">
        <v>230</v>
      </c>
      <c r="G912" s="67"/>
      <c r="H912" s="67"/>
      <c r="I912" s="67"/>
      <c r="J912" s="534" t="s">
        <v>538</v>
      </c>
      <c r="K912" s="535"/>
      <c r="L912" s="981" t="s">
        <v>533</v>
      </c>
      <c r="M912" s="150"/>
      <c r="N912" s="67"/>
      <c r="O912" s="67"/>
      <c r="P912" s="67"/>
      <c r="Q912" s="121" t="s">
        <v>230</v>
      </c>
      <c r="R912" s="67"/>
      <c r="S912" s="67"/>
      <c r="T912" s="67"/>
      <c r="U912" s="67"/>
      <c r="V912" s="67"/>
      <c r="W912" s="85"/>
      <c r="X912" s="962" t="s">
        <v>533</v>
      </c>
    </row>
    <row r="913" spans="1:32" ht="11.25" customHeight="1">
      <c r="A913" s="878">
        <v>55</v>
      </c>
      <c r="B913" s="399" t="s">
        <v>2</v>
      </c>
      <c r="C913" s="135"/>
      <c r="D913" s="122" t="s">
        <v>231</v>
      </c>
      <c r="E913" s="123"/>
      <c r="F913" s="123"/>
      <c r="G913" s="123"/>
      <c r="H913" s="123"/>
      <c r="I913" s="123"/>
      <c r="J913" s="1657" t="str">
        <f>IF($M$53=1,$T$52,IF($M913="","TBD",IF($M913=1,"YES",IF($M913=3,"NA",""))))</f>
        <v>TBD</v>
      </c>
      <c r="K913" s="533" t="str">
        <f>IF($M$53=1,"",IF($M913=2,"NO",""))</f>
        <v/>
      </c>
      <c r="L913" s="981" t="s">
        <v>533</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533</v>
      </c>
    </row>
    <row r="914" spans="1:32" ht="11.25" customHeight="1">
      <c r="A914" s="878">
        <v>56</v>
      </c>
      <c r="B914" s="134"/>
      <c r="C914" s="135"/>
      <c r="D914" s="62" t="s">
        <v>232</v>
      </c>
      <c r="E914" s="67"/>
      <c r="F914" s="67"/>
      <c r="G914" s="67"/>
      <c r="H914" s="67"/>
      <c r="I914" s="67"/>
      <c r="J914" s="1657" t="str">
        <f>IF($M$53=1,$T$52,IF($M914="","TBD",IF($M914=1,"YES",IF($M914=3,"NA",""))))</f>
        <v>TBD</v>
      </c>
      <c r="K914" s="533" t="str">
        <f>IF($M$53=1,"",IF($M914=2,"NO",""))</f>
        <v/>
      </c>
      <c r="L914" s="981" t="s">
        <v>533</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533</v>
      </c>
    </row>
    <row r="915" spans="1:32" ht="11.25" customHeight="1">
      <c r="A915" s="878">
        <v>57</v>
      </c>
      <c r="B915" s="134"/>
      <c r="C915" s="135"/>
      <c r="D915" s="122" t="s">
        <v>233</v>
      </c>
      <c r="E915" s="67"/>
      <c r="F915" s="67"/>
      <c r="G915" s="67"/>
      <c r="H915" s="67"/>
      <c r="I915" s="67"/>
      <c r="J915" s="1657" t="str">
        <f t="shared" ref="J915:J920" si="141">IF($M915="","TBD",IF($M915=1,"YES",IF($M915=3,"NA","")))</f>
        <v>TBD</v>
      </c>
      <c r="K915" s="533" t="str">
        <f t="shared" ref="K915:K920" si="142">IF($M915=2,"NO","")</f>
        <v/>
      </c>
      <c r="L915" s="981" t="s">
        <v>533</v>
      </c>
      <c r="M915" s="887"/>
      <c r="N915" s="67"/>
      <c r="O915" s="122" t="s">
        <v>234</v>
      </c>
      <c r="P915" s="67"/>
      <c r="Q915" s="67"/>
      <c r="R915" s="67"/>
      <c r="S915" s="67"/>
      <c r="T915" s="67"/>
      <c r="U915" s="67"/>
      <c r="V915" s="67"/>
      <c r="W915" s="85"/>
      <c r="X915" s="962" t="s">
        <v>533</v>
      </c>
      <c r="Z915" s="71">
        <f>AA688</f>
        <v>60</v>
      </c>
      <c r="AA915" s="142" t="s">
        <v>590</v>
      </c>
    </row>
    <row r="916" spans="1:32" ht="11.25" customHeight="1">
      <c r="A916" s="878">
        <v>58</v>
      </c>
      <c r="B916" s="134"/>
      <c r="C916" s="135"/>
      <c r="D916" s="62" t="s">
        <v>235</v>
      </c>
      <c r="E916" s="67"/>
      <c r="F916" s="67"/>
      <c r="G916" s="67"/>
      <c r="H916" s="67"/>
      <c r="I916" s="67"/>
      <c r="J916" s="1657" t="str">
        <f t="shared" si="141"/>
        <v>TBD</v>
      </c>
      <c r="K916" s="533" t="str">
        <f t="shared" si="142"/>
        <v/>
      </c>
      <c r="L916" s="981" t="s">
        <v>533</v>
      </c>
      <c r="M916" s="887"/>
      <c r="N916" s="67"/>
      <c r="O916" s="62" t="s">
        <v>236</v>
      </c>
      <c r="P916" s="67"/>
      <c r="Q916" s="67"/>
      <c r="R916" s="67"/>
      <c r="S916" s="67"/>
      <c r="T916" s="67"/>
      <c r="U916" s="67"/>
      <c r="V916" s="67"/>
      <c r="W916" s="85"/>
      <c r="X916" s="962" t="s">
        <v>533</v>
      </c>
      <c r="Z916" s="383" t="s">
        <v>260</v>
      </c>
      <c r="AA916" s="3"/>
      <c r="AB916" s="3"/>
      <c r="AC916" s="3"/>
      <c r="AD916" s="3" t="str">
        <f>IF(AND(AH917="",AG921&lt;&gt;""),"Meas.",IF(MAXAVG="","Set",MAXAVG))</f>
        <v>Max kV</v>
      </c>
    </row>
    <row r="917" spans="1:32" ht="11.25" customHeight="1" thickBot="1">
      <c r="A917" s="878">
        <v>59</v>
      </c>
      <c r="B917" s="399" t="s">
        <v>4</v>
      </c>
      <c r="C917" s="135"/>
      <c r="D917" s="122" t="s">
        <v>237</v>
      </c>
      <c r="E917" s="123"/>
      <c r="F917" s="123"/>
      <c r="G917" s="123"/>
      <c r="H917" s="123"/>
      <c r="I917" s="123"/>
      <c r="J917" s="1657" t="str">
        <f t="shared" si="141"/>
        <v>TBD</v>
      </c>
      <c r="K917" s="533" t="str">
        <f t="shared" si="142"/>
        <v/>
      </c>
      <c r="L917" s="981" t="s">
        <v>533</v>
      </c>
      <c r="M917" s="887"/>
      <c r="N917" s="62"/>
      <c r="O917" s="122" t="s">
        <v>238</v>
      </c>
      <c r="P917" s="123"/>
      <c r="Q917" s="123"/>
      <c r="R917" s="123"/>
      <c r="S917" s="123"/>
      <c r="T917" s="123"/>
      <c r="U917" s="60"/>
      <c r="V917" s="60"/>
      <c r="W917" s="83"/>
      <c r="X917" s="962" t="s">
        <v>533</v>
      </c>
      <c r="Z917" s="8" t="s">
        <v>261</v>
      </c>
      <c r="AA917" s="1621" t="s">
        <v>262</v>
      </c>
      <c r="AB917" s="1621" t="s">
        <v>264</v>
      </c>
      <c r="AC917" s="1621" t="s">
        <v>265</v>
      </c>
      <c r="AD917" s="1621" t="s">
        <v>590</v>
      </c>
      <c r="AF917" s="1621" t="str">
        <f>"HVL @"&amp;ROUND(AD918,2)&amp;" kVp ("&amp;IF(AND(MAXAVG="",AX688&lt;&gt;""),"Meas.",IF(MAXAVG="","Set",MAXAVG))&amp;")"</f>
        <v>HVL @60 kVp (Max kV)</v>
      </c>
    </row>
    <row r="918" spans="1:32" ht="11.25" customHeight="1" thickTop="1" thickBot="1">
      <c r="A918" s="878">
        <v>60</v>
      </c>
      <c r="B918" s="399" t="s">
        <v>3</v>
      </c>
      <c r="C918" s="135"/>
      <c r="D918" s="122" t="s">
        <v>239</v>
      </c>
      <c r="E918" s="123"/>
      <c r="F918" s="123"/>
      <c r="G918" s="123"/>
      <c r="H918" s="123"/>
      <c r="I918" s="123"/>
      <c r="J918" s="1657" t="str">
        <f t="shared" si="141"/>
        <v>TBD</v>
      </c>
      <c r="K918" s="533" t="str">
        <f t="shared" si="142"/>
        <v/>
      </c>
      <c r="L918" s="981" t="s">
        <v>533</v>
      </c>
      <c r="M918" s="887"/>
      <c r="N918" s="62"/>
      <c r="O918" s="122" t="s">
        <v>240</v>
      </c>
      <c r="P918" s="123"/>
      <c r="Q918" s="123"/>
      <c r="R918" s="123"/>
      <c r="S918" s="123"/>
      <c r="T918" s="123"/>
      <c r="U918" s="60"/>
      <c r="V918" s="60"/>
      <c r="W918" s="83"/>
      <c r="X918" s="962" t="s">
        <v>533</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c r="A919" s="878">
        <v>61</v>
      </c>
      <c r="B919" s="399" t="s">
        <v>9</v>
      </c>
      <c r="C919" s="135"/>
      <c r="D919" s="122" t="s">
        <v>241</v>
      </c>
      <c r="E919" s="123"/>
      <c r="F919" s="123"/>
      <c r="G919" s="123"/>
      <c r="H919" s="123"/>
      <c r="I919" s="123"/>
      <c r="J919" s="1657" t="str">
        <f t="shared" si="141"/>
        <v>TBD</v>
      </c>
      <c r="K919" s="533" t="str">
        <f t="shared" si="142"/>
        <v/>
      </c>
      <c r="L919" s="981" t="s">
        <v>533</v>
      </c>
      <c r="M919" s="887"/>
      <c r="N919" s="62"/>
      <c r="O919" s="122" t="s">
        <v>242</v>
      </c>
      <c r="P919" s="123"/>
      <c r="Q919" s="123"/>
      <c r="R919" s="123"/>
      <c r="S919" s="123"/>
      <c r="T919" s="123"/>
      <c r="U919" s="60"/>
      <c r="V919" s="60"/>
      <c r="W919" s="83"/>
      <c r="X919" s="962" t="s">
        <v>533</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8">
        <v>62</v>
      </c>
      <c r="B920" s="134"/>
      <c r="C920" s="135"/>
      <c r="D920" s="62" t="s">
        <v>243</v>
      </c>
      <c r="E920" s="115"/>
      <c r="F920" s="115"/>
      <c r="G920" s="115"/>
      <c r="H920" s="115"/>
      <c r="I920" s="115"/>
      <c r="J920" s="1657" t="str">
        <f t="shared" si="141"/>
        <v>TBD</v>
      </c>
      <c r="K920" s="533" t="str">
        <f t="shared" si="142"/>
        <v/>
      </c>
      <c r="L920" s="981" t="s">
        <v>533</v>
      </c>
      <c r="M920" s="887"/>
      <c r="N920" s="115"/>
      <c r="O920" s="62" t="s">
        <v>243</v>
      </c>
      <c r="P920" s="115"/>
      <c r="Q920" s="115"/>
      <c r="R920" s="115"/>
      <c r="S920" s="115"/>
      <c r="T920" s="115"/>
      <c r="U920" s="115"/>
      <c r="V920" s="115"/>
      <c r="W920" s="100"/>
      <c r="X920" s="962" t="s">
        <v>533</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8">
        <v>63</v>
      </c>
      <c r="B921" s="168"/>
      <c r="C921" s="87"/>
      <c r="D921" s="87"/>
      <c r="E921" s="87"/>
      <c r="F921" s="87"/>
      <c r="G921" s="87"/>
      <c r="H921" s="87"/>
      <c r="I921" s="87"/>
      <c r="J921" s="87"/>
      <c r="K921" s="88"/>
      <c r="L921" s="981" t="s">
        <v>533</v>
      </c>
      <c r="M921" s="168"/>
      <c r="N921" s="87"/>
      <c r="O921" s="87"/>
      <c r="P921" s="87"/>
      <c r="Q921" s="87"/>
      <c r="R921" s="87"/>
      <c r="S921" s="87"/>
      <c r="T921" s="87"/>
      <c r="U921" s="87"/>
      <c r="V921" s="87"/>
      <c r="W921" s="88"/>
      <c r="X921" s="962" t="s">
        <v>533</v>
      </c>
      <c r="Z921" s="57" t="str">
        <f>IF(OR(AZ694="",AND(AZ692="",AZ694&lt;&gt;"")),"",AF694)</f>
        <v/>
      </c>
      <c r="AA921" s="388" t="str">
        <f>IF(OR(AZ694="",AND(AZ692="",AZ694&lt;&gt;"")),"",AVERAGE(BB694:BB695))</f>
        <v/>
      </c>
      <c r="AB921" s="15" t="str">
        <f>IF(AA921="","",ABS(AA921-AA918/2))</f>
        <v/>
      </c>
      <c r="AC921" s="1621" t="s">
        <v>267</v>
      </c>
      <c r="AD921" s="1621" t="s">
        <v>268</v>
      </c>
    </row>
    <row r="922" spans="1:32" ht="11.25" customHeight="1" thickTop="1">
      <c r="A922" s="878">
        <v>64</v>
      </c>
      <c r="L922" s="981" t="s">
        <v>533</v>
      </c>
      <c r="X922" s="962" t="s">
        <v>533</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c r="A923" s="878">
        <v>65</v>
      </c>
      <c r="B923" s="64" t="str">
        <f t="array" ref="B923:C924">$B$65:$C$66</f>
        <v>Date:</v>
      </c>
      <c r="C923" s="1467">
        <v>43039</v>
      </c>
      <c r="D923" s="144"/>
      <c r="E923" s="144"/>
      <c r="F923" s="144"/>
      <c r="G923" s="144"/>
      <c r="H923" s="144"/>
      <c r="I923" s="64" t="str">
        <f t="array" ref="I923:J924">$I$65:$J$66</f>
        <v>Inspector:</v>
      </c>
      <c r="J923" s="565" t="str">
        <v>Eugene Mah</v>
      </c>
      <c r="L923" s="981" t="s">
        <v>533</v>
      </c>
      <c r="M923" s="144"/>
      <c r="N923" s="144"/>
      <c r="O923" s="144"/>
      <c r="P923" s="144"/>
      <c r="Q923" s="144"/>
      <c r="R923" s="144"/>
      <c r="S923" s="144"/>
      <c r="T923" s="144"/>
      <c r="U923" s="144"/>
      <c r="V923" s="144"/>
      <c r="W923" s="144"/>
      <c r="X923" s="962" t="s">
        <v>533</v>
      </c>
      <c r="AC923" s="15" t="str">
        <f>IF(OR(AA918="",AA919=""),"",IF(Z918=AC919,AA918,IF(Z919=AC919,AA919,IF(Z920=AC919,AA920,IF(Z921=AC919,AA921)))))</f>
        <v/>
      </c>
      <c r="AD923" s="21" t="str">
        <f>IF(AC923="","",LN(AC923))</f>
        <v/>
      </c>
    </row>
    <row r="924" spans="1:32" ht="11.25" customHeight="1">
      <c r="A924" s="878">
        <v>66</v>
      </c>
      <c r="B924" s="64" t="str">
        <v>Room Number:</v>
      </c>
      <c r="C924" s="508" t="str">
        <v>Room 04 RT 127M - Tube 1</v>
      </c>
      <c r="D924" s="144"/>
      <c r="E924" s="144"/>
      <c r="F924" s="144"/>
      <c r="G924" s="144"/>
      <c r="H924" s="144"/>
      <c r="I924" s="64" t="str">
        <v>Survey ID:</v>
      </c>
      <c r="J924" s="1475">
        <v>1976</v>
      </c>
      <c r="L924" s="981" t="s">
        <v>533</v>
      </c>
      <c r="M924" s="144"/>
      <c r="N924" s="144"/>
      <c r="O924" s="144"/>
      <c r="P924" s="144"/>
      <c r="Q924" s="144"/>
      <c r="R924" s="144"/>
      <c r="S924" s="144"/>
      <c r="T924" s="144"/>
      <c r="U924" s="144"/>
      <c r="V924" s="144"/>
      <c r="W924" s="144"/>
      <c r="X924" s="962" t="s">
        <v>533</v>
      </c>
    </row>
    <row r="925" spans="1:32" ht="11.25" customHeight="1">
      <c r="A925" s="878">
        <v>1</v>
      </c>
      <c r="K925" s="165" t="str">
        <f>$F$2</f>
        <v>Medical University of South Carolina</v>
      </c>
      <c r="L925" s="981" t="s">
        <v>533</v>
      </c>
      <c r="W925" s="165" t="str">
        <f>$F$2</f>
        <v>Medical University of South Carolina</v>
      </c>
      <c r="X925" s="962" t="s">
        <v>533</v>
      </c>
      <c r="Z925" s="71">
        <f>AA711</f>
        <v>100</v>
      </c>
      <c r="AA925" s="142" t="s">
        <v>590</v>
      </c>
    </row>
    <row r="926" spans="1:32" ht="11.25" customHeight="1">
      <c r="A926" s="878">
        <v>2</v>
      </c>
      <c r="C926" s="1"/>
      <c r="D926" s="1"/>
      <c r="E926" s="1"/>
      <c r="F926" s="344" t="str">
        <f>$F$464</f>
        <v>Measurement Data</v>
      </c>
      <c r="G926" s="1"/>
      <c r="H926" s="1"/>
      <c r="I926" s="1"/>
      <c r="J926" s="1"/>
      <c r="K926" s="166" t="str">
        <f>$F$5</f>
        <v>Radiographic System Compliance Inspection</v>
      </c>
      <c r="L926" s="981" t="s">
        <v>533</v>
      </c>
      <c r="O926" s="62"/>
      <c r="P926" s="1"/>
      <c r="Q926" s="1"/>
      <c r="R926" s="344" t="str">
        <f>$F$464</f>
        <v>Measurement Data</v>
      </c>
      <c r="S926" s="1"/>
      <c r="T926" s="1"/>
      <c r="U926" s="1"/>
      <c r="V926" s="1"/>
      <c r="W926" s="166" t="str">
        <f>$F$5</f>
        <v>Radiographic System Compliance Inspection</v>
      </c>
      <c r="X926" s="962" t="s">
        <v>533</v>
      </c>
      <c r="Z926" s="383" t="s">
        <v>260</v>
      </c>
      <c r="AA926" s="3"/>
      <c r="AB926" s="3"/>
      <c r="AC926" s="3"/>
      <c r="AD926" s="3" t="str">
        <f>IF(AND(AH927="",AG931&lt;&gt;""),"Meas.",IF(MAXAVG="","Set",MAXAVG))</f>
        <v>Max kV</v>
      </c>
    </row>
    <row r="927" spans="1:32" ht="11.25" customHeight="1" thickBot="1">
      <c r="A927" s="878">
        <v>3</v>
      </c>
      <c r="B927" s="1"/>
      <c r="C927" s="1"/>
      <c r="D927" s="1"/>
      <c r="E927" s="1"/>
      <c r="F927" s="449" t="s">
        <v>244</v>
      </c>
      <c r="G927" s="1"/>
      <c r="H927" s="1"/>
      <c r="I927" s="1"/>
      <c r="J927" s="1"/>
      <c r="L927" s="981" t="s">
        <v>533</v>
      </c>
      <c r="M927" s="884">
        <v>2</v>
      </c>
      <c r="N927" s="119" t="s">
        <v>21</v>
      </c>
      <c r="X927" s="962" t="s">
        <v>533</v>
      </c>
      <c r="Z927" s="8" t="s">
        <v>261</v>
      </c>
      <c r="AA927" s="1621" t="s">
        <v>262</v>
      </c>
      <c r="AB927" s="1621" t="s">
        <v>264</v>
      </c>
      <c r="AC927" s="1621" t="s">
        <v>265</v>
      </c>
      <c r="AD927" s="1621" t="s">
        <v>590</v>
      </c>
      <c r="AF927" s="1621" t="str">
        <f>"HVL @"&amp;ROUND(AD928,2)&amp;" kVp ("&amp;IF(AND(MAXAVG="",AX698&lt;&gt;""),"Meas.",IF(MAXAVG="","Set",MAXAVG))&amp;")"</f>
        <v>HVL @100 kVp (Max kV)</v>
      </c>
    </row>
    <row r="928" spans="1:32" ht="11.25" customHeight="1" thickTop="1" thickBot="1">
      <c r="A928" s="878">
        <v>4</v>
      </c>
      <c r="L928" s="981" t="s">
        <v>533</v>
      </c>
      <c r="M928" s="744" t="s">
        <v>22</v>
      </c>
      <c r="N928" s="582"/>
      <c r="X928" s="962" t="s">
        <v>533</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c r="A929" s="878">
        <v>5</v>
      </c>
      <c r="B929" s="93"/>
      <c r="C929" s="76"/>
      <c r="D929" s="76"/>
      <c r="E929" s="76"/>
      <c r="F929" s="76"/>
      <c r="G929" s="76"/>
      <c r="H929" s="76"/>
      <c r="I929" s="76"/>
      <c r="J929" s="76"/>
      <c r="K929" s="94"/>
      <c r="L929" s="981" t="s">
        <v>533</v>
      </c>
      <c r="M929" s="93"/>
      <c r="N929" s="76"/>
      <c r="O929" s="76"/>
      <c r="P929" s="76"/>
      <c r="Q929" s="76"/>
      <c r="R929" s="76"/>
      <c r="S929" s="76"/>
      <c r="T929" s="578" t="s">
        <v>245</v>
      </c>
      <c r="U929" s="584"/>
      <c r="V929" s="76"/>
      <c r="W929" s="94"/>
      <c r="X929" s="962" t="s">
        <v>533</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8">
        <v>6</v>
      </c>
      <c r="B930" s="159"/>
      <c r="C930" s="67"/>
      <c r="D930" s="67"/>
      <c r="E930" s="67"/>
      <c r="F930" s="67"/>
      <c r="G930" s="67"/>
      <c r="H930" s="67"/>
      <c r="I930" s="67"/>
      <c r="J930" s="67"/>
      <c r="K930" s="85"/>
      <c r="L930" s="981" t="s">
        <v>533</v>
      </c>
      <c r="M930" s="466" t="s">
        <v>246</v>
      </c>
      <c r="N930" s="65"/>
      <c r="O930" s="65"/>
      <c r="P930" s="280"/>
      <c r="Q930" s="4" t="s">
        <v>247</v>
      </c>
      <c r="R930" s="3"/>
      <c r="S930" s="3"/>
      <c r="T930" s="3"/>
      <c r="U930" s="915" t="s">
        <v>248</v>
      </c>
      <c r="V930" s="3"/>
      <c r="W930" s="45"/>
      <c r="X930" s="962" t="s">
        <v>533</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8">
        <v>7</v>
      </c>
      <c r="B931" s="159"/>
      <c r="C931" s="67"/>
      <c r="D931" s="67"/>
      <c r="E931" s="67"/>
      <c r="F931" s="67"/>
      <c r="G931" s="67"/>
      <c r="H931" s="67"/>
      <c r="I931" s="67"/>
      <c r="J931" s="67"/>
      <c r="K931" s="85"/>
      <c r="L931" s="981" t="s">
        <v>533</v>
      </c>
      <c r="M931" s="56"/>
      <c r="N931" s="3"/>
      <c r="O931" s="3"/>
      <c r="P931" s="3"/>
      <c r="Q931" s="4" t="s">
        <v>249</v>
      </c>
      <c r="R931" s="3"/>
      <c r="S931" s="3"/>
      <c r="T931" s="3"/>
      <c r="U931" s="3"/>
      <c r="V931" s="3"/>
      <c r="W931" s="45"/>
      <c r="X931" s="962" t="s">
        <v>533</v>
      </c>
      <c r="Z931" s="57" t="str">
        <f>IF(OR(AZ717="",AND(AZ715="",AZ717&lt;&gt;"")),"",AF717)</f>
        <v/>
      </c>
      <c r="AA931" s="388" t="str">
        <f>IF(OR(AZ717="",AND(AZ715="",AZ704&lt;&gt;"")),"",AVERAGE(BB717:BB718))</f>
        <v/>
      </c>
      <c r="AB931" s="15" t="str">
        <f>IF(AA931="","",ABS(AA931-AA928/2))</f>
        <v/>
      </c>
      <c r="AC931" s="1621" t="s">
        <v>267</v>
      </c>
      <c r="AD931" s="1621" t="s">
        <v>268</v>
      </c>
    </row>
    <row r="932" spans="1:32" ht="11.25" customHeight="1">
      <c r="A932" s="878">
        <v>8</v>
      </c>
      <c r="B932" s="159"/>
      <c r="C932" s="67"/>
      <c r="D932" s="573" t="str">
        <f>O934&amp;" Focal Spot"</f>
        <v>Large Focal Spot</v>
      </c>
      <c r="E932" s="67"/>
      <c r="F932" s="67"/>
      <c r="G932" s="67"/>
      <c r="H932" s="67"/>
      <c r="I932" s="67"/>
      <c r="J932" s="67"/>
      <c r="K932" s="85"/>
      <c r="L932" s="981" t="s">
        <v>533</v>
      </c>
      <c r="M932" s="56"/>
      <c r="N932" s="5" t="s">
        <v>148</v>
      </c>
      <c r="O932" s="5" t="s">
        <v>123</v>
      </c>
      <c r="P932" s="655" t="s">
        <v>124</v>
      </c>
      <c r="Q932" s="3"/>
      <c r="R932" s="5"/>
      <c r="S932" s="5" t="s">
        <v>126</v>
      </c>
      <c r="T932" s="33"/>
      <c r="U932" s="4" t="s">
        <v>127</v>
      </c>
      <c r="V932" s="3"/>
      <c r="W932" s="45"/>
      <c r="X932" s="962" t="s">
        <v>533</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c r="A933" s="878">
        <v>9</v>
      </c>
      <c r="B933" s="56"/>
      <c r="C933" s="43" t="s">
        <v>149</v>
      </c>
      <c r="D933" s="46">
        <f>IF(N934="","",N934)</f>
        <v>60</v>
      </c>
      <c r="E933" s="4" t="str">
        <f>N933</f>
        <v>cm</v>
      </c>
      <c r="F933" s="3"/>
      <c r="G933" s="3"/>
      <c r="H933" s="43" t="s">
        <v>736</v>
      </c>
      <c r="I933" s="41">
        <f>IF(R934="","",IF(LFMAS="mA",R934,""))</f>
        <v>400</v>
      </c>
      <c r="J933" s="3"/>
      <c r="K933" s="85"/>
      <c r="L933" s="981" t="s">
        <v>533</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1228</v>
      </c>
      <c r="X933" s="962" t="s">
        <v>533</v>
      </c>
      <c r="AC933" s="15" t="str">
        <f>IF(OR(AA928="",AA929=""),"",IF(Z928=AC929,AA928,IF(Z929=AC929,AA929,IF(Z930=AC929,AA930,IF(Z931=AC929,AA931)))))</f>
        <v/>
      </c>
      <c r="AD933" s="21" t="str">
        <f>IF(AC933="","",LN(AC933))</f>
        <v/>
      </c>
    </row>
    <row r="934" spans="1:32" ht="11.25" customHeight="1">
      <c r="A934" s="878">
        <v>10</v>
      </c>
      <c r="B934" s="56"/>
      <c r="C934" s="43" t="s">
        <v>251</v>
      </c>
      <c r="D934" s="41">
        <f>IF(Q934="","",Q934)</f>
        <v>80</v>
      </c>
      <c r="E934" s="3"/>
      <c r="F934" s="3" t="str">
        <f>IF(OR(MAXAVG="",AND(MAXAVG="Avg kV",U934=""),AND(MAXAVG="Max kV",T934="")),"","Measured")</f>
        <v/>
      </c>
      <c r="G934" s="3"/>
      <c r="H934" s="43" t="s">
        <v>738</v>
      </c>
      <c r="I934" s="44" t="str">
        <f>IF(R934="","",IF(LFMAS="mAs",R934,""))</f>
        <v/>
      </c>
      <c r="J934" s="3"/>
      <c r="K934" s="85"/>
      <c r="L934" s="981" t="s">
        <v>533</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533</v>
      </c>
    </row>
    <row r="935" spans="1:32" ht="11.25" customHeight="1" thickBot="1">
      <c r="A935" s="878">
        <v>11</v>
      </c>
      <c r="B935" s="56"/>
      <c r="C935" s="3"/>
      <c r="D935" s="3"/>
      <c r="E935" s="3"/>
      <c r="F935" s="3" t="str">
        <f>IF(OR(AND(MAXAVG="Max kV",T934&lt;&gt;""),AND(MAXAVG="Avg kV",U934&lt;&gt;"")),MAXAVG,IF(T934&lt;&gt;"","Measured","Set"))</f>
        <v>Set</v>
      </c>
      <c r="G935" s="3"/>
      <c r="H935" s="43" t="s">
        <v>140</v>
      </c>
      <c r="I935" s="42">
        <f>IF(S934="","",S934)</f>
        <v>0.05</v>
      </c>
      <c r="J935" s="3"/>
      <c r="K935" s="85"/>
      <c r="L935" s="981" t="s">
        <v>533</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533</v>
      </c>
      <c r="Z935" s="71">
        <f>AA719</f>
        <v>120</v>
      </c>
      <c r="AA935" s="142" t="s">
        <v>590</v>
      </c>
    </row>
    <row r="936" spans="1:32" ht="11.25" customHeight="1">
      <c r="A936" s="878">
        <v>12</v>
      </c>
      <c r="B936" s="56"/>
      <c r="C936" s="2" t="s">
        <v>252</v>
      </c>
      <c r="D936" s="9" t="s">
        <v>1228</v>
      </c>
      <c r="E936" s="9" t="s">
        <v>1228</v>
      </c>
      <c r="F936" s="9" t="s">
        <v>590</v>
      </c>
      <c r="G936" s="3"/>
      <c r="H936" s="3"/>
      <c r="I936" s="3"/>
      <c r="J936" s="3"/>
      <c r="K936" s="85"/>
      <c r="L936" s="981" t="s">
        <v>533</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533</v>
      </c>
      <c r="Z936" s="383" t="s">
        <v>260</v>
      </c>
      <c r="AA936" s="3"/>
      <c r="AB936" s="3"/>
      <c r="AC936" s="3"/>
      <c r="AD936" s="3" t="str">
        <f>IF(AND(AH927="",AG931&lt;&gt;""),"Meas.",IF(MAXAVG="","Set",MAXAVG))</f>
        <v>Max kV</v>
      </c>
    </row>
    <row r="937" spans="1:32" ht="11.25" customHeight="1" thickBot="1">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533</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533</v>
      </c>
      <c r="Z937" s="8" t="s">
        <v>261</v>
      </c>
      <c r="AA937" s="1621" t="s">
        <v>262</v>
      </c>
      <c r="AB937" s="1621" t="s">
        <v>264</v>
      </c>
      <c r="AC937" s="1621" t="s">
        <v>265</v>
      </c>
      <c r="AD937" s="1621" t="s">
        <v>590</v>
      </c>
      <c r="AF937" s="1621" t="str">
        <f>"HVL @"&amp;ROUND(AD938,2)&amp;" kVp ("&amp;IF(AND(MAXAVG="",AX719&lt;&gt;""),"Meas.",IF(MAXAVG="","Set",MAXAVG))&amp;")"</f>
        <v>HVL @120 kVp (Max kV)</v>
      </c>
    </row>
    <row r="938" spans="1:32" ht="11.25" customHeight="1" thickTop="1" thickBot="1">
      <c r="A938" s="878">
        <v>14</v>
      </c>
      <c r="B938" s="56"/>
      <c r="C938" s="46">
        <f>IF(M936="","",M936)</f>
        <v>3</v>
      </c>
      <c r="D938" s="566" t="str">
        <f>IF(W936="","",W936)</f>
        <v/>
      </c>
      <c r="E938" s="566" t="str">
        <f>IF(W937="","",W937)</f>
        <v/>
      </c>
      <c r="F938" s="9" t="str">
        <f>IF(T936="","",AVERAGE(T936:T937))</f>
        <v/>
      </c>
      <c r="G938" s="3"/>
      <c r="H938" s="43" t="s">
        <v>253</v>
      </c>
      <c r="I938" s="2" t="str">
        <f>HVL</f>
        <v>TBD</v>
      </c>
      <c r="J938" s="3"/>
      <c r="K938" s="85"/>
      <c r="L938" s="981" t="s">
        <v>533</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533</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c r="A939" s="878">
        <v>15</v>
      </c>
      <c r="B939" s="56"/>
      <c r="C939" s="46" t="str">
        <f>IF(M938="","",M938)</f>
        <v/>
      </c>
      <c r="D939" s="566" t="str">
        <f>IF(W938="","",W938)</f>
        <v/>
      </c>
      <c r="E939" s="566" t="str">
        <f>IF(W939="","",W939)</f>
        <v/>
      </c>
      <c r="F939" s="9" t="str">
        <f>IF(T938="","",AVERAGE(T938:T939))</f>
        <v/>
      </c>
      <c r="G939" s="3"/>
      <c r="H939" s="43" t="s">
        <v>1223</v>
      </c>
      <c r="I939" s="34" t="str">
        <f>IF(S959="","",S959)</f>
        <v>TBD</v>
      </c>
      <c r="J939" s="3"/>
      <c r="K939" s="85"/>
      <c r="L939" s="981" t="s">
        <v>533</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533</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8">
        <v>16</v>
      </c>
      <c r="B940" s="56"/>
      <c r="C940" s="2" t="str">
        <f>IF(M940="","",M940)</f>
        <v/>
      </c>
      <c r="D940" s="566" t="str">
        <f>IF(W940="","",W940)</f>
        <v/>
      </c>
      <c r="E940" s="566" t="str">
        <f>IF(W941="","",W941)</f>
        <v/>
      </c>
      <c r="F940" s="9" t="str">
        <f>IF(T940="","",AVERAGE(T940:T941))</f>
        <v/>
      </c>
      <c r="G940" s="3"/>
      <c r="J940" s="3"/>
      <c r="K940" s="85"/>
      <c r="L940" s="981" t="s">
        <v>533</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533</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533</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533</v>
      </c>
      <c r="Z941" s="57" t="str">
        <f>IF(OR(AZ725="",AND(AZ723="",AZ725&lt;&gt;"")),"",AF725)</f>
        <v/>
      </c>
      <c r="AA941" s="388" t="str">
        <f>IF(OR(AZ725="",AND(AZ723="",AZ725&lt;&gt;"")),"",AVERAGE(BB725:BB726))</f>
        <v/>
      </c>
      <c r="AB941" s="15" t="str">
        <f>IF(AA941="","",ABS(AA941-AA938/2))</f>
        <v/>
      </c>
      <c r="AC941" s="1621" t="s">
        <v>267</v>
      </c>
      <c r="AD941" s="1621" t="s">
        <v>268</v>
      </c>
    </row>
    <row r="942" spans="1:32" ht="11.25" customHeight="1">
      <c r="A942" s="878">
        <v>18</v>
      </c>
      <c r="B942" s="56"/>
      <c r="C942" s="46" t="str">
        <f>IF(M944="","",M944)</f>
        <v/>
      </c>
      <c r="D942" s="566" t="str">
        <f>IF(W944="","",W944)</f>
        <v/>
      </c>
      <c r="E942" s="566" t="str">
        <f>IF(W945="","",W945)</f>
        <v/>
      </c>
      <c r="F942" s="9" t="str">
        <f>IF(T944="","",AVERAGE(T944:T945))</f>
        <v/>
      </c>
      <c r="G942" s="554"/>
      <c r="H942" s="422" t="s">
        <v>254</v>
      </c>
      <c r="I942" s="422" t="s">
        <v>255</v>
      </c>
      <c r="J942" s="555" t="s">
        <v>256</v>
      </c>
      <c r="K942" s="85"/>
      <c r="L942" s="981" t="s">
        <v>533</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533</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c r="A943" s="878">
        <v>19</v>
      </c>
      <c r="B943" s="56"/>
      <c r="C943" s="4" t="s">
        <v>257</v>
      </c>
      <c r="D943" s="3"/>
      <c r="E943" s="3"/>
      <c r="F943" s="3"/>
      <c r="G943" s="428" t="s">
        <v>590</v>
      </c>
      <c r="H943" s="423" t="s">
        <v>258</v>
      </c>
      <c r="I943" s="423" t="s">
        <v>258</v>
      </c>
      <c r="J943" s="556" t="s">
        <v>258</v>
      </c>
      <c r="K943" s="85"/>
      <c r="L943" s="981" t="s">
        <v>533</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533</v>
      </c>
      <c r="AC943" s="15" t="str">
        <f>IF(OR(AA938="",AA939=""),"",IF(Z938=AC939,AA938,IF(Z939=AC939,AA939,IF(Z940=AC939,AA940,IF(Z941=AC939,AA941)))))</f>
        <v/>
      </c>
      <c r="AD943" s="21" t="str">
        <f>IF(AC943="","",LN(AC943))</f>
        <v/>
      </c>
    </row>
    <row r="944" spans="1:32" ht="11.25" customHeight="1">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533</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533</v>
      </c>
      <c r="AB944" s="3"/>
      <c r="AC944" s="3"/>
      <c r="AD944" s="3"/>
    </row>
    <row r="945" spans="1:35" ht="11.25" customHeight="1" thickBot="1">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533</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533</v>
      </c>
    </row>
    <row r="946" spans="1:35" ht="11.25" customHeight="1">
      <c r="A946" s="878">
        <v>22</v>
      </c>
      <c r="B946" s="159"/>
      <c r="C946" s="546"/>
      <c r="D946" s="547" t="s">
        <v>259</v>
      </c>
      <c r="E946" s="547"/>
      <c r="F946" s="548"/>
      <c r="G946" s="430">
        <f t="shared" si="145"/>
        <v>80</v>
      </c>
      <c r="H946" s="479">
        <f t="shared" si="145"/>
        <v>3.0363636363636357</v>
      </c>
      <c r="I946" s="425">
        <f t="shared" si="145"/>
        <v>2.6</v>
      </c>
      <c r="J946" s="557">
        <f t="shared" si="145"/>
        <v>3.4</v>
      </c>
      <c r="K946" s="85"/>
      <c r="L946" s="981" t="s">
        <v>533</v>
      </c>
      <c r="M946" s="159"/>
      <c r="N946" s="187" t="s">
        <v>681</v>
      </c>
      <c r="O946" s="1025" t="str">
        <f>IF(O948&lt;&gt;"",O948,IF(OR(AB449=0,AB449=""),"",AB449))</f>
        <v/>
      </c>
      <c r="P946" s="2"/>
      <c r="Q946" s="2"/>
      <c r="R946" s="2"/>
      <c r="S946" s="2"/>
      <c r="T946" s="2"/>
      <c r="U946" s="2"/>
      <c r="V946" s="2"/>
      <c r="W946" s="36"/>
      <c r="X946" s="962" t="s">
        <v>533</v>
      </c>
    </row>
    <row r="947" spans="1:35" ht="11.25" customHeight="1">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533</v>
      </c>
      <c r="M947" s="125"/>
      <c r="N947" s="876" t="s">
        <v>373</v>
      </c>
      <c r="O947" s="128"/>
      <c r="P947" s="1289">
        <f>LEN(O946)</f>
        <v>0</v>
      </c>
      <c r="Q947" s="2"/>
      <c r="R947" s="2"/>
      <c r="S947" s="2"/>
      <c r="T947" s="2"/>
      <c r="U947" s="2"/>
      <c r="V947" s="2"/>
      <c r="W947" s="36"/>
      <c r="X947" s="962" t="s">
        <v>533</v>
      </c>
    </row>
    <row r="948" spans="1:35" ht="11.25" customHeight="1">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533</v>
      </c>
      <c r="M948" s="56"/>
      <c r="N948" s="1447" t="s">
        <v>748</v>
      </c>
      <c r="O948" s="1449"/>
      <c r="P948" s="2"/>
      <c r="Q948" s="2"/>
      <c r="R948" s="2"/>
      <c r="S948" s="2"/>
      <c r="T948" s="2"/>
      <c r="U948" s="2"/>
      <c r="V948" s="2"/>
      <c r="W948" s="36"/>
      <c r="X948" s="962" t="s">
        <v>533</v>
      </c>
    </row>
    <row r="949" spans="1:35" ht="11.25" customHeight="1" thickBot="1">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533</v>
      </c>
      <c r="M949" s="383" t="s">
        <v>260</v>
      </c>
      <c r="N949" s="3"/>
      <c r="O949" s="3"/>
      <c r="P949" s="3"/>
      <c r="Q949" s="3" t="str">
        <f>IF(AND(U930="",T934&lt;&gt;""),"Meas.",IF(MAXAVG="","Set",MAXAVG))</f>
        <v>Max kV</v>
      </c>
      <c r="R949" s="3"/>
      <c r="S949" s="4"/>
      <c r="T949" s="3"/>
      <c r="U949" s="67"/>
      <c r="V949" s="3"/>
      <c r="W949" s="45"/>
      <c r="X949" s="962" t="s">
        <v>533</v>
      </c>
      <c r="Z949" s="443"/>
      <c r="AA949" s="579" t="s">
        <v>24</v>
      </c>
      <c r="AB949" s="626"/>
      <c r="AC949" s="325"/>
      <c r="AD949" s="325"/>
      <c r="AE949" s="808"/>
      <c r="AF949" s="809" t="s">
        <v>23</v>
      </c>
      <c r="AG949" s="810"/>
      <c r="AH949" s="807"/>
      <c r="AI949" s="807"/>
    </row>
    <row r="950" spans="1:35" ht="11.25" customHeight="1" thickBot="1">
      <c r="A950" s="878">
        <v>26</v>
      </c>
      <c r="B950" s="159"/>
      <c r="C950" s="432"/>
      <c r="D950" s="750"/>
      <c r="E950" s="432"/>
      <c r="F950" s="432"/>
      <c r="G950" s="430">
        <f t="shared" si="145"/>
        <v>120</v>
      </c>
      <c r="H950" s="479">
        <f t="shared" si="145"/>
        <v>4.7381818181818192</v>
      </c>
      <c r="I950" s="425">
        <f t="shared" si="145"/>
        <v>4.2</v>
      </c>
      <c r="J950" s="557">
        <f t="shared" si="145"/>
        <v>5.2</v>
      </c>
      <c r="K950" s="85"/>
      <c r="L950" s="981" t="s">
        <v>533</v>
      </c>
      <c r="M950" s="8" t="s">
        <v>261</v>
      </c>
      <c r="N950" s="6" t="s">
        <v>262</v>
      </c>
      <c r="O950" s="6" t="s">
        <v>264</v>
      </c>
      <c r="P950" s="6" t="s">
        <v>265</v>
      </c>
      <c r="Q950" s="6" t="s">
        <v>590</v>
      </c>
      <c r="R950" s="3"/>
      <c r="S950" s="6" t="str">
        <f>"HVL @"&amp;ROUND(avgkvp,2)&amp;" kVp ("&amp;IF(AND(U930="",T934&lt;&gt;""),"Meas.",IF(MAXAVG="","Set",MAXAVG))&amp;")"</f>
        <v>HVL @80 kVp (Max kV)</v>
      </c>
      <c r="T950" s="3"/>
      <c r="U950" s="583" t="str">
        <f>"Criteria:  "&amp;IF(M927=1,"MDPH STANDARD","MUSC STANDARD")</f>
        <v>Criteria:  MUSC STANDARD</v>
      </c>
      <c r="V950" s="67"/>
      <c r="W950" s="85"/>
      <c r="X950" s="962" t="s">
        <v>533</v>
      </c>
      <c r="Z950" s="3"/>
      <c r="AA950" s="426" t="s">
        <v>699</v>
      </c>
      <c r="AC950" s="204"/>
      <c r="AD950" s="325"/>
      <c r="AE950" s="811"/>
      <c r="AF950" s="812" t="s">
        <v>699</v>
      </c>
      <c r="AH950" s="811"/>
      <c r="AI950" s="807"/>
    </row>
    <row r="951" spans="1:35" ht="11.25" customHeight="1" thickTop="1" thickBot="1">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533</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254</v>
      </c>
      <c r="V951" s="422" t="s">
        <v>255</v>
      </c>
      <c r="W951" s="427" t="s">
        <v>256</v>
      </c>
      <c r="X951" s="962" t="s">
        <v>533</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8">
        <v>28</v>
      </c>
      <c r="B952" s="141" t="s">
        <v>681</v>
      </c>
      <c r="C952" s="1290" t="str">
        <f>IF(O946="","",IF(LEN(O946)&lt;=135,O946,IF(LEN(O946)&lt;=260,LEFT(O946,SEARCH(" ",O946,125)),LEFT(O946,SEARCH(" ",O946,130)))))</f>
        <v/>
      </c>
      <c r="D952" s="2"/>
      <c r="E952" s="2"/>
      <c r="F952" s="2"/>
      <c r="G952" s="2"/>
      <c r="H952" s="2"/>
      <c r="I952" s="2"/>
      <c r="J952" s="2"/>
      <c r="K952" s="85"/>
      <c r="L952" s="981" t="s">
        <v>533</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590</v>
      </c>
      <c r="U952" s="424" t="s">
        <v>258</v>
      </c>
      <c r="V952" s="424" t="s">
        <v>258</v>
      </c>
      <c r="W952" s="429" t="s">
        <v>258</v>
      </c>
      <c r="X952" s="962" t="s">
        <v>533</v>
      </c>
      <c r="Z952" s="428" t="s">
        <v>590</v>
      </c>
      <c r="AA952" s="424" t="s">
        <v>258</v>
      </c>
      <c r="AB952" s="424" t="s">
        <v>258</v>
      </c>
      <c r="AC952" s="787" t="s">
        <v>258</v>
      </c>
      <c r="AD952" s="325"/>
      <c r="AE952" s="815" t="s">
        <v>590</v>
      </c>
      <c r="AF952" s="816" t="s">
        <v>258</v>
      </c>
      <c r="AG952" s="816" t="s">
        <v>258</v>
      </c>
      <c r="AH952" s="817" t="s">
        <v>258</v>
      </c>
      <c r="AI952" s="807"/>
    </row>
    <row r="953" spans="1:35" ht="11.25" customHeight="1">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533</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2" t="s">
        <v>533</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8">
        <v>30</v>
      </c>
      <c r="B954" s="56"/>
      <c r="C954" s="1290" t="str">
        <f>IF(LEN(O946)&lt;=265,"",RIGHT(O946,LEN(O946)-SEARCH(" ",O946,255)))</f>
        <v/>
      </c>
      <c r="D954" s="2"/>
      <c r="E954" s="2"/>
      <c r="F954" s="2"/>
      <c r="G954" s="2"/>
      <c r="H954" s="2"/>
      <c r="I954" s="2"/>
      <c r="J954" s="2"/>
      <c r="K954" s="85"/>
      <c r="L954" s="981" t="s">
        <v>533</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533</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8">
        <v>31</v>
      </c>
      <c r="B955" s="159"/>
      <c r="C955" s="67"/>
      <c r="D955" s="67"/>
      <c r="E955" s="67"/>
      <c r="F955" s="67"/>
      <c r="G955" s="67"/>
      <c r="H955" s="67"/>
      <c r="I955" s="67"/>
      <c r="J955" s="67"/>
      <c r="K955" s="85"/>
      <c r="L955" s="981" t="s">
        <v>533</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533</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8">
        <v>32</v>
      </c>
      <c r="B956" s="159"/>
      <c r="D956" s="67"/>
      <c r="E956" s="67"/>
      <c r="F956" s="67"/>
      <c r="G956" s="67"/>
      <c r="H956" s="67"/>
      <c r="I956" s="67"/>
      <c r="J956" s="67"/>
      <c r="K956" s="85"/>
      <c r="L956" s="981" t="s">
        <v>533</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533</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8">
        <v>33</v>
      </c>
      <c r="B957" s="203"/>
      <c r="D957" s="47"/>
      <c r="E957" s="47"/>
      <c r="F957" s="47"/>
      <c r="G957" s="47"/>
      <c r="H957" s="47"/>
      <c r="I957" s="47"/>
      <c r="J957" s="47"/>
      <c r="K957" s="614"/>
      <c r="L957" s="981" t="s">
        <v>533</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533</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8">
        <v>34</v>
      </c>
      <c r="B958" s="450"/>
      <c r="C958" s="615"/>
      <c r="D958" s="615"/>
      <c r="E958" s="615"/>
      <c r="F958" s="616"/>
      <c r="G958" s="98"/>
      <c r="H958" s="615"/>
      <c r="I958" s="615"/>
      <c r="J958" s="615"/>
      <c r="K958" s="617"/>
      <c r="L958" s="981" t="s">
        <v>533</v>
      </c>
      <c r="M958" s="56"/>
      <c r="N958" s="3"/>
      <c r="P958" s="3"/>
      <c r="Q958" s="3"/>
      <c r="R958" s="1076" t="s">
        <v>698</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533</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8">
        <v>35</v>
      </c>
      <c r="L959" s="981" t="s">
        <v>533</v>
      </c>
      <c r="M959" s="203"/>
      <c r="N959" s="3"/>
      <c r="O959" s="3"/>
      <c r="P959" s="3"/>
      <c r="Q959" s="3"/>
      <c r="R959" s="1076" t="s">
        <v>1222</v>
      </c>
      <c r="S959" s="1056" t="str">
        <f>IF(OR($W$934="",$W$934=0,$W$936="",$W$936=0),"TBD",IF(ROUND(HVL,2)&gt;=$S$954,"YES","NO"))</f>
        <v>TBD</v>
      </c>
      <c r="T959" s="430">
        <f t="shared" si="146"/>
        <v>120</v>
      </c>
      <c r="U959" s="479">
        <f t="shared" si="146"/>
        <v>4.7381818181818192</v>
      </c>
      <c r="V959" s="425">
        <f t="shared" si="146"/>
        <v>4.2</v>
      </c>
      <c r="W959" s="431">
        <f t="shared" si="146"/>
        <v>5.2</v>
      </c>
      <c r="X959" s="962" t="s">
        <v>533</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8">
        <v>36</v>
      </c>
      <c r="L960" s="981" t="s">
        <v>533</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533</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8">
        <v>37</v>
      </c>
      <c r="B961" s="47"/>
      <c r="C961" s="47"/>
      <c r="D961" s="47"/>
      <c r="E961" s="47"/>
      <c r="F961" s="47"/>
      <c r="G961" s="47"/>
      <c r="H961" s="47"/>
      <c r="I961" s="47"/>
      <c r="J961" s="47"/>
      <c r="K961" s="47"/>
      <c r="L961" s="981" t="s">
        <v>533</v>
      </c>
      <c r="M961" s="47"/>
      <c r="N961" s="67"/>
      <c r="O961" s="67"/>
      <c r="P961" s="67"/>
      <c r="Q961" s="67"/>
      <c r="R961" s="67"/>
      <c r="S961" s="67"/>
      <c r="T961" s="67"/>
      <c r="U961" s="67"/>
      <c r="V961" s="67"/>
      <c r="W961" s="67"/>
      <c r="X961" s="962" t="s">
        <v>533</v>
      </c>
      <c r="Y961" s="204"/>
      <c r="Z961" s="439"/>
      <c r="AA961" s="439"/>
      <c r="AB961" s="439"/>
      <c r="AC961" s="439"/>
      <c r="AD961" s="439"/>
      <c r="AE961" s="807"/>
      <c r="AF961" s="807"/>
      <c r="AG961" s="807"/>
      <c r="AH961" s="807"/>
      <c r="AI961" s="807"/>
    </row>
    <row r="962" spans="1:35" ht="11.25" customHeight="1" thickBot="1">
      <c r="A962" s="878">
        <v>38</v>
      </c>
      <c r="B962" s="67"/>
      <c r="C962" s="67"/>
      <c r="D962" s="67"/>
      <c r="E962" s="67"/>
      <c r="F962" s="67"/>
      <c r="G962" s="67"/>
      <c r="H962" s="67"/>
      <c r="I962" s="67"/>
      <c r="J962" s="67"/>
      <c r="K962" s="67"/>
      <c r="L962" s="981" t="s">
        <v>533</v>
      </c>
      <c r="M962" s="1706" t="str">
        <f>ROUND(AD918,1)&amp;" kV"</f>
        <v>60 kV</v>
      </c>
      <c r="N962" s="1706"/>
      <c r="R962" s="1024" t="s">
        <v>495</v>
      </c>
      <c r="S962" s="1025" t="str">
        <f>IF(OR(AB480=0,AB480=""),"",AB480)</f>
        <v>HVL @80.61 kVp (Max kV)</v>
      </c>
      <c r="X962" s="962" t="s">
        <v>533</v>
      </c>
    </row>
    <row r="963" spans="1:35" ht="11.25" customHeight="1" thickBot="1">
      <c r="A963" s="878">
        <v>39</v>
      </c>
      <c r="B963" s="67"/>
      <c r="C963" s="67"/>
      <c r="D963" s="67"/>
      <c r="E963" s="67"/>
      <c r="F963" s="67"/>
      <c r="G963" s="67"/>
      <c r="H963" s="67"/>
      <c r="I963" s="67"/>
      <c r="J963" s="67"/>
      <c r="K963" s="67"/>
      <c r="L963" s="981" t="s">
        <v>533</v>
      </c>
      <c r="M963" s="1238" t="s">
        <v>261</v>
      </c>
      <c r="N963" s="1239" t="s">
        <v>262</v>
      </c>
      <c r="S963" s="1039">
        <f>IF(OR(AB481=0,AB481=""),"",AB481)</f>
        <v>3.1621793199765431</v>
      </c>
      <c r="X963" s="962" t="s">
        <v>533</v>
      </c>
      <c r="Y963" s="1609" t="s">
        <v>130</v>
      </c>
      <c r="Z963" s="1610" t="s">
        <v>254</v>
      </c>
    </row>
    <row r="964" spans="1:35" ht="11.25" customHeight="1">
      <c r="A964" s="878">
        <v>40</v>
      </c>
      <c r="B964" s="67"/>
      <c r="C964" s="67"/>
      <c r="D964" s="67"/>
      <c r="E964" s="67"/>
      <c r="F964" s="67"/>
      <c r="G964" s="67"/>
      <c r="H964" s="67"/>
      <c r="I964" s="67"/>
      <c r="J964" s="67"/>
      <c r="K964" s="67"/>
      <c r="L964" s="981" t="s">
        <v>533</v>
      </c>
      <c r="M964" s="1240" t="str">
        <f>IF(AF918="TBD","TBD",SMALL($Z$918:$Z$922,2))</f>
        <v>TBD</v>
      </c>
      <c r="N964" s="1241" t="str">
        <f>IF(AF918="TBD","TBD",IF(M964="",NA(),INDEX($AA$918:$AA$922,MATCH(M964,$Z$918:$Z$922,0))))</f>
        <v>TBD</v>
      </c>
      <c r="X964" s="962" t="s">
        <v>533</v>
      </c>
      <c r="Y964" s="1661">
        <f>AD918</f>
        <v>60</v>
      </c>
      <c r="Z964" s="1662" t="e">
        <f>AVERAGE(BB625:BB626)</f>
        <v>#DIV/0!</v>
      </c>
    </row>
    <row r="965" spans="1:35" ht="11.25" customHeight="1">
      <c r="A965" s="878">
        <v>41</v>
      </c>
      <c r="B965" s="67"/>
      <c r="C965" s="67"/>
      <c r="D965" s="67"/>
      <c r="E965" s="67"/>
      <c r="F965" s="67"/>
      <c r="G965" s="67"/>
      <c r="H965" s="67"/>
      <c r="I965" s="67"/>
      <c r="J965" s="67"/>
      <c r="K965" s="67"/>
      <c r="L965" s="981" t="s">
        <v>533</v>
      </c>
      <c r="M965" s="1242" t="str">
        <f>IF(AF918="TBD","TBD",SMALL($Z$918:$Z$922,3))</f>
        <v>TBD</v>
      </c>
      <c r="N965" s="1241" t="str">
        <f>IF(AF918="TBD","TBD",IF(M965="",NA(),INDEX($AA$918:$AA$922,MATCH(M965,$Z$918:$Z$922,0))))</f>
        <v>TBD</v>
      </c>
      <c r="X965" s="962" t="s">
        <v>533</v>
      </c>
      <c r="Y965" s="1663">
        <f>avgkvp</f>
        <v>80</v>
      </c>
      <c r="Z965" s="1664" t="str">
        <f>HVL</f>
        <v>TBD</v>
      </c>
    </row>
    <row r="966" spans="1:35" ht="11.25" customHeight="1">
      <c r="A966" s="878">
        <v>42</v>
      </c>
      <c r="L966" s="981" t="s">
        <v>533</v>
      </c>
      <c r="M966" s="1242" t="str">
        <f>IF(AF918="TBD","TBD",SMALL($Z$918:$Z$922,4))</f>
        <v>TBD</v>
      </c>
      <c r="N966" s="1241" t="str">
        <f>IF(AF918="TBD","TBD",IF(M966="",NA(),INDEX($AA$918:$AA$922,MATCH(M966,$Z$918:$Z$922,0))))</f>
        <v>TBD</v>
      </c>
      <c r="X966" s="962" t="s">
        <v>533</v>
      </c>
      <c r="Y966" s="1663">
        <f>AD928</f>
        <v>100</v>
      </c>
      <c r="Z966" s="1664" t="e">
        <f>AVERAGE(BB648:BB649)</f>
        <v>#DIV/0!</v>
      </c>
    </row>
    <row r="967" spans="1:35" ht="11.25" customHeight="1" thickBot="1">
      <c r="A967" s="878">
        <v>43</v>
      </c>
      <c r="L967" s="981" t="s">
        <v>533</v>
      </c>
      <c r="M967" s="1243" t="str">
        <f>IF(AF918="TBD","TBD",IF(Z921="",NA(),SMALL($Z$918:$Z$922,5)))</f>
        <v>TBD</v>
      </c>
      <c r="N967" s="1244" t="str">
        <f>IF(AF918="TBD","TBD",IF(M967="",NA(),INDEX($AA$918:$AA$922,MATCH(M967,$Z$918:$Z$922,0))))</f>
        <v>TBD</v>
      </c>
      <c r="X967" s="962" t="s">
        <v>533</v>
      </c>
      <c r="Y967" s="1665">
        <f>AD938</f>
        <v>120</v>
      </c>
      <c r="Z967" s="1666" t="e">
        <f>AVERAGE(BB656:BB657)</f>
        <v>#DIV/0!</v>
      </c>
    </row>
    <row r="968" spans="1:35" ht="11.25" customHeight="1">
      <c r="A968" s="878">
        <v>44</v>
      </c>
      <c r="L968" s="981" t="s">
        <v>533</v>
      </c>
      <c r="O968" s="1236"/>
      <c r="X968" s="962" t="s">
        <v>533</v>
      </c>
      <c r="Y968" s="142">
        <f>AW664</f>
        <v>0</v>
      </c>
      <c r="Z968" s="142">
        <f>BB664</f>
        <v>0</v>
      </c>
    </row>
    <row r="969" spans="1:35" ht="11.25" customHeight="1" thickBot="1">
      <c r="A969" s="878">
        <v>45</v>
      </c>
      <c r="L969" s="981" t="s">
        <v>533</v>
      </c>
      <c r="M969" s="1706" t="str">
        <f>ROUND(AD928,1)&amp;" kV"</f>
        <v>100 kV</v>
      </c>
      <c r="N969" s="1706"/>
      <c r="O969" s="1236"/>
      <c r="X969" s="962" t="s">
        <v>533</v>
      </c>
      <c r="Y969" s="142">
        <f>AW665</f>
        <v>0</v>
      </c>
      <c r="Z969" s="142">
        <f>BB665</f>
        <v>0</v>
      </c>
    </row>
    <row r="970" spans="1:35" ht="11.25" customHeight="1" thickBot="1">
      <c r="A970" s="878">
        <v>46</v>
      </c>
      <c r="L970" s="981" t="s">
        <v>533</v>
      </c>
      <c r="M970" s="1238" t="s">
        <v>261</v>
      </c>
      <c r="N970" s="1239" t="s">
        <v>262</v>
      </c>
      <c r="O970" s="1236"/>
      <c r="X970" s="962" t="s">
        <v>533</v>
      </c>
      <c r="Y970" s="142" t="e">
        <f>AVERAGE(AW625:AW626)</f>
        <v>#DIV/0!</v>
      </c>
      <c r="Z970" s="142" t="e">
        <f>AVERAGE(BB625:BB626)</f>
        <v>#DIV/0!</v>
      </c>
    </row>
    <row r="971" spans="1:35" ht="11.25" customHeight="1">
      <c r="A971" s="878">
        <v>47</v>
      </c>
      <c r="L971" s="981" t="s">
        <v>533</v>
      </c>
      <c r="M971" s="1240" t="str">
        <f>IF(AF928="TBD","TBD",SMALL($Z$928:$Z$932,2))</f>
        <v>TBD</v>
      </c>
      <c r="N971" s="1241" t="str">
        <f>IF(AF928="TBD","TBD",IF(M971="",NA(),INDEX($AA$928:$AA$932,MATCH(M971,$Z$928:$Z$932,0))))</f>
        <v>TBD</v>
      </c>
      <c r="O971" s="1236"/>
      <c r="X971" s="962" t="s">
        <v>533</v>
      </c>
      <c r="Y971" s="142">
        <f>AW666</f>
        <v>0</v>
      </c>
      <c r="Z971" s="142">
        <f>BB666</f>
        <v>0</v>
      </c>
    </row>
    <row r="972" spans="1:35" ht="11.25" customHeight="1">
      <c r="A972" s="878">
        <v>48</v>
      </c>
      <c r="L972" s="981" t="s">
        <v>533</v>
      </c>
      <c r="M972" s="1242" t="str">
        <f>IF(AF928="TBD","TBD",SMALL($Z$928:$Z$932,3))</f>
        <v>TBD</v>
      </c>
      <c r="N972" s="1241" t="str">
        <f>IF(AF928="TBD","TBD",IF(M972="",NA(),INDEX($AA$928:$AA$932,MATCH(M972,$Z$928:$Z$932,0))))</f>
        <v>TBD</v>
      </c>
      <c r="O972" s="1236"/>
      <c r="X972" s="962" t="s">
        <v>533</v>
      </c>
      <c r="Y972" s="142" t="e">
        <f>AVERAGE(AW633:AW637)</f>
        <v>#DIV/0!</v>
      </c>
      <c r="Z972" s="142" t="str">
        <f>HVL</f>
        <v>TBD</v>
      </c>
    </row>
    <row r="973" spans="1:35" ht="11.25" customHeight="1">
      <c r="A973" s="878">
        <v>49</v>
      </c>
      <c r="L973" s="981" t="s">
        <v>533</v>
      </c>
      <c r="M973" s="1242" t="str">
        <f>IF(AF928="TBD","TBD",SMALL($Z$928:$Z$932,4))</f>
        <v>TBD</v>
      </c>
      <c r="N973" s="1241" t="str">
        <f>IF(AF928="TBD","TBD",IF(M973="",NA(),INDEX($AA$928:$AA$932,MATCH(M973,$Z$928:$Z$932,0))))</f>
        <v>TBD</v>
      </c>
      <c r="O973" s="1236"/>
      <c r="X973" s="962" t="s">
        <v>533</v>
      </c>
      <c r="Y973" s="142" t="e">
        <f>AVERAGE(AW667:AW671)</f>
        <v>#DIV/0!</v>
      </c>
      <c r="Z973" s="142" t="e">
        <f>AVERAGE(BB667:BB671)</f>
        <v>#DIV/0!</v>
      </c>
    </row>
    <row r="974" spans="1:35" ht="11.25" customHeight="1" thickBot="1">
      <c r="A974" s="878">
        <v>50</v>
      </c>
      <c r="L974" s="981" t="s">
        <v>533</v>
      </c>
      <c r="M974" s="1243" t="str">
        <f>IF(AF928="TBD","TBD",IF(Z931="",NA(),SMALL($Z$928:$Z$932,5)))</f>
        <v>TBD</v>
      </c>
      <c r="N974" s="1244" t="str">
        <f>IF(AF928="TBD","TBD",IF(M974="",NA(),INDEX($AA$928:$AA$932,MATCH(M974,$Z$928:$Z$932,0))))</f>
        <v>TBD</v>
      </c>
      <c r="X974" s="962" t="s">
        <v>533</v>
      </c>
      <c r="Y974" s="142" t="e">
        <f>AVERAGE(AW648:AW649)</f>
        <v>#DIV/0!</v>
      </c>
      <c r="Z974" s="142" t="e">
        <f>AVERAGE(BB648:BB649)</f>
        <v>#DIV/0!</v>
      </c>
    </row>
    <row r="975" spans="1:35" ht="11.25" customHeight="1">
      <c r="A975" s="878">
        <v>51</v>
      </c>
      <c r="L975" s="981" t="s">
        <v>533</v>
      </c>
      <c r="X975" s="962" t="s">
        <v>533</v>
      </c>
      <c r="Y975" s="142">
        <f>AW677</f>
        <v>0</v>
      </c>
      <c r="Z975" s="142">
        <f>BB677</f>
        <v>0</v>
      </c>
    </row>
    <row r="976" spans="1:35" ht="11.25" customHeight="1" thickBot="1">
      <c r="A976" s="878">
        <v>52</v>
      </c>
      <c r="L976" s="981" t="s">
        <v>533</v>
      </c>
      <c r="M976" s="1706" t="str">
        <f>ROUND(I937,1)&amp;" kV"</f>
        <v>80 kV</v>
      </c>
      <c r="N976" s="1706"/>
      <c r="X976" s="962" t="s">
        <v>533</v>
      </c>
      <c r="Y976" s="142" t="e">
        <f>AVERAGE(AW656:AW657)</f>
        <v>#DIV/0!</v>
      </c>
      <c r="Z976" s="142" t="e">
        <f>AVERAGE(BB656:BB657)</f>
        <v>#DIV/0!</v>
      </c>
    </row>
    <row r="977" spans="1:26" ht="11.25" customHeight="1" thickBot="1">
      <c r="A977" s="878">
        <v>53</v>
      </c>
      <c r="L977" s="981" t="s">
        <v>533</v>
      </c>
      <c r="M977" s="1238" t="s">
        <v>261</v>
      </c>
      <c r="N977" s="1239" t="s">
        <v>262</v>
      </c>
      <c r="X977" s="962" t="s">
        <v>533</v>
      </c>
      <c r="Y977" s="142">
        <f>AW678</f>
        <v>0</v>
      </c>
      <c r="Z977" s="142">
        <f>BB678</f>
        <v>0</v>
      </c>
    </row>
    <row r="978" spans="1:26" ht="11.25" customHeight="1">
      <c r="A978" s="878">
        <v>54</v>
      </c>
      <c r="L978" s="981" t="s">
        <v>533</v>
      </c>
      <c r="M978" s="1240" t="str">
        <f>IF(HVL="TBD","TBD",SMALL($M$951:$M$957,2))</f>
        <v>TBD</v>
      </c>
      <c r="N978" s="1241" t="str">
        <f t="shared" ref="N978:N983" si="149">IF(HVL="TBD","TBD",IF(M978="",NA(),INDEX($N$951:$N$957,MATCH(M978,$M$951:$M$957,0))))</f>
        <v>TBD</v>
      </c>
      <c r="X978" s="962" t="s">
        <v>533</v>
      </c>
      <c r="Y978" s="142">
        <f>AW664</f>
        <v>0</v>
      </c>
      <c r="Z978" s="142">
        <f>BB664</f>
        <v>0</v>
      </c>
    </row>
    <row r="979" spans="1:26" ht="11.25" customHeight="1">
      <c r="A979" s="878">
        <v>55</v>
      </c>
      <c r="L979" s="981" t="s">
        <v>533</v>
      </c>
      <c r="M979" s="1242" t="str">
        <f>IF(HVL="TBD","TBD",SMALL($M$951:$M$957,3))</f>
        <v>TBD</v>
      </c>
      <c r="N979" s="1241" t="str">
        <f t="shared" si="149"/>
        <v>TBD</v>
      </c>
      <c r="X979" s="962" t="s">
        <v>533</v>
      </c>
    </row>
    <row r="980" spans="1:26" ht="11.25" customHeight="1">
      <c r="A980" s="878">
        <v>56</v>
      </c>
      <c r="L980" s="981" t="s">
        <v>533</v>
      </c>
      <c r="M980" s="1242" t="str">
        <f>IF(HVL="TBD","TBD",SMALL($M$951:$M$957,4))</f>
        <v>TBD</v>
      </c>
      <c r="N980" s="1241" t="str">
        <f t="shared" si="149"/>
        <v>TBD</v>
      </c>
      <c r="X980" s="962" t="s">
        <v>533</v>
      </c>
    </row>
    <row r="981" spans="1:26" ht="11.25" customHeight="1">
      <c r="A981" s="878">
        <v>57</v>
      </c>
      <c r="L981" s="981" t="s">
        <v>533</v>
      </c>
      <c r="M981" s="1242" t="str">
        <f>IF(HVL="TBD","TBD",IF(ALUM_3="",NA(),SMALL($M$951:$M$957,5)))</f>
        <v>TBD</v>
      </c>
      <c r="N981" s="1241" t="str">
        <f t="shared" si="149"/>
        <v>TBD</v>
      </c>
      <c r="X981" s="962" t="s">
        <v>533</v>
      </c>
    </row>
    <row r="982" spans="1:26" ht="11.25" customHeight="1">
      <c r="A982" s="878">
        <v>58</v>
      </c>
      <c r="L982" s="981" t="s">
        <v>533</v>
      </c>
      <c r="M982" s="1242" t="str">
        <f>IF(HVL="TBD","TBD",IF(ALUM_4="",NA(),SMALL($M$951:$M$957,6)))</f>
        <v>TBD</v>
      </c>
      <c r="N982" s="1241" t="str">
        <f t="shared" si="149"/>
        <v>TBD</v>
      </c>
      <c r="X982" s="962" t="s">
        <v>533</v>
      </c>
    </row>
    <row r="983" spans="1:26" ht="11.25" customHeight="1" thickBot="1">
      <c r="A983" s="878">
        <v>59</v>
      </c>
      <c r="L983" s="981" t="s">
        <v>533</v>
      </c>
      <c r="M983" s="1243" t="str">
        <f>IF(HVL="TBD","TBD",IF(ALUM_5="",NA(),SMALL($M$951:$M$957,7)))</f>
        <v>TBD</v>
      </c>
      <c r="N983" s="1244" t="str">
        <f t="shared" si="149"/>
        <v>TBD</v>
      </c>
      <c r="X983" s="962" t="s">
        <v>533</v>
      </c>
    </row>
    <row r="984" spans="1:26" ht="11.25" customHeight="1">
      <c r="A984" s="878">
        <v>60</v>
      </c>
      <c r="L984" s="981" t="s">
        <v>533</v>
      </c>
      <c r="X984" s="962" t="s">
        <v>533</v>
      </c>
    </row>
    <row r="985" spans="1:26" ht="11.25" customHeight="1" thickBot="1">
      <c r="A985" s="878">
        <v>61</v>
      </c>
      <c r="L985" s="981" t="s">
        <v>533</v>
      </c>
      <c r="M985" s="1706" t="str">
        <f>ROUND(AD938,1)&amp;" kV"</f>
        <v>120 kV</v>
      </c>
      <c r="N985" s="1706"/>
      <c r="X985" s="962" t="s">
        <v>533</v>
      </c>
    </row>
    <row r="986" spans="1:26" ht="11.25" customHeight="1" thickBot="1">
      <c r="A986" s="878">
        <v>62</v>
      </c>
      <c r="L986" s="981" t="s">
        <v>533</v>
      </c>
      <c r="M986" s="1238" t="s">
        <v>261</v>
      </c>
      <c r="N986" s="1239" t="s">
        <v>262</v>
      </c>
      <c r="X986" s="962" t="s">
        <v>533</v>
      </c>
    </row>
    <row r="987" spans="1:26" ht="11.25" customHeight="1">
      <c r="A987" s="878">
        <v>63</v>
      </c>
      <c r="L987" s="981" t="s">
        <v>533</v>
      </c>
      <c r="M987" s="1240" t="str">
        <f>IF(AF938="TBD","TBD",SMALL($Z$938:$Z$942,2))</f>
        <v>TBD</v>
      </c>
      <c r="N987" s="1241" t="str">
        <f>IF(AF938="TBD","TBD",IF(M987="",NA(),INDEX($AA$938:$AA$942,MATCH(M987,$Z$938:$Z$942,0))))</f>
        <v>TBD</v>
      </c>
      <c r="X987" s="962" t="s">
        <v>533</v>
      </c>
    </row>
    <row r="988" spans="1:26" ht="11.25" customHeight="1">
      <c r="A988" s="878">
        <v>64</v>
      </c>
      <c r="L988" s="981" t="s">
        <v>533</v>
      </c>
      <c r="M988" s="1242" t="str">
        <f>IF(AF938="TBD","TBD",SMALL($Z$938:$Z$942,3))</f>
        <v>TBD</v>
      </c>
      <c r="N988" s="1241" t="str">
        <f>IF(AF938="TBD","TBD",IF(M988="",NA(),INDEX($AA$938:$AA$942,MATCH(M988,$Z$938:$Z$942,0))))</f>
        <v>TBD</v>
      </c>
      <c r="X988" s="962" t="s">
        <v>533</v>
      </c>
    </row>
    <row r="989" spans="1:26" ht="11.25" customHeight="1">
      <c r="A989" s="878">
        <v>65</v>
      </c>
      <c r="B989" s="64" t="str">
        <f t="array" ref="B989:C990">$B$65:$C$66</f>
        <v>Date:</v>
      </c>
      <c r="C989" s="1467">
        <v>43039</v>
      </c>
      <c r="D989" s="144"/>
      <c r="E989" s="144"/>
      <c r="F989" s="144"/>
      <c r="G989" s="144"/>
      <c r="H989" s="144"/>
      <c r="I989" s="64" t="str">
        <f t="array" ref="I989:J990">$I$65:$J$66</f>
        <v>Inspector:</v>
      </c>
      <c r="J989" s="565" t="str">
        <v>Eugene Mah</v>
      </c>
      <c r="L989" s="981" t="s">
        <v>533</v>
      </c>
      <c r="M989" s="1242" t="str">
        <f>IF(AF938="TBD","TBD",SMALL($Z$938:$Z$942,4))</f>
        <v>TBD</v>
      </c>
      <c r="N989" s="1241" t="str">
        <f>IF(AF938="TBD","TBD",IF(M989="",NA(),INDEX($AA$938:$AA$942,MATCH(M989,$Z$938:$Z$942,0))))</f>
        <v>TBD</v>
      </c>
      <c r="X989" s="962" t="s">
        <v>533</v>
      </c>
    </row>
    <row r="990" spans="1:26" ht="11.25" customHeight="1" thickBot="1">
      <c r="A990" s="878">
        <v>66</v>
      </c>
      <c r="B990" s="64" t="str">
        <v>Room Number:</v>
      </c>
      <c r="C990" s="508" t="str">
        <v>Room 04 RT 127M - Tube 1</v>
      </c>
      <c r="D990" s="144"/>
      <c r="E990" s="144"/>
      <c r="F990" s="144"/>
      <c r="G990" s="144"/>
      <c r="H990" s="144"/>
      <c r="I990" s="64" t="str">
        <v>Survey ID:</v>
      </c>
      <c r="J990" s="1475">
        <v>1976</v>
      </c>
      <c r="L990" s="981" t="s">
        <v>533</v>
      </c>
      <c r="M990" s="1243" t="str">
        <f>IF(AF938="TBD","TBD",IF(Z941="",NA(),SMALL($Z$938:$Z$942,5)))</f>
        <v>TBD</v>
      </c>
      <c r="N990" s="1244" t="str">
        <f>IF(AF938="TBD","TBD",IF(M990="",NA(),INDEX($AA$938:$AA$942,MATCH(M990,$Z$938:$Z$942,0))))</f>
        <v>TBD</v>
      </c>
      <c r="P990" s="1426" t="s">
        <v>1173</v>
      </c>
      <c r="X990" s="962" t="s">
        <v>533</v>
      </c>
    </row>
    <row r="991" spans="1:26" ht="11.25" customHeight="1">
      <c r="A991" s="878">
        <v>1</v>
      </c>
      <c r="B991" s="1"/>
      <c r="C991" s="1"/>
      <c r="D991" s="1"/>
      <c r="E991" s="1"/>
      <c r="H991" s="1"/>
      <c r="I991" s="1"/>
      <c r="J991" s="1"/>
      <c r="K991" s="165" t="str">
        <f>$F$2</f>
        <v>Medical University of South Carolina</v>
      </c>
      <c r="L991" s="981" t="s">
        <v>533</v>
      </c>
      <c r="M991" s="1"/>
      <c r="N991" s="1"/>
      <c r="O991" s="1"/>
      <c r="P991" s="1146"/>
      <c r="Q991" s="1"/>
      <c r="S991" s="1"/>
      <c r="T991" s="1"/>
      <c r="U991" s="1"/>
      <c r="V991" s="1"/>
      <c r="W991" s="165" t="str">
        <f>$F$2</f>
        <v>Medical University of South Carolina</v>
      </c>
      <c r="X991" s="962" t="s">
        <v>533</v>
      </c>
    </row>
    <row r="992" spans="1:26" ht="11.25" customHeight="1">
      <c r="A992" s="878">
        <v>2</v>
      </c>
      <c r="F992" s="344" t="str">
        <f>$F$464</f>
        <v>Measurement Data</v>
      </c>
      <c r="K992" s="166" t="str">
        <f>$F$5</f>
        <v>Radiographic System Compliance Inspection</v>
      </c>
      <c r="L992" s="981" t="s">
        <v>533</v>
      </c>
      <c r="Q992" s="344" t="str">
        <f>$F$464</f>
        <v>Measurement Data</v>
      </c>
      <c r="R992" s="55"/>
      <c r="W992" s="166" t="str">
        <f>$F$5</f>
        <v>Radiographic System Compliance Inspection</v>
      </c>
      <c r="X992" s="962" t="s">
        <v>533</v>
      </c>
    </row>
    <row r="993" spans="1:27" ht="11.25" customHeight="1" thickBot="1">
      <c r="A993" s="878">
        <v>3</v>
      </c>
      <c r="L993" s="981" t="s">
        <v>533</v>
      </c>
      <c r="X993" s="962" t="s">
        <v>533</v>
      </c>
    </row>
    <row r="994" spans="1:27" ht="11.25" customHeight="1">
      <c r="A994" s="878">
        <v>4</v>
      </c>
      <c r="B994" s="472"/>
      <c r="C994" s="609"/>
      <c r="D994" s="609"/>
      <c r="E994" s="609"/>
      <c r="F994" s="609"/>
      <c r="G994" s="609"/>
      <c r="H994" s="609"/>
      <c r="I994" s="609"/>
      <c r="J994" s="609"/>
      <c r="K994" s="610"/>
      <c r="L994" s="981" t="s">
        <v>533</v>
      </c>
      <c r="M994" s="472"/>
      <c r="N994" s="473"/>
      <c r="O994" s="473"/>
      <c r="P994" s="473"/>
      <c r="Q994" s="473"/>
      <c r="R994" s="473"/>
      <c r="S994" s="473"/>
      <c r="T994" s="473"/>
      <c r="U994" s="473"/>
      <c r="V994" s="473"/>
      <c r="W994" s="474"/>
      <c r="X994" s="962" t="s">
        <v>533</v>
      </c>
    </row>
    <row r="995" spans="1:27" ht="11.25" customHeight="1">
      <c r="A995" s="878">
        <v>5</v>
      </c>
      <c r="B995" s="611"/>
      <c r="C995" s="67"/>
      <c r="D995" s="67"/>
      <c r="E995" s="67"/>
      <c r="F995" s="344" t="str">
        <f>IF(R995="","",R995)</f>
        <v>PHOTOTIMING</v>
      </c>
      <c r="G995" s="67"/>
      <c r="H995" s="67"/>
      <c r="I995" s="67"/>
      <c r="J995" s="67"/>
      <c r="K995" s="476"/>
      <c r="L995" s="981" t="s">
        <v>533</v>
      </c>
      <c r="M995" s="475"/>
      <c r="N995" s="67"/>
      <c r="O995" s="67"/>
      <c r="P995" s="67"/>
      <c r="Q995" s="67"/>
      <c r="R995" s="344" t="s">
        <v>272</v>
      </c>
      <c r="S995" s="67"/>
      <c r="T995" s="67"/>
      <c r="U995" s="67"/>
      <c r="V995" s="67"/>
      <c r="W995" s="476"/>
      <c r="X995" s="962" t="s">
        <v>533</v>
      </c>
    </row>
    <row r="996" spans="1:27" ht="11.25" customHeight="1" thickBot="1">
      <c r="A996" s="878">
        <v>6</v>
      </c>
      <c r="B996" s="612"/>
      <c r="C996" s="477"/>
      <c r="D996" s="477"/>
      <c r="E996" s="477"/>
      <c r="F996" s="477"/>
      <c r="G996" s="477"/>
      <c r="H996" s="477"/>
      <c r="I996" s="477"/>
      <c r="J996" s="477"/>
      <c r="K996" s="478"/>
      <c r="L996" s="981" t="s">
        <v>533</v>
      </c>
      <c r="M996" s="270"/>
      <c r="N996" s="477"/>
      <c r="O996" s="477"/>
      <c r="P996" s="477"/>
      <c r="Q996" s="477"/>
      <c r="R996" s="477"/>
      <c r="S996" s="477"/>
      <c r="T996" s="477"/>
      <c r="U996" s="477"/>
      <c r="V996" s="477"/>
      <c r="W996" s="478"/>
      <c r="X996" s="962" t="s">
        <v>533</v>
      </c>
    </row>
    <row r="997" spans="1:27" ht="11.25" customHeight="1" thickBot="1">
      <c r="A997" s="878">
        <v>7</v>
      </c>
      <c r="L997" s="981" t="s">
        <v>533</v>
      </c>
      <c r="M997" s="204"/>
      <c r="N997" s="67"/>
      <c r="O997" s="67"/>
      <c r="P997" s="67"/>
      <c r="Q997" s="355"/>
      <c r="R997" s="67"/>
      <c r="S997" s="67"/>
      <c r="T997" s="67"/>
      <c r="U997" s="67"/>
      <c r="V997" s="67"/>
      <c r="W997" s="67"/>
      <c r="X997" s="962" t="s">
        <v>533</v>
      </c>
    </row>
    <row r="998" spans="1:27" ht="11.25" customHeight="1" thickTop="1" thickBot="1">
      <c r="A998" s="878">
        <v>8</v>
      </c>
      <c r="B998" s="93"/>
      <c r="C998" s="76"/>
      <c r="D998" s="76"/>
      <c r="E998" s="76"/>
      <c r="F998" s="76"/>
      <c r="G998" s="76"/>
      <c r="H998" s="76"/>
      <c r="I998" s="76"/>
      <c r="J998" s="76"/>
      <c r="K998" s="94"/>
      <c r="L998" s="981" t="s">
        <v>533</v>
      </c>
      <c r="M998" s="93"/>
      <c r="N998" s="76"/>
      <c r="O998" s="76"/>
      <c r="P998" s="76"/>
      <c r="Q998" s="76"/>
      <c r="R998" s="76"/>
      <c r="S998" s="76"/>
      <c r="T998" s="76"/>
      <c r="U998" s="76"/>
      <c r="V998" s="76"/>
      <c r="W998" s="94"/>
      <c r="X998" s="962" t="s">
        <v>533</v>
      </c>
    </row>
    <row r="999" spans="1:27" ht="11.25" customHeight="1" thickBot="1">
      <c r="A999" s="878">
        <v>9</v>
      </c>
      <c r="B999" s="203"/>
      <c r="C999" s="47"/>
      <c r="D999" s="47"/>
      <c r="E999" s="47"/>
      <c r="F999" s="248" t="s">
        <v>273</v>
      </c>
      <c r="G999" s="67"/>
      <c r="H999" s="47"/>
      <c r="I999" s="47"/>
      <c r="J999" s="47"/>
      <c r="K999" s="614"/>
      <c r="L999" s="981" t="s">
        <v>533</v>
      </c>
      <c r="M999" s="277" t="s">
        <v>274</v>
      </c>
      <c r="N999" s="67"/>
      <c r="O999" s="67"/>
      <c r="P999" s="67"/>
      <c r="Q999" s="925" t="s">
        <v>263</v>
      </c>
      <c r="R999" s="3"/>
      <c r="S999" s="4" t="s">
        <v>275</v>
      </c>
      <c r="T999" s="67"/>
      <c r="U999" s="67"/>
      <c r="V999" s="67"/>
      <c r="W999" s="85"/>
      <c r="X999" s="962" t="s">
        <v>533</v>
      </c>
    </row>
    <row r="1000" spans="1:27" ht="11.25" customHeight="1" thickBot="1">
      <c r="A1000" s="878">
        <v>10</v>
      </c>
      <c r="B1000" s="442"/>
      <c r="C1000" s="204"/>
      <c r="D1000" s="204"/>
      <c r="E1000" s="204"/>
      <c r="F1000" s="204"/>
      <c r="G1000" s="204"/>
      <c r="H1000" s="204"/>
      <c r="I1000" s="204"/>
      <c r="J1000" s="204"/>
      <c r="K1000" s="205"/>
      <c r="L1000" s="981" t="s">
        <v>533</v>
      </c>
      <c r="M1000" s="1257" t="s">
        <v>762</v>
      </c>
      <c r="N1000" s="1258"/>
      <c r="O1000" s="3"/>
      <c r="P1000" s="3"/>
      <c r="Q1000" s="925" t="s">
        <v>704</v>
      </c>
      <c r="R1000" s="3"/>
      <c r="S1000" s="4" t="s">
        <v>277</v>
      </c>
      <c r="T1000" s="3"/>
      <c r="U1000" s="3"/>
      <c r="V1000" s="3"/>
      <c r="W1000" s="45"/>
      <c r="X1000" s="962" t="s">
        <v>533</v>
      </c>
    </row>
    <row r="1001" spans="1:27" ht="11.25" customHeight="1" thickBot="1">
      <c r="A1001" s="878">
        <v>11</v>
      </c>
      <c r="B1001" s="159"/>
      <c r="C1001" s="67"/>
      <c r="D1001" s="67"/>
      <c r="E1001" s="67"/>
      <c r="F1001" s="67"/>
      <c r="G1001" s="67"/>
      <c r="H1001" s="67"/>
      <c r="I1001" s="67"/>
      <c r="J1001" s="67"/>
      <c r="K1001" s="85"/>
      <c r="L1001" s="981" t="s">
        <v>533</v>
      </c>
      <c r="M1001" s="1261">
        <v>101.6</v>
      </c>
      <c r="N1001" s="1251"/>
      <c r="O1001" s="67"/>
      <c r="P1001" s="67"/>
      <c r="Q1001" s="1563"/>
      <c r="R1001" s="62" t="s">
        <v>1224</v>
      </c>
      <c r="S1001" s="67"/>
      <c r="T1001" s="67"/>
      <c r="U1001" s="67"/>
      <c r="V1001" s="67"/>
      <c r="W1001" s="85"/>
      <c r="X1001" s="962" t="s">
        <v>533</v>
      </c>
    </row>
    <row r="1002" spans="1:27" ht="11.25" customHeight="1" thickBot="1">
      <c r="A1002" s="878">
        <v>12</v>
      </c>
      <c r="B1002" s="1272" t="s">
        <v>640</v>
      </c>
      <c r="C1002" s="1273" t="s">
        <v>471</v>
      </c>
      <c r="E1002" s="454" t="s">
        <v>279</v>
      </c>
      <c r="F1002" s="400" t="str">
        <f>IF(Meter_OD="","TBD",Meter_OD)</f>
        <v>Meter</v>
      </c>
      <c r="G1002" s="454" t="s">
        <v>280</v>
      </c>
      <c r="H1002" s="457" t="str">
        <f>IF(Time_mAs="","TBD",Time_mAs)</f>
        <v>mAs</v>
      </c>
      <c r="I1002" s="31" t="s">
        <v>280</v>
      </c>
      <c r="J1002" s="3"/>
      <c r="K1002" s="85"/>
      <c r="L1002" s="981" t="s">
        <v>533</v>
      </c>
      <c r="M1002" s="380" t="s">
        <v>640</v>
      </c>
      <c r="N1002" s="454" t="s">
        <v>444</v>
      </c>
      <c r="O1002" s="67"/>
      <c r="P1002" s="1254" t="s">
        <v>279</v>
      </c>
      <c r="Q1002" s="400" t="str">
        <f>IF(Meter_OD="","TBD",Meter_OD)</f>
        <v>Meter</v>
      </c>
      <c r="R1002" s="454" t="s">
        <v>280</v>
      </c>
      <c r="S1002" s="457" t="str">
        <f>IF(Time_mAs="","TBD",Time_mAs)</f>
        <v>mAs</v>
      </c>
      <c r="T1002" s="31" t="s">
        <v>280</v>
      </c>
      <c r="U1002" s="31" t="s">
        <v>281</v>
      </c>
      <c r="V1002" s="31" t="s">
        <v>282</v>
      </c>
      <c r="W1002" s="45"/>
      <c r="X1002" s="962" t="s">
        <v>533</v>
      </c>
      <c r="Y1002" s="1236" t="s">
        <v>263</v>
      </c>
      <c r="Z1002" s="1236"/>
      <c r="AA1002" s="1236" t="s">
        <v>704</v>
      </c>
    </row>
    <row r="1003" spans="1:27" ht="11.25" customHeight="1" thickBot="1">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533</v>
      </c>
      <c r="M1003" s="1260" t="str">
        <f>IF(M1001&lt;&gt;"",M1001&amp;" "&amp;WBCM_IN,IF(OR(AB525=0,AB525=""),"",AB525))</f>
        <v>101.6 cm</v>
      </c>
      <c r="N1003" s="1252" t="s">
        <v>292</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533</v>
      </c>
      <c r="Y1003" s="1324">
        <v>220</v>
      </c>
      <c r="Z1003" s="619"/>
      <c r="AA1003" s="1350">
        <v>90</v>
      </c>
    </row>
    <row r="1004" spans="1:27" ht="11.25" customHeight="1" thickBot="1">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533</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533</v>
      </c>
      <c r="Y1004" s="1324">
        <v>175</v>
      </c>
      <c r="Z1004" s="619"/>
      <c r="AA1004" s="1350">
        <v>75</v>
      </c>
    </row>
    <row r="1005" spans="1:27" ht="11.25" customHeight="1" thickBot="1">
      <c r="A1005" s="878">
        <v>15</v>
      </c>
      <c r="B1005" s="1272" t="s">
        <v>590</v>
      </c>
      <c r="C1005" s="1273" t="s">
        <v>278</v>
      </c>
      <c r="D1005" s="3"/>
      <c r="E1005" s="455">
        <f t="shared" si="151"/>
        <v>2</v>
      </c>
      <c r="F1005" s="460" t="str">
        <f>IF(Q1005="","",Q1005)</f>
        <v/>
      </c>
      <c r="G1005" s="456" t="str">
        <f t="shared" si="150"/>
        <v/>
      </c>
      <c r="H1005" s="461" t="str">
        <f t="shared" si="150"/>
        <v/>
      </c>
      <c r="I1005" s="32" t="str">
        <f t="shared" si="150"/>
        <v/>
      </c>
      <c r="J1005" s="3"/>
      <c r="K1005" s="85"/>
      <c r="L1005" s="981" t="s">
        <v>533</v>
      </c>
      <c r="M1005" s="1257" t="s">
        <v>762</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533</v>
      </c>
      <c r="Y1005" s="1324">
        <v>145</v>
      </c>
      <c r="Z1005" s="619"/>
      <c r="AA1005" s="1350">
        <v>60</v>
      </c>
    </row>
    <row r="1006" spans="1:27" ht="11.25" customHeight="1" thickBot="1">
      <c r="A1006" s="878">
        <v>16</v>
      </c>
      <c r="B1006" s="1276">
        <f>IF(M1008="","",M1008)</f>
        <v>80</v>
      </c>
      <c r="C1006" s="454">
        <f>IF(N1008="","",N1008)</f>
        <v>7.8740157480314963</v>
      </c>
      <c r="D1006" s="4" t="s">
        <v>283</v>
      </c>
      <c r="E1006" s="455">
        <f t="shared" si="151"/>
        <v>1</v>
      </c>
      <c r="F1006" s="460" t="str">
        <f t="shared" si="150"/>
        <v/>
      </c>
      <c r="G1006" s="456" t="str">
        <f t="shared" si="150"/>
        <v/>
      </c>
      <c r="H1006" s="461" t="str">
        <f t="shared" si="150"/>
        <v/>
      </c>
      <c r="I1006" s="32" t="str">
        <f t="shared" si="150"/>
        <v/>
      </c>
      <c r="J1006" s="3"/>
      <c r="K1006" s="85"/>
      <c r="L1006" s="981" t="s">
        <v>533</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533</v>
      </c>
      <c r="Y1006" s="1324">
        <v>120</v>
      </c>
      <c r="Z1006" s="619"/>
      <c r="AA1006" s="1350">
        <v>48</v>
      </c>
    </row>
    <row r="1007" spans="1:27" ht="11.25" customHeight="1" thickBot="1">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533</v>
      </c>
      <c r="M1007" s="380" t="s">
        <v>590</v>
      </c>
      <c r="N1007" s="454" t="s">
        <v>278</v>
      </c>
      <c r="O1007" s="3"/>
      <c r="P1007" s="458">
        <v>0</v>
      </c>
      <c r="Q1007" s="927"/>
      <c r="R1007" s="459" t="str">
        <f>IF(Q1007="","",0)</f>
        <v/>
      </c>
      <c r="S1007" s="927"/>
      <c r="T1007" s="752" t="str">
        <f>IF(S1007="","",0)</f>
        <v/>
      </c>
      <c r="U1007" s="858"/>
      <c r="V1007" s="858"/>
      <c r="W1007" s="45"/>
      <c r="X1007" s="962" t="s">
        <v>533</v>
      </c>
      <c r="Y1007" s="1324">
        <v>100</v>
      </c>
      <c r="Z1007" s="619"/>
      <c r="AA1007" s="1350">
        <v>40</v>
      </c>
    </row>
    <row r="1008" spans="1:27" ht="11.25" customHeight="1" thickBot="1">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533</v>
      </c>
      <c r="M1008" s="1256">
        <f>IF(M1006&lt;&gt;"",M1006,IF(OR(AB527=0,AB527=""),"",AB527))</f>
        <v>80</v>
      </c>
      <c r="N1008" s="1252">
        <f>IF(N1006&lt;&gt;"",N1006,IF(OR(AB528=0,AB528=""),"",AB528))</f>
        <v>7.8740157480314963</v>
      </c>
      <c r="O1008" s="4" t="s">
        <v>283</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533</v>
      </c>
      <c r="Y1008" s="1324">
        <v>80</v>
      </c>
      <c r="Z1008" s="619"/>
      <c r="AA1008" s="1350">
        <v>32</v>
      </c>
    </row>
    <row r="1009" spans="1:27" ht="11.25" customHeight="1">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533</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533</v>
      </c>
      <c r="Y1009" s="1324">
        <v>60</v>
      </c>
      <c r="Z1009" s="619"/>
      <c r="AA1009" s="1350">
        <v>25</v>
      </c>
    </row>
    <row r="1010" spans="1:27" ht="11.25" customHeight="1">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533</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533</v>
      </c>
      <c r="Y1010" s="1324">
        <v>45</v>
      </c>
      <c r="Z1010" s="619"/>
      <c r="AA1010" s="1350">
        <v>20</v>
      </c>
    </row>
    <row r="1011" spans="1:27" ht="11.25" customHeight="1" thickBot="1">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533</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533</v>
      </c>
      <c r="Y1011" s="1324">
        <v>35</v>
      </c>
      <c r="Z1011" s="619"/>
      <c r="AA1011" s="1350">
        <v>15</v>
      </c>
    </row>
    <row r="1012" spans="1:27" ht="11.25" customHeight="1" thickBot="1">
      <c r="A1012" s="878">
        <v>22</v>
      </c>
      <c r="B1012" s="159"/>
      <c r="C1012" s="67"/>
      <c r="D1012" s="67"/>
      <c r="E1012" s="67"/>
      <c r="F1012" s="67"/>
      <c r="G1012" s="67"/>
      <c r="H1012" s="67"/>
      <c r="I1012" s="67"/>
      <c r="J1012" s="51" t="s">
        <v>698</v>
      </c>
      <c r="K1012" s="469" t="str">
        <f>IF(Q1001=2,"NA",IF(OR(W1013="YES",W1014="YES",W1015="YES"),"YES",IF(OR(W1013="NO",W1014="NO",W1015="NO"),"NO","TBD")))</f>
        <v>TBD</v>
      </c>
      <c r="L1012" s="981" t="s">
        <v>533</v>
      </c>
      <c r="M1012" s="856"/>
      <c r="N1012" s="1456"/>
      <c r="O1012" s="67"/>
      <c r="P1012" s="67"/>
      <c r="Q1012" s="67"/>
      <c r="R1012" s="67"/>
      <c r="S1012" s="67"/>
      <c r="T1012" s="67"/>
      <c r="U1012" s="67"/>
      <c r="V1012" s="1697" t="s">
        <v>761</v>
      </c>
      <c r="W1012" s="1698"/>
      <c r="X1012" s="962" t="s">
        <v>533</v>
      </c>
      <c r="Z1012" s="619"/>
    </row>
    <row r="1013" spans="1:27" ht="11.25" customHeight="1" thickBot="1">
      <c r="A1013" s="878">
        <v>23</v>
      </c>
      <c r="B1013" s="159"/>
      <c r="C1013" s="67"/>
      <c r="D1013" s="67"/>
      <c r="E1013" s="67"/>
      <c r="F1013" s="67"/>
      <c r="G1013" s="67"/>
      <c r="H1013" s="67"/>
      <c r="I1013" s="67"/>
      <c r="J1013" s="67"/>
      <c r="K1013" s="85"/>
      <c r="L1013" s="981" t="s">
        <v>533</v>
      </c>
      <c r="M1013" s="856"/>
      <c r="N1013" s="67"/>
      <c r="O1013" s="166" t="s">
        <v>699</v>
      </c>
      <c r="P1013" s="117"/>
      <c r="Q1013" s="166" t="s">
        <v>284</v>
      </c>
      <c r="R1013" s="421">
        <f>IF(AND(OR($Q$1007="",$Q$1006=""),OR($S$1007="",$S$1006="")),0.15,IF(AND(MIN($Q$1003:$Q$1005)=0,MIN($S$1003:$S$1005)=0),0.15,IF(AND(MIN($Q$1003:$Q$1004)=0,MIN($S$1003:$S$1004)=0),0.15,IF(AND($Q$1003=0,$S$1003=0),0.2,0.15))))</f>
        <v>0.15</v>
      </c>
      <c r="S1013" s="117"/>
      <c r="T1013" s="166" t="s">
        <v>285</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533</v>
      </c>
    </row>
    <row r="1014" spans="1:27" ht="11.25" customHeight="1" thickBot="1">
      <c r="A1014" s="878">
        <v>24</v>
      </c>
      <c r="B1014" s="159"/>
      <c r="C1014" s="67"/>
      <c r="D1014" s="166" t="s">
        <v>699</v>
      </c>
      <c r="E1014" s="117"/>
      <c r="F1014" s="166" t="s">
        <v>284</v>
      </c>
      <c r="G1014" s="421">
        <f>$R$1013</f>
        <v>0.15</v>
      </c>
      <c r="H1014" s="117"/>
      <c r="I1014" s="166" t="s">
        <v>285</v>
      </c>
      <c r="J1014" s="421">
        <f>$U$1013</f>
        <v>0.5</v>
      </c>
      <c r="K1014" s="85"/>
      <c r="L1014" s="981" t="s">
        <v>533</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533</v>
      </c>
    </row>
    <row r="1015" spans="1:27" ht="11.25" customHeight="1" thickBot="1">
      <c r="A1015" s="878">
        <v>25</v>
      </c>
      <c r="B1015" s="159"/>
      <c r="C1015" s="67"/>
      <c r="D1015" s="67"/>
      <c r="E1015" s="67"/>
      <c r="F1015" s="67"/>
      <c r="G1015" s="67"/>
      <c r="H1015" s="67"/>
      <c r="I1015" s="67"/>
      <c r="J1015" s="67"/>
      <c r="K1015" s="85"/>
      <c r="L1015" s="981" t="s">
        <v>533</v>
      </c>
      <c r="M1015" s="856"/>
      <c r="N1015" s="67"/>
      <c r="O1015" s="855"/>
      <c r="P1015" s="855"/>
      <c r="Q1015" s="855"/>
      <c r="R1015" s="855"/>
      <c r="S1015" s="67"/>
      <c r="T1015" s="855"/>
      <c r="U1015" s="855"/>
      <c r="V1015" s="1063" t="s">
        <v>286</v>
      </c>
      <c r="W1015" s="1059" t="str">
        <f>IF(OR(AND($Q$1007="",$S$1007=""),AND($Q$1007&lt;&gt;"",$S$1007&lt;&gt;"",OR($Q$1006="",Q1008="",S1006="",S1008=""))),"TBD",IF(OR($Q$1007="",$S$1007=""),"NA",IF(OR(MAX(U1003:U1006)&gt;$U$1013,MAX(U1008:U1011)&gt;$U$1013,MIN(U1003:U1006)&lt;R1013,MIN(U1008:U1011)&lt;R1013),"NO","YES")))</f>
        <v>TBD</v>
      </c>
      <c r="X1015" s="962" t="s">
        <v>533</v>
      </c>
    </row>
    <row r="1016" spans="1:27" ht="11.25" customHeight="1" thickBot="1">
      <c r="A1016" s="878">
        <v>26</v>
      </c>
      <c r="B1016" s="116"/>
      <c r="C1016" s="98"/>
      <c r="D1016" s="98"/>
      <c r="E1016" s="98"/>
      <c r="F1016" s="98"/>
      <c r="G1016" s="98"/>
      <c r="H1016" s="98"/>
      <c r="I1016" s="98"/>
      <c r="J1016" s="98"/>
      <c r="K1016" s="103"/>
      <c r="L1016" s="981" t="s">
        <v>533</v>
      </c>
      <c r="M1016" s="116"/>
      <c r="N1016" s="98"/>
      <c r="O1016" s="98"/>
      <c r="P1016" s="98"/>
      <c r="Q1016" s="98"/>
      <c r="R1016" s="613"/>
      <c r="S1016" s="98"/>
      <c r="T1016" s="98"/>
      <c r="U1016" s="98"/>
      <c r="V1016" s="98"/>
      <c r="W1016" s="103"/>
      <c r="X1016" s="962" t="s">
        <v>533</v>
      </c>
    </row>
    <row r="1017" spans="1:27" ht="11.25" customHeight="1" thickTop="1">
      <c r="A1017" s="878">
        <v>27</v>
      </c>
      <c r="B1017" s="67"/>
      <c r="C1017" s="67"/>
      <c r="D1017" s="67"/>
      <c r="E1017" s="67"/>
      <c r="F1017" s="67"/>
      <c r="G1017" s="67"/>
      <c r="H1017" s="67"/>
      <c r="I1017" s="67"/>
      <c r="J1017" s="67"/>
      <c r="K1017" s="67"/>
      <c r="L1017" s="981" t="s">
        <v>533</v>
      </c>
      <c r="X1017" s="962" t="s">
        <v>533</v>
      </c>
    </row>
    <row r="1018" spans="1:27" ht="11.25" customHeight="1">
      <c r="A1018" s="878">
        <v>28</v>
      </c>
      <c r="B1018" s="67"/>
      <c r="C1018" s="67"/>
      <c r="D1018" s="67"/>
      <c r="E1018" s="67"/>
      <c r="F1018" s="67"/>
      <c r="G1018" s="67"/>
      <c r="H1018" s="67"/>
      <c r="I1018" s="67"/>
      <c r="J1018" s="67"/>
      <c r="K1018" s="67"/>
      <c r="L1018" s="981" t="s">
        <v>533</v>
      </c>
      <c r="X1018" s="962" t="s">
        <v>533</v>
      </c>
    </row>
    <row r="1019" spans="1:27" ht="11.25" customHeight="1">
      <c r="A1019" s="878">
        <v>29</v>
      </c>
      <c r="B1019" s="67"/>
      <c r="C1019" s="67"/>
      <c r="D1019" s="67"/>
      <c r="E1019" s="67"/>
      <c r="F1019" s="67"/>
      <c r="G1019" s="67"/>
      <c r="H1019" s="67"/>
      <c r="I1019" s="67"/>
      <c r="J1019" s="67"/>
      <c r="K1019" s="67"/>
      <c r="L1019" s="981" t="s">
        <v>533</v>
      </c>
      <c r="X1019" s="962" t="s">
        <v>533</v>
      </c>
    </row>
    <row r="1020" spans="1:27" ht="11.25" customHeight="1">
      <c r="A1020" s="878">
        <v>30</v>
      </c>
      <c r="B1020" s="67"/>
      <c r="C1020" s="67"/>
      <c r="D1020" s="67"/>
      <c r="E1020" s="67"/>
      <c r="F1020" s="67"/>
      <c r="G1020" s="67"/>
      <c r="H1020" s="67"/>
      <c r="I1020" s="67"/>
      <c r="J1020" s="67"/>
      <c r="K1020" s="67"/>
      <c r="L1020" s="981" t="s">
        <v>533</v>
      </c>
      <c r="X1020" s="962" t="s">
        <v>533</v>
      </c>
    </row>
    <row r="1021" spans="1:27" ht="11.25" customHeight="1">
      <c r="A1021" s="878">
        <v>31</v>
      </c>
      <c r="B1021" s="67"/>
      <c r="C1021" s="67"/>
      <c r="D1021" s="67"/>
      <c r="E1021" s="67"/>
      <c r="F1021" s="67"/>
      <c r="G1021" s="67"/>
      <c r="H1021" s="67"/>
      <c r="I1021" s="67"/>
      <c r="J1021" s="67"/>
      <c r="K1021" s="67"/>
      <c r="L1021" s="981" t="s">
        <v>533</v>
      </c>
      <c r="X1021" s="962" t="s">
        <v>533</v>
      </c>
    </row>
    <row r="1022" spans="1:27" ht="11.25" customHeight="1">
      <c r="A1022" s="878">
        <v>32</v>
      </c>
      <c r="B1022" s="67"/>
      <c r="C1022" s="67"/>
      <c r="D1022" s="67"/>
      <c r="E1022" s="67"/>
      <c r="F1022" s="328" t="s">
        <v>287</v>
      </c>
      <c r="G1022" s="67"/>
      <c r="H1022" s="67"/>
      <c r="I1022" s="67"/>
      <c r="J1022" s="67"/>
      <c r="K1022" s="67"/>
      <c r="L1022" s="981" t="s">
        <v>533</v>
      </c>
      <c r="R1022" s="328" t="s">
        <v>287</v>
      </c>
      <c r="X1022" s="962" t="s">
        <v>533</v>
      </c>
    </row>
    <row r="1023" spans="1:27" ht="11.25" customHeight="1" thickBot="1">
      <c r="A1023" s="878">
        <v>33</v>
      </c>
      <c r="B1023" s="67"/>
      <c r="C1023" s="67"/>
      <c r="D1023" s="67"/>
      <c r="E1023" s="67"/>
      <c r="F1023" s="67"/>
      <c r="G1023" s="67"/>
      <c r="H1023" s="67"/>
      <c r="I1023" s="67"/>
      <c r="J1023" s="67"/>
      <c r="K1023" s="67"/>
      <c r="L1023" s="981" t="s">
        <v>533</v>
      </c>
      <c r="X1023" s="962" t="s">
        <v>533</v>
      </c>
    </row>
    <row r="1024" spans="1:27" ht="11.25" customHeight="1" thickTop="1">
      <c r="A1024" s="878">
        <v>34</v>
      </c>
      <c r="B1024" s="93"/>
      <c r="C1024" s="76"/>
      <c r="D1024" s="76"/>
      <c r="E1024" s="76"/>
      <c r="F1024" s="76"/>
      <c r="G1024" s="76"/>
      <c r="H1024" s="76"/>
      <c r="I1024" s="76"/>
      <c r="J1024" s="76"/>
      <c r="K1024" s="94"/>
      <c r="L1024" s="981" t="s">
        <v>533</v>
      </c>
      <c r="M1024" s="93"/>
      <c r="N1024" s="76"/>
      <c r="O1024" s="76"/>
      <c r="P1024" s="76"/>
      <c r="Q1024" s="76"/>
      <c r="R1024" s="76"/>
      <c r="S1024" s="76"/>
      <c r="T1024" s="76"/>
      <c r="U1024" s="76"/>
      <c r="V1024" s="76"/>
      <c r="W1024" s="94"/>
      <c r="X1024" s="962" t="s">
        <v>533</v>
      </c>
    </row>
    <row r="1025" spans="1:24" ht="11.25" customHeight="1">
      <c r="A1025" s="878">
        <v>35</v>
      </c>
      <c r="B1025" s="132" t="s">
        <v>536</v>
      </c>
      <c r="C1025" s="133"/>
      <c r="D1025" s="67"/>
      <c r="E1025" s="67"/>
      <c r="F1025" s="121"/>
      <c r="G1025" s="67"/>
      <c r="H1025" s="67"/>
      <c r="I1025" s="67"/>
      <c r="J1025" s="534" t="s">
        <v>538</v>
      </c>
      <c r="K1025" s="535"/>
      <c r="L1025" s="981" t="s">
        <v>533</v>
      </c>
      <c r="M1025" s="264" t="s">
        <v>539</v>
      </c>
      <c r="N1025" s="67"/>
      <c r="O1025" s="67"/>
      <c r="P1025" s="67"/>
      <c r="Q1025" s="67"/>
      <c r="R1025" s="67"/>
      <c r="S1025" s="67"/>
      <c r="T1025" s="67"/>
      <c r="U1025" s="67"/>
      <c r="V1025" s="67"/>
      <c r="W1025" s="85"/>
      <c r="X1025" s="962" t="s">
        <v>533</v>
      </c>
    </row>
    <row r="1026" spans="1:24" ht="11.25" customHeight="1">
      <c r="A1026" s="878">
        <v>36</v>
      </c>
      <c r="B1026" s="134" t="s">
        <v>622</v>
      </c>
      <c r="C1026" s="160"/>
      <c r="D1026" s="62" t="s">
        <v>623</v>
      </c>
      <c r="E1026" s="60"/>
      <c r="F1026" s="60"/>
      <c r="G1026" s="60"/>
      <c r="H1026" s="60"/>
      <c r="I1026" s="60"/>
      <c r="J1026" s="138" t="str">
        <f>IF($M1026="","TBD",IF($M1026=1,"YES",IF($M1026=3,"NA","")))</f>
        <v>TBD</v>
      </c>
      <c r="K1026" s="533" t="str">
        <f>IF($M1026=2,"NO","")</f>
        <v/>
      </c>
      <c r="L1026" s="981" t="s">
        <v>533</v>
      </c>
      <c r="M1026" s="887"/>
      <c r="N1026" s="67"/>
      <c r="O1026" s="62" t="s">
        <v>623</v>
      </c>
      <c r="P1026" s="67"/>
      <c r="Q1026" s="67"/>
      <c r="R1026" s="67"/>
      <c r="S1026" s="67"/>
      <c r="T1026" s="67"/>
      <c r="U1026" s="392"/>
      <c r="V1026" s="67"/>
      <c r="W1026" s="85"/>
      <c r="X1026" s="962" t="s">
        <v>533</v>
      </c>
    </row>
    <row r="1027" spans="1:24" ht="11.25" customHeight="1">
      <c r="A1027" s="878">
        <v>37</v>
      </c>
      <c r="B1027" s="134" t="s">
        <v>625</v>
      </c>
      <c r="C1027" s="160"/>
      <c r="D1027" s="62" t="s">
        <v>626</v>
      </c>
      <c r="E1027" s="60"/>
      <c r="F1027" s="60"/>
      <c r="G1027" s="60"/>
      <c r="H1027" s="60" t="s">
        <v>627</v>
      </c>
      <c r="I1027" s="183" t="str">
        <f>IF($O$1027="","",$O$1027)</f>
        <v/>
      </c>
      <c r="J1027" s="138" t="str">
        <f>IF($M1027="","TBD",IF($M1027=1,"YES",IF($M1027=3,"NA","")))</f>
        <v>TBD</v>
      </c>
      <c r="K1027" s="533" t="str">
        <f>IF($M1027=2,"NO","")</f>
        <v/>
      </c>
      <c r="L1027" s="981" t="s">
        <v>533</v>
      </c>
      <c r="M1027" s="887"/>
      <c r="N1027" s="60" t="s">
        <v>627</v>
      </c>
      <c r="O1027" s="1344"/>
      <c r="P1027" s="62" t="s">
        <v>626</v>
      </c>
      <c r="Q1027" s="67"/>
      <c r="R1027" s="67"/>
      <c r="S1027" s="67"/>
      <c r="T1027" s="1174">
        <f>IF(OR(AB185=0,AB185=""),"",AB185)</f>
        <v>390</v>
      </c>
      <c r="U1027" s="1034" t="s">
        <v>288</v>
      </c>
      <c r="V1027" s="67"/>
      <c r="W1027" s="85"/>
      <c r="X1027" s="962" t="s">
        <v>533</v>
      </c>
    </row>
    <row r="1028" spans="1:24" ht="11.25" customHeight="1">
      <c r="A1028" s="878">
        <v>38</v>
      </c>
      <c r="B1028" s="134" t="s">
        <v>629</v>
      </c>
      <c r="C1028" s="160"/>
      <c r="D1028" s="62" t="s">
        <v>630</v>
      </c>
      <c r="E1028" s="67"/>
      <c r="F1028" s="67"/>
      <c r="G1028" s="67"/>
      <c r="H1028" s="67"/>
      <c r="I1028" s="67"/>
      <c r="J1028" s="138" t="str">
        <f>IF($M1028="","TBD",IF($M1028=1,"YES",IF($M1028=3,"NA","")))</f>
        <v>TBD</v>
      </c>
      <c r="K1028" s="533" t="str">
        <f>IF($M1028=2,"NO","")</f>
        <v/>
      </c>
      <c r="L1028" s="981" t="s">
        <v>533</v>
      </c>
      <c r="M1028" s="887"/>
      <c r="N1028" s="67"/>
      <c r="O1028" s="62" t="s">
        <v>630</v>
      </c>
      <c r="P1028" s="67"/>
      <c r="Q1028" s="67"/>
      <c r="R1028" s="67"/>
      <c r="S1028" s="67"/>
      <c r="T1028" s="67"/>
      <c r="U1028" s="67"/>
      <c r="V1028" s="67"/>
      <c r="W1028" s="85"/>
      <c r="X1028" s="962" t="s">
        <v>533</v>
      </c>
    </row>
    <row r="1029" spans="1:24" ht="11.25" customHeight="1" thickBot="1">
      <c r="A1029" s="878">
        <v>39</v>
      </c>
      <c r="B1029" s="116"/>
      <c r="C1029" s="98"/>
      <c r="D1029" s="98"/>
      <c r="E1029" s="98"/>
      <c r="F1029" s="98"/>
      <c r="G1029" s="98"/>
      <c r="H1029" s="98"/>
      <c r="I1029" s="98"/>
      <c r="J1029" s="98"/>
      <c r="K1029" s="103"/>
      <c r="L1029" s="981" t="s">
        <v>533</v>
      </c>
      <c r="M1029" s="116"/>
      <c r="N1029" s="98"/>
      <c r="O1029" s="98"/>
      <c r="P1029" s="98"/>
      <c r="Q1029" s="98"/>
      <c r="R1029" s="98"/>
      <c r="S1029" s="98"/>
      <c r="T1029" s="98"/>
      <c r="U1029" s="98"/>
      <c r="V1029" s="98"/>
      <c r="W1029" s="103"/>
      <c r="X1029" s="962" t="s">
        <v>533</v>
      </c>
    </row>
    <row r="1030" spans="1:24" ht="11.25" customHeight="1" thickTop="1">
      <c r="A1030" s="878">
        <v>40</v>
      </c>
      <c r="L1030" s="981" t="s">
        <v>533</v>
      </c>
      <c r="X1030" s="962" t="s">
        <v>533</v>
      </c>
    </row>
    <row r="1031" spans="1:24" ht="11.25" customHeight="1">
      <c r="A1031" s="878">
        <v>41</v>
      </c>
      <c r="L1031" s="981" t="s">
        <v>533</v>
      </c>
      <c r="X1031" s="962" t="s">
        <v>533</v>
      </c>
    </row>
    <row r="1032" spans="1:24" ht="11.25" customHeight="1">
      <c r="A1032" s="878">
        <v>42</v>
      </c>
      <c r="L1032" s="981" t="s">
        <v>533</v>
      </c>
      <c r="X1032" s="962" t="s">
        <v>533</v>
      </c>
    </row>
    <row r="1033" spans="1:24" ht="11.25" customHeight="1">
      <c r="A1033" s="878">
        <v>43</v>
      </c>
      <c r="L1033" s="981" t="s">
        <v>533</v>
      </c>
      <c r="X1033" s="962" t="s">
        <v>533</v>
      </c>
    </row>
    <row r="1034" spans="1:24" ht="11.25" customHeight="1">
      <c r="A1034" s="878">
        <v>44</v>
      </c>
      <c r="L1034" s="981" t="s">
        <v>533</v>
      </c>
      <c r="X1034" s="962" t="s">
        <v>533</v>
      </c>
    </row>
    <row r="1035" spans="1:24" ht="11.25" customHeight="1">
      <c r="A1035" s="878">
        <v>45</v>
      </c>
      <c r="L1035" s="981" t="s">
        <v>533</v>
      </c>
      <c r="X1035" s="962" t="s">
        <v>533</v>
      </c>
    </row>
    <row r="1036" spans="1:24" ht="11.25" customHeight="1">
      <c r="A1036" s="878">
        <v>46</v>
      </c>
      <c r="L1036" s="981" t="s">
        <v>533</v>
      </c>
      <c r="X1036" s="962" t="s">
        <v>533</v>
      </c>
    </row>
    <row r="1037" spans="1:24" ht="11.25" customHeight="1">
      <c r="A1037" s="878">
        <v>47</v>
      </c>
      <c r="L1037" s="981" t="s">
        <v>533</v>
      </c>
      <c r="X1037" s="962" t="s">
        <v>533</v>
      </c>
    </row>
    <row r="1038" spans="1:24" ht="11.25" customHeight="1">
      <c r="A1038" s="878">
        <v>48</v>
      </c>
      <c r="L1038" s="981" t="s">
        <v>533</v>
      </c>
      <c r="X1038" s="962" t="s">
        <v>533</v>
      </c>
    </row>
    <row r="1039" spans="1:24" ht="11.25" customHeight="1">
      <c r="A1039" s="878">
        <v>49</v>
      </c>
      <c r="L1039" s="981" t="s">
        <v>533</v>
      </c>
      <c r="X1039" s="962" t="s">
        <v>533</v>
      </c>
    </row>
    <row r="1040" spans="1:24" ht="11.25" customHeight="1">
      <c r="A1040" s="878">
        <v>50</v>
      </c>
      <c r="L1040" s="981" t="s">
        <v>533</v>
      </c>
      <c r="X1040" s="962" t="s">
        <v>533</v>
      </c>
    </row>
    <row r="1041" spans="1:24" ht="11.25" customHeight="1">
      <c r="A1041" s="878">
        <v>51</v>
      </c>
      <c r="L1041" s="981" t="s">
        <v>533</v>
      </c>
      <c r="X1041" s="962" t="s">
        <v>533</v>
      </c>
    </row>
    <row r="1042" spans="1:24" ht="11.25" customHeight="1">
      <c r="A1042" s="878">
        <v>52</v>
      </c>
      <c r="L1042" s="981" t="s">
        <v>533</v>
      </c>
      <c r="X1042" s="962" t="s">
        <v>533</v>
      </c>
    </row>
    <row r="1043" spans="1:24" ht="11.25" customHeight="1">
      <c r="A1043" s="878">
        <v>53</v>
      </c>
      <c r="L1043" s="981" t="s">
        <v>533</v>
      </c>
      <c r="X1043" s="962" t="s">
        <v>533</v>
      </c>
    </row>
    <row r="1044" spans="1:24" ht="11.25" customHeight="1">
      <c r="A1044" s="878">
        <v>54</v>
      </c>
      <c r="L1044" s="981" t="s">
        <v>533</v>
      </c>
      <c r="X1044" s="962" t="s">
        <v>533</v>
      </c>
    </row>
    <row r="1045" spans="1:24" ht="11.25" customHeight="1">
      <c r="A1045" s="878">
        <v>55</v>
      </c>
      <c r="L1045" s="981" t="s">
        <v>533</v>
      </c>
      <c r="X1045" s="962" t="s">
        <v>533</v>
      </c>
    </row>
    <row r="1046" spans="1:24" ht="11.25" customHeight="1">
      <c r="A1046" s="878">
        <v>56</v>
      </c>
      <c r="L1046" s="981" t="s">
        <v>533</v>
      </c>
      <c r="X1046" s="962" t="s">
        <v>533</v>
      </c>
    </row>
    <row r="1047" spans="1:24" ht="11.25" customHeight="1">
      <c r="A1047" s="878">
        <v>57</v>
      </c>
      <c r="L1047" s="981" t="s">
        <v>533</v>
      </c>
      <c r="X1047" s="962" t="s">
        <v>533</v>
      </c>
    </row>
    <row r="1048" spans="1:24" ht="11.25" customHeight="1">
      <c r="A1048" s="878">
        <v>58</v>
      </c>
      <c r="L1048" s="981" t="s">
        <v>533</v>
      </c>
      <c r="X1048" s="962" t="s">
        <v>533</v>
      </c>
    </row>
    <row r="1049" spans="1:24" ht="11.25" customHeight="1">
      <c r="A1049" s="878">
        <v>59</v>
      </c>
      <c r="L1049" s="981" t="s">
        <v>533</v>
      </c>
      <c r="X1049" s="962" t="s">
        <v>533</v>
      </c>
    </row>
    <row r="1050" spans="1:24" ht="11.25" customHeight="1">
      <c r="A1050" s="878">
        <v>60</v>
      </c>
      <c r="L1050" s="981" t="s">
        <v>533</v>
      </c>
      <c r="X1050" s="962" t="s">
        <v>533</v>
      </c>
    </row>
    <row r="1051" spans="1:24" ht="11.25" customHeight="1">
      <c r="A1051" s="878">
        <v>61</v>
      </c>
      <c r="L1051" s="981" t="s">
        <v>533</v>
      </c>
      <c r="X1051" s="962" t="s">
        <v>533</v>
      </c>
    </row>
    <row r="1052" spans="1:24" ht="11.25" customHeight="1">
      <c r="A1052" s="878">
        <v>62</v>
      </c>
      <c r="L1052" s="981" t="s">
        <v>533</v>
      </c>
      <c r="X1052" s="962" t="s">
        <v>533</v>
      </c>
    </row>
    <row r="1053" spans="1:24" ht="11.25" customHeight="1">
      <c r="A1053" s="878">
        <v>63</v>
      </c>
      <c r="L1053" s="981" t="s">
        <v>533</v>
      </c>
      <c r="X1053" s="962" t="s">
        <v>533</v>
      </c>
    </row>
    <row r="1054" spans="1:24" ht="11.25" customHeight="1">
      <c r="A1054" s="878">
        <v>64</v>
      </c>
      <c r="C1054" s="1468"/>
      <c r="L1054" s="981" t="s">
        <v>533</v>
      </c>
      <c r="X1054" s="962" t="s">
        <v>533</v>
      </c>
    </row>
    <row r="1055" spans="1:24" ht="11.25" customHeight="1">
      <c r="A1055" s="878">
        <v>65</v>
      </c>
      <c r="B1055" s="64" t="str">
        <f t="array" ref="B1055:C1056">$B$65:$C$66</f>
        <v>Date:</v>
      </c>
      <c r="C1055" s="1467">
        <v>43039</v>
      </c>
      <c r="D1055" s="140"/>
      <c r="E1055" s="63"/>
      <c r="F1055" s="63"/>
      <c r="G1055" s="63"/>
      <c r="H1055" s="63"/>
      <c r="I1055" s="64" t="str">
        <f t="array" ref="I1055:J1056">$I$65:$J$66</f>
        <v>Inspector:</v>
      </c>
      <c r="J1055" s="565" t="str">
        <v>Eugene Mah</v>
      </c>
      <c r="L1055" s="981" t="s">
        <v>533</v>
      </c>
      <c r="X1055" s="962" t="s">
        <v>533</v>
      </c>
    </row>
    <row r="1056" spans="1:24" ht="11.25" customHeight="1">
      <c r="A1056" s="878">
        <v>66</v>
      </c>
      <c r="B1056" s="64" t="str">
        <v>Room Number:</v>
      </c>
      <c r="C1056" s="508" t="str">
        <v>Room 04 RT 127M - Tube 1</v>
      </c>
      <c r="D1056" s="67"/>
      <c r="E1056" s="63"/>
      <c r="F1056" s="63"/>
      <c r="G1056" s="63"/>
      <c r="H1056" s="63"/>
      <c r="I1056" s="64" t="str">
        <v>Survey ID:</v>
      </c>
      <c r="J1056" s="1475">
        <v>1976</v>
      </c>
      <c r="L1056" s="981" t="s">
        <v>533</v>
      </c>
      <c r="X1056" s="962" t="s">
        <v>533</v>
      </c>
    </row>
    <row r="1057" spans="1:28" ht="11.25" customHeight="1">
      <c r="A1057" s="878">
        <v>1</v>
      </c>
      <c r="B1057" s="1"/>
      <c r="C1057" s="1"/>
      <c r="D1057" s="1"/>
      <c r="E1057" s="1"/>
      <c r="H1057" s="1"/>
      <c r="I1057" s="1"/>
      <c r="J1057" s="1"/>
      <c r="K1057" s="165" t="str">
        <f>$F$2</f>
        <v>Medical University of South Carolina</v>
      </c>
      <c r="L1057" s="981" t="s">
        <v>533</v>
      </c>
      <c r="M1057" s="1"/>
      <c r="N1057" s="1"/>
      <c r="O1057" s="1"/>
      <c r="P1057" s="1"/>
      <c r="Q1057" s="1"/>
      <c r="S1057" s="1"/>
      <c r="T1057" s="1"/>
      <c r="U1057" s="1"/>
      <c r="V1057" s="1"/>
      <c r="W1057" s="165" t="str">
        <f>$F$2</f>
        <v>Medical University of South Carolina</v>
      </c>
      <c r="X1057" s="962" t="s">
        <v>533</v>
      </c>
    </row>
    <row r="1058" spans="1:28" ht="11.25" customHeight="1">
      <c r="A1058" s="878">
        <v>2</v>
      </c>
      <c r="F1058" s="344" t="str">
        <f>$F$464</f>
        <v>Measurement Data</v>
      </c>
      <c r="K1058" s="166" t="str">
        <f>$F$5</f>
        <v>Radiographic System Compliance Inspection</v>
      </c>
      <c r="L1058" s="981" t="s">
        <v>533</v>
      </c>
      <c r="Q1058" s="344" t="str">
        <f>$F$464</f>
        <v>Measurement Data</v>
      </c>
      <c r="R1058" s="55"/>
      <c r="W1058" s="166" t="str">
        <f>$F$5</f>
        <v>Radiographic System Compliance Inspection</v>
      </c>
      <c r="X1058" s="962" t="s">
        <v>533</v>
      </c>
    </row>
    <row r="1059" spans="1:28" ht="11.25" customHeight="1" thickBot="1">
      <c r="A1059" s="878">
        <v>3</v>
      </c>
      <c r="F1059" s="54"/>
      <c r="L1059" s="981" t="s">
        <v>533</v>
      </c>
      <c r="R1059" s="54"/>
      <c r="X1059" s="962" t="s">
        <v>533</v>
      </c>
    </row>
    <row r="1060" spans="1:28" ht="11.25" customHeight="1" thickTop="1">
      <c r="A1060" s="878">
        <v>4</v>
      </c>
      <c r="B1060" s="93"/>
      <c r="C1060" s="76"/>
      <c r="D1060" s="76"/>
      <c r="E1060" s="76"/>
      <c r="F1060" s="1278" t="s">
        <v>289</v>
      </c>
      <c r="G1060" s="76"/>
      <c r="H1060" s="76"/>
      <c r="I1060" s="76"/>
      <c r="J1060" s="76"/>
      <c r="K1060" s="94"/>
      <c r="L1060" s="981" t="s">
        <v>533</v>
      </c>
      <c r="M1060" s="93"/>
      <c r="N1060" s="76"/>
      <c r="O1060" s="76"/>
      <c r="P1060" s="76"/>
      <c r="Q1060" s="1278"/>
      <c r="R1060" s="1278" t="s">
        <v>289</v>
      </c>
      <c r="S1060" s="76"/>
      <c r="T1060" s="76"/>
      <c r="U1060" s="76"/>
      <c r="V1060" s="76"/>
      <c r="W1060" s="94"/>
      <c r="X1060" s="962" t="s">
        <v>533</v>
      </c>
    </row>
    <row r="1061" spans="1:28" ht="11.25" customHeight="1">
      <c r="A1061" s="878">
        <v>5</v>
      </c>
      <c r="B1061" s="250" t="s">
        <v>290</v>
      </c>
      <c r="C1061" s="67"/>
      <c r="D1061" s="67"/>
      <c r="E1061" s="67"/>
      <c r="F1061" s="67"/>
      <c r="G1061" s="67"/>
      <c r="H1061" s="67"/>
      <c r="I1061" s="67"/>
      <c r="J1061" s="67"/>
      <c r="K1061" s="85"/>
      <c r="L1061" s="981" t="s">
        <v>533</v>
      </c>
      <c r="M1061" s="395" t="s">
        <v>290</v>
      </c>
      <c r="N1061" s="65"/>
      <c r="O1061" s="67"/>
      <c r="P1061" s="67"/>
      <c r="Q1061" s="67"/>
      <c r="R1061" s="67"/>
      <c r="S1061" s="67"/>
      <c r="T1061" s="67"/>
      <c r="U1061" s="67"/>
      <c r="V1061" s="67"/>
      <c r="W1061" s="85"/>
      <c r="X1061" s="962" t="s">
        <v>533</v>
      </c>
    </row>
    <row r="1062" spans="1:28" ht="11.25" customHeight="1" thickBot="1">
      <c r="A1062" s="878">
        <v>6</v>
      </c>
      <c r="B1062" s="159"/>
      <c r="C1062" s="65"/>
      <c r="D1062" s="65"/>
      <c r="E1062" s="67"/>
      <c r="F1062" s="67"/>
      <c r="G1062" s="67"/>
      <c r="H1062" s="67"/>
      <c r="I1062" s="67"/>
      <c r="J1062" s="67"/>
      <c r="K1062" s="85"/>
      <c r="L1062" s="981" t="s">
        <v>533</v>
      </c>
      <c r="M1062" s="159"/>
      <c r="N1062" s="67"/>
      <c r="O1062" s="65"/>
      <c r="P1062" s="67"/>
      <c r="Q1062" s="1264" t="s">
        <v>448</v>
      </c>
      <c r="R1062" s="1264" t="s">
        <v>748</v>
      </c>
      <c r="S1062" s="67"/>
      <c r="T1062" s="67"/>
      <c r="U1062" s="67"/>
      <c r="V1062" s="1024" t="s">
        <v>495</v>
      </c>
      <c r="W1062" s="1061" t="str">
        <f>IF(OR(AB483=0,AB483=""),"",AB483)</f>
        <v>NA</v>
      </c>
      <c r="X1062" s="962" t="s">
        <v>533</v>
      </c>
    </row>
    <row r="1063" spans="1:28" ht="11.25" customHeight="1" thickBot="1">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533</v>
      </c>
      <c r="M1063" s="278"/>
      <c r="N1063" s="67"/>
      <c r="O1063" s="43"/>
      <c r="P1063" s="43" t="s">
        <v>739</v>
      </c>
      <c r="Q1063" s="1265" t="str">
        <f>IF(R1063&lt;&gt;"",R1063&amp;" "&amp;TBCM_IN,IF(OR(AB531=0,AB531=""),M1003,AB531))</f>
        <v>101.6 cm</v>
      </c>
      <c r="R1063" s="1267"/>
      <c r="S1063" s="67"/>
      <c r="T1063" s="187" t="s">
        <v>738</v>
      </c>
      <c r="U1063" s="928"/>
      <c r="V1063" s="66" t="str">
        <f>IF(Meter_OD="","Blank",Meter_OD)</f>
        <v>Meter</v>
      </c>
      <c r="W1063" s="1561"/>
      <c r="X1063" s="962" t="s">
        <v>533</v>
      </c>
    </row>
    <row r="1064" spans="1:28" ht="11.25" customHeight="1" thickBot="1">
      <c r="A1064" s="878">
        <v>8</v>
      </c>
      <c r="B1064" s="159"/>
      <c r="C1064" s="67"/>
      <c r="D1064" s="67"/>
      <c r="E1064" s="67"/>
      <c r="F1064" s="67"/>
      <c r="G1064" s="391" t="str">
        <f>IF(U1063="","mAs:_______","mAs:  "&amp;ROUND(U1063,1))</f>
        <v>mAs:_______</v>
      </c>
      <c r="H1064" s="67"/>
      <c r="I1064" s="67"/>
      <c r="J1064" s="67"/>
      <c r="K1064" s="85"/>
      <c r="L1064" s="981" t="s">
        <v>533</v>
      </c>
      <c r="M1064" s="159"/>
      <c r="N1064" s="1368"/>
      <c r="O1064" s="67"/>
      <c r="P1064" s="43" t="s">
        <v>308</v>
      </c>
      <c r="Q1064" s="1271" t="str">
        <f>IF(R1064&lt;&gt;"",R1064,IF(OR(AB532=0,AB532=""),N1003,AB532))</f>
        <v>C</v>
      </c>
      <c r="R1064" s="1270"/>
      <c r="S1064" s="67"/>
      <c r="T1064" s="67"/>
      <c r="U1064" s="67"/>
      <c r="V1064" s="1562" t="s">
        <v>698</v>
      </c>
      <c r="W1064" s="1060" t="str">
        <f>IF($W$1063="NA","NA",IF($W$1063="","TBD",IF(AND($W$1063&gt;=1.9,$W$1063&lt;=2.1),"YES","NO")))</f>
        <v>TBD</v>
      </c>
      <c r="X1064" s="962" t="s">
        <v>533</v>
      </c>
      <c r="Z1064" t="s">
        <v>1251</v>
      </c>
      <c r="AA1064">
        <v>1.9</v>
      </c>
      <c r="AB1064">
        <v>2.1</v>
      </c>
    </row>
    <row r="1065" spans="1:28" ht="11.25" customHeight="1">
      <c r="A1065" s="878">
        <v>9</v>
      </c>
      <c r="B1065" s="159"/>
      <c r="C1065" s="166" t="s">
        <v>699</v>
      </c>
      <c r="D1065" s="119" t="str">
        <f>U1065</f>
        <v>1.9&lt;=lgM&lt;=2.1</v>
      </c>
      <c r="E1065" s="67"/>
      <c r="F1065" s="67"/>
      <c r="G1065" s="67"/>
      <c r="H1065" s="67"/>
      <c r="I1065" s="67"/>
      <c r="J1065" s="67"/>
      <c r="K1065" s="85"/>
      <c r="L1065" s="981" t="s">
        <v>533</v>
      </c>
      <c r="M1065" s="159"/>
      <c r="N1065" s="67"/>
      <c r="O1065" s="67"/>
      <c r="P1065" s="43" t="s">
        <v>735</v>
      </c>
      <c r="Q1065" s="1263">
        <f>IF(R1065&lt;&gt;"",R1065,IF(OR(AB533=0,AB533=""),M1008,AB533))</f>
        <v>80</v>
      </c>
      <c r="R1065" s="1268"/>
      <c r="S1065" s="67"/>
      <c r="T1065" s="166" t="s">
        <v>699</v>
      </c>
      <c r="U1065" s="119" t="s">
        <v>1218</v>
      </c>
      <c r="V1065" s="67"/>
      <c r="W1065" s="85"/>
      <c r="X1065" s="962" t="s">
        <v>533</v>
      </c>
      <c r="Z1065" t="s">
        <v>1252</v>
      </c>
      <c r="AA1065">
        <v>300</v>
      </c>
      <c r="AB1065">
        <v>500</v>
      </c>
    </row>
    <row r="1066" spans="1:28" ht="11.25" customHeight="1">
      <c r="A1066" s="878">
        <v>10</v>
      </c>
      <c r="B1066" s="159"/>
      <c r="C1066" s="67"/>
      <c r="D1066" s="67"/>
      <c r="E1066" s="67"/>
      <c r="F1066" s="67"/>
      <c r="G1066" s="67"/>
      <c r="H1066" s="67"/>
      <c r="I1066" s="67"/>
      <c r="J1066" s="67"/>
      <c r="K1066" s="85"/>
      <c r="L1066" s="981" t="s">
        <v>533</v>
      </c>
      <c r="M1066" s="159"/>
      <c r="N1066" s="4"/>
      <c r="O1066" s="4"/>
      <c r="P1066" s="43" t="s">
        <v>293</v>
      </c>
      <c r="Q1066" s="1262">
        <f>IF(R1066&lt;&gt;"",R1066,IF(OR(AB534=0,AB534=""),N1008,AB534))</f>
        <v>7.8740157480314963</v>
      </c>
      <c r="R1066" s="1266"/>
      <c r="S1066" s="67"/>
      <c r="T1066" s="67"/>
      <c r="U1066" s="67"/>
      <c r="V1066" s="67"/>
      <c r="W1066" s="45"/>
      <c r="X1066" s="962" t="s">
        <v>533</v>
      </c>
    </row>
    <row r="1067" spans="1:28" ht="11.25" customHeight="1">
      <c r="A1067" s="878">
        <v>11</v>
      </c>
      <c r="B1067" s="159"/>
      <c r="C1067" s="67"/>
      <c r="D1067" s="67"/>
      <c r="E1067" s="67"/>
      <c r="F1067" s="67"/>
      <c r="G1067" s="67"/>
      <c r="H1067" s="67"/>
      <c r="I1067" s="67"/>
      <c r="J1067" s="67"/>
      <c r="K1067" s="85"/>
      <c r="L1067" s="981" t="s">
        <v>533</v>
      </c>
      <c r="M1067" s="159"/>
      <c r="N1067" s="3"/>
      <c r="O1067" s="3"/>
      <c r="P1067" s="3"/>
      <c r="Q1067" s="67"/>
      <c r="R1067" s="67"/>
      <c r="S1067" s="67"/>
      <c r="T1067" s="67"/>
      <c r="U1067" s="67"/>
      <c r="V1067" s="67"/>
      <c r="W1067" s="85"/>
      <c r="X1067" s="962" t="s">
        <v>533</v>
      </c>
    </row>
    <row r="1068" spans="1:28" ht="11.25" customHeight="1">
      <c r="A1068" s="878">
        <v>12</v>
      </c>
      <c r="B1068" s="395" t="s">
        <v>294</v>
      </c>
      <c r="C1068" s="280"/>
      <c r="D1068" s="280"/>
      <c r="E1068" s="43" t="s">
        <v>735</v>
      </c>
      <c r="F1068" s="41">
        <f>IF(R1068="","",R1068)</f>
        <v>80</v>
      </c>
      <c r="G1068" s="3"/>
      <c r="H1068" s="43" t="s">
        <v>295</v>
      </c>
      <c r="I1068" s="2" t="str">
        <f>IF(U1068="","              in.",ROUND(U1068,2)&amp;" in.")</f>
        <v>7.87 in.</v>
      </c>
      <c r="J1068" s="67"/>
      <c r="K1068" s="85"/>
      <c r="L1068" s="981" t="s">
        <v>533</v>
      </c>
      <c r="M1068" s="395" t="s">
        <v>294</v>
      </c>
      <c r="N1068" s="3"/>
      <c r="O1068" s="3"/>
      <c r="P1068" s="3"/>
      <c r="Q1068" s="43" t="s">
        <v>735</v>
      </c>
      <c r="R1068" s="1117">
        <f>IF(Q1065="","",Q1065)</f>
        <v>80</v>
      </c>
      <c r="S1068" s="3"/>
      <c r="T1068" s="43" t="s">
        <v>295</v>
      </c>
      <c r="U1068" s="1116">
        <f>IF(Q1066="","",Q1066)</f>
        <v>7.8740157480314963</v>
      </c>
      <c r="V1068" s="62" t="s">
        <v>283</v>
      </c>
      <c r="W1068" s="45"/>
      <c r="X1068" s="962" t="s">
        <v>533</v>
      </c>
    </row>
    <row r="1069" spans="1:28" ht="11.25" customHeight="1">
      <c r="A1069" s="878">
        <v>13</v>
      </c>
      <c r="B1069" s="159"/>
      <c r="C1069" s="3"/>
      <c r="D1069" s="3"/>
      <c r="E1069" s="43" t="s">
        <v>739</v>
      </c>
      <c r="F1069" s="2" t="str">
        <f>IF(R1069="","",R1069)</f>
        <v>101.6 cm</v>
      </c>
      <c r="G1069" s="3"/>
      <c r="H1069" s="43" t="s">
        <v>669</v>
      </c>
      <c r="I1069" s="12" t="str">
        <f>IF(U1069="","",U1069)</f>
        <v>DR/</v>
      </c>
      <c r="J1069" s="67"/>
      <c r="K1069" s="85"/>
      <c r="L1069" s="981" t="s">
        <v>533</v>
      </c>
      <c r="M1069" s="159"/>
      <c r="N1069" s="67"/>
      <c r="O1069" s="67"/>
      <c r="P1069" s="67"/>
      <c r="Q1069" s="43" t="s">
        <v>739</v>
      </c>
      <c r="R1069" s="1116" t="str">
        <f>IF(Q1063="","",Q1063)</f>
        <v>101.6 cm</v>
      </c>
      <c r="S1069" s="3"/>
      <c r="T1069" s="43" t="s">
        <v>669</v>
      </c>
      <c r="U1069" s="1118" t="str">
        <f>IF($T$32="","",$T$32&amp;"/"&amp;$T$33)</f>
        <v>DR/</v>
      </c>
      <c r="V1069" s="4"/>
      <c r="W1069" s="85"/>
      <c r="X1069" s="962" t="s">
        <v>533</v>
      </c>
    </row>
    <row r="1070" spans="1:28" ht="11.25" customHeight="1">
      <c r="A1070" s="878">
        <v>14</v>
      </c>
      <c r="B1070" s="278" t="s">
        <v>296</v>
      </c>
      <c r="C1070" s="280" t="s">
        <v>297</v>
      </c>
      <c r="D1070" s="280"/>
      <c r="E1070" s="280" t="s">
        <v>298</v>
      </c>
      <c r="F1070" s="280"/>
      <c r="G1070" s="280" t="s">
        <v>299</v>
      </c>
      <c r="H1070" s="280"/>
      <c r="I1070" s="3"/>
      <c r="J1070" s="3"/>
      <c r="K1070" s="85"/>
      <c r="L1070" s="981" t="s">
        <v>533</v>
      </c>
      <c r="M1070" s="278"/>
      <c r="N1070" s="60" t="s">
        <v>296</v>
      </c>
      <c r="O1070" s="280" t="s">
        <v>297</v>
      </c>
      <c r="P1070" s="280"/>
      <c r="Q1070" s="280" t="s">
        <v>298</v>
      </c>
      <c r="R1070" s="280"/>
      <c r="S1070" s="280" t="s">
        <v>299</v>
      </c>
      <c r="T1070" s="280"/>
      <c r="U1070" s="3"/>
      <c r="V1070" s="3"/>
      <c r="W1070" s="45"/>
      <c r="X1070" s="962" t="s">
        <v>533</v>
      </c>
    </row>
    <row r="1071" spans="1:28" ht="11.25" customHeight="1" thickBot="1">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533</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533</v>
      </c>
    </row>
    <row r="1072" spans="1:28" ht="11.25" customHeight="1">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533</v>
      </c>
      <c r="M1072" s="56"/>
      <c r="N1072" s="67"/>
      <c r="O1072" s="929"/>
      <c r="P1072" s="1342"/>
      <c r="Q1072" s="929" t="str">
        <f>IF(Q1007="","",Q1007)</f>
        <v/>
      </c>
      <c r="R1072" s="1342" t="str">
        <f>IF(S1007="","",S1007)</f>
        <v/>
      </c>
      <c r="S1072" s="929"/>
      <c r="T1072" s="1342"/>
      <c r="U1072" s="3"/>
      <c r="V1072" s="3"/>
      <c r="W1072" s="45"/>
      <c r="X1072" s="962" t="s">
        <v>533</v>
      </c>
    </row>
    <row r="1073" spans="1:24" ht="11.25" customHeight="1">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533</v>
      </c>
      <c r="M1073" s="56"/>
      <c r="N1073" s="67"/>
      <c r="O1073" s="929"/>
      <c r="P1073" s="1342"/>
      <c r="Q1073" s="929"/>
      <c r="R1073" s="1342"/>
      <c r="S1073" s="929"/>
      <c r="T1073" s="1342"/>
      <c r="U1073" s="3"/>
      <c r="V1073" s="3"/>
      <c r="W1073" s="45"/>
      <c r="X1073" s="962" t="s">
        <v>533</v>
      </c>
    </row>
    <row r="1074" spans="1:24" ht="11.25" customHeight="1">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533</v>
      </c>
      <c r="M1074" s="56"/>
      <c r="N1074" s="67"/>
      <c r="O1074" s="929"/>
      <c r="P1074" s="1342"/>
      <c r="Q1074" s="929"/>
      <c r="R1074" s="1342"/>
      <c r="S1074" s="929"/>
      <c r="T1074" s="1342"/>
      <c r="U1074" s="3"/>
      <c r="V1074" s="3"/>
      <c r="W1074" s="45"/>
      <c r="X1074" s="962" t="s">
        <v>533</v>
      </c>
    </row>
    <row r="1075" spans="1:24" ht="11.25" customHeight="1">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533</v>
      </c>
      <c r="M1075" s="56"/>
      <c r="N1075" s="67"/>
      <c r="O1075" s="929"/>
      <c r="P1075" s="1342"/>
      <c r="Q1075" s="929"/>
      <c r="R1075" s="1342"/>
      <c r="S1075" s="929"/>
      <c r="T1075" s="1342"/>
      <c r="U1075" s="3"/>
      <c r="V1075" s="3"/>
      <c r="W1075" s="45"/>
      <c r="X1075" s="962" t="s">
        <v>533</v>
      </c>
    </row>
    <row r="1076" spans="1:24" ht="11.25" customHeight="1">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533</v>
      </c>
      <c r="M1076" s="56"/>
      <c r="N1076" s="67"/>
      <c r="O1076" s="929"/>
      <c r="P1076" s="1342"/>
      <c r="Q1076" s="929"/>
      <c r="R1076" s="1342"/>
      <c r="S1076" s="929"/>
      <c r="T1076" s="1342"/>
      <c r="U1076" s="3"/>
      <c r="V1076" s="3"/>
      <c r="W1076" s="45"/>
      <c r="X1076" s="962" t="s">
        <v>533</v>
      </c>
    </row>
    <row r="1077" spans="1:24" ht="11.25" customHeight="1">
      <c r="A1077" s="878">
        <v>21</v>
      </c>
      <c r="B1077" s="159"/>
      <c r="C1077" s="67"/>
      <c r="D1077" s="67"/>
      <c r="E1077" s="67"/>
      <c r="F1077" s="67"/>
      <c r="G1077" s="67"/>
      <c r="H1077" s="67"/>
      <c r="I1077" s="67"/>
      <c r="J1077" s="67"/>
      <c r="K1077" s="85"/>
      <c r="L1077" s="981" t="s">
        <v>533</v>
      </c>
      <c r="M1077" s="159"/>
      <c r="N1077" s="67"/>
      <c r="O1077" s="67"/>
      <c r="P1077" s="67"/>
      <c r="Q1077" s="67"/>
      <c r="R1077" s="67"/>
      <c r="S1077" s="67"/>
      <c r="T1077" s="67"/>
      <c r="U1077" s="67"/>
      <c r="V1077" s="67"/>
      <c r="W1077" s="85"/>
      <c r="X1077" s="962" t="s">
        <v>533</v>
      </c>
    </row>
    <row r="1078" spans="1:24" ht="11.25" customHeight="1">
      <c r="A1078" s="878">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300</v>
      </c>
      <c r="K1078" s="85"/>
      <c r="L1078" s="981" t="s">
        <v>533</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300</v>
      </c>
      <c r="W1078" s="45"/>
      <c r="X1078" s="962" t="s">
        <v>533</v>
      </c>
    </row>
    <row r="1079" spans="1:24" ht="11.25" customHeight="1">
      <c r="A1079" s="878">
        <v>23</v>
      </c>
      <c r="B1079" s="278" t="s">
        <v>301</v>
      </c>
      <c r="C1079" s="25" t="str">
        <f t="shared" si="153"/>
        <v/>
      </c>
      <c r="D1079" s="28" t="str">
        <f t="shared" si="153"/>
        <v/>
      </c>
      <c r="E1079" s="27" t="str">
        <f t="shared" si="153"/>
        <v/>
      </c>
      <c r="F1079" s="28" t="str">
        <f t="shared" si="153"/>
        <v/>
      </c>
      <c r="G1079" s="27" t="str">
        <f t="shared" si="153"/>
        <v/>
      </c>
      <c r="H1079" s="25" t="str">
        <f t="shared" si="153"/>
        <v/>
      </c>
      <c r="I1079" s="67"/>
      <c r="J1079" s="23" t="s">
        <v>302</v>
      </c>
      <c r="K1079" s="85"/>
      <c r="L1079" s="981" t="s">
        <v>533</v>
      </c>
      <c r="M1079" s="56"/>
      <c r="N1079" s="564" t="s">
        <v>301</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302</v>
      </c>
      <c r="W1079" s="45"/>
      <c r="X1079" s="962" t="s">
        <v>533</v>
      </c>
    </row>
    <row r="1080" spans="1:24" ht="11.25" customHeight="1" thickBot="1">
      <c r="A1080" s="878">
        <v>24</v>
      </c>
      <c r="B1080" s="278" t="s">
        <v>303</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533</v>
      </c>
      <c r="M1080" s="396"/>
      <c r="N1080" s="564" t="s">
        <v>303</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533</v>
      </c>
    </row>
    <row r="1081" spans="1:24" ht="11.25" customHeight="1" thickBot="1">
      <c r="A1081" s="878">
        <v>25</v>
      </c>
      <c r="B1081" s="382" t="s">
        <v>698</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698</v>
      </c>
      <c r="J1081" s="435" t="str">
        <f>IF(V1081="","",V1081)</f>
        <v>TBD</v>
      </c>
      <c r="K1081" s="100"/>
      <c r="L1081" s="981" t="s">
        <v>533</v>
      </c>
      <c r="M1081" s="56"/>
      <c r="N1081" s="1108" t="s">
        <v>698</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698</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533</v>
      </c>
    </row>
    <row r="1082" spans="1:24" ht="11.25" customHeight="1">
      <c r="A1082" s="878">
        <v>26</v>
      </c>
      <c r="B1082" s="159"/>
      <c r="C1082" s="67"/>
      <c r="D1082" s="67"/>
      <c r="E1082" s="67"/>
      <c r="F1082" s="67"/>
      <c r="G1082" s="67"/>
      <c r="H1082" s="67"/>
      <c r="I1082" s="67"/>
      <c r="J1082" s="1099" t="str">
        <f>IF(V1082="","",V1082)</f>
        <v>NOTE: Density step 1 produced a TBD % change</v>
      </c>
      <c r="K1082" s="85"/>
      <c r="L1082" s="981" t="s">
        <v>533</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533</v>
      </c>
    </row>
    <row r="1083" spans="1:24" ht="11.25" customHeight="1">
      <c r="A1083" s="878">
        <v>27</v>
      </c>
      <c r="B1083" s="159"/>
      <c r="C1083" s="166"/>
      <c r="D1083" s="67"/>
      <c r="E1083" s="166" t="s">
        <v>304</v>
      </c>
      <c r="F1083" s="119" t="str">
        <f>R1083</f>
        <v>Film:  Maximum variation of 0.4 O.D.</v>
      </c>
      <c r="G1083" s="67"/>
      <c r="H1083" s="67"/>
      <c r="I1083" s="67"/>
      <c r="J1083" s="67"/>
      <c r="K1083" s="85"/>
      <c r="L1083" s="981" t="s">
        <v>533</v>
      </c>
      <c r="M1083" s="159"/>
      <c r="N1083" s="67"/>
      <c r="O1083" s="166"/>
      <c r="P1083" s="67"/>
      <c r="Q1083" s="166" t="s">
        <v>304</v>
      </c>
      <c r="R1083" s="119" t="s">
        <v>1185</v>
      </c>
      <c r="S1083" s="67"/>
      <c r="T1083" s="67"/>
      <c r="U1083" s="67"/>
      <c r="V1083" s="67"/>
      <c r="W1083" s="45"/>
      <c r="X1083" s="962" t="s">
        <v>533</v>
      </c>
    </row>
    <row r="1084" spans="1:24" ht="11.25" customHeight="1">
      <c r="A1084" s="878">
        <v>28</v>
      </c>
      <c r="B1084" s="159"/>
      <c r="C1084" s="67"/>
      <c r="D1084" s="67"/>
      <c r="E1084" s="67"/>
      <c r="F1084" s="119" t="str">
        <f>R1084</f>
        <v>Exposure &amp; AEC Meter:  Max. Variation 35%</v>
      </c>
      <c r="G1084" s="67"/>
      <c r="H1084" s="67"/>
      <c r="I1084" s="67"/>
      <c r="J1084" s="67"/>
      <c r="K1084" s="85"/>
      <c r="L1084" s="981" t="s">
        <v>533</v>
      </c>
      <c r="M1084" s="159"/>
      <c r="N1084" s="67"/>
      <c r="O1084" s="67"/>
      <c r="P1084" s="67"/>
      <c r="Q1084" s="67"/>
      <c r="R1084" s="119" t="s">
        <v>1184</v>
      </c>
      <c r="S1084" s="67"/>
      <c r="T1084" s="67"/>
      <c r="U1084" s="67"/>
      <c r="V1084" s="67"/>
      <c r="W1084" s="45"/>
      <c r="X1084" s="962" t="s">
        <v>533</v>
      </c>
    </row>
    <row r="1085" spans="1:24" ht="11.25" customHeight="1">
      <c r="A1085" s="878">
        <v>29</v>
      </c>
      <c r="B1085" s="159"/>
      <c r="C1085" s="67"/>
      <c r="D1085" s="67"/>
      <c r="E1085" s="464" t="s">
        <v>305</v>
      </c>
      <c r="F1085" s="119" t="str">
        <f>R1085</f>
        <v>Coefficient of variation &lt;= 5% for each detector</v>
      </c>
      <c r="G1085" s="67"/>
      <c r="H1085" s="67"/>
      <c r="I1085" s="67"/>
      <c r="J1085" s="67"/>
      <c r="K1085" s="85"/>
      <c r="L1085" s="981" t="s">
        <v>533</v>
      </c>
      <c r="M1085" s="159"/>
      <c r="N1085" s="67"/>
      <c r="O1085" s="67"/>
      <c r="P1085" s="67"/>
      <c r="Q1085" s="464" t="s">
        <v>305</v>
      </c>
      <c r="R1085" s="119" t="s">
        <v>306</v>
      </c>
      <c r="S1085" s="67"/>
      <c r="T1085" s="67"/>
      <c r="U1085" s="67"/>
      <c r="V1085" s="67"/>
      <c r="W1085" s="45"/>
      <c r="X1085" s="962" t="s">
        <v>533</v>
      </c>
    </row>
    <row r="1086" spans="1:24" ht="11.25" customHeight="1">
      <c r="A1086" s="878">
        <v>30</v>
      </c>
      <c r="B1086" s="159"/>
      <c r="C1086" s="67"/>
      <c r="D1086" s="67"/>
      <c r="E1086" s="67"/>
      <c r="F1086" s="67"/>
      <c r="G1086" s="67"/>
      <c r="H1086" s="67"/>
      <c r="I1086" s="67"/>
      <c r="J1086" s="67"/>
      <c r="K1086" s="85"/>
      <c r="L1086" s="981" t="s">
        <v>533</v>
      </c>
      <c r="M1086" s="159"/>
      <c r="N1086" s="67"/>
      <c r="O1086" s="67"/>
      <c r="P1086" s="67"/>
      <c r="Q1086" s="67"/>
      <c r="R1086" s="67"/>
      <c r="S1086" s="67"/>
      <c r="T1086" s="67"/>
      <c r="U1086" s="67"/>
      <c r="V1086" s="67"/>
      <c r="W1086" s="85"/>
      <c r="X1086" s="962" t="s">
        <v>533</v>
      </c>
    </row>
    <row r="1087" spans="1:24" ht="11.25" customHeight="1">
      <c r="A1087" s="878">
        <v>31</v>
      </c>
      <c r="B1087" s="395" t="s">
        <v>307</v>
      </c>
      <c r="C1087" s="3"/>
      <c r="D1087" s="3"/>
      <c r="E1087" s="3"/>
      <c r="F1087" s="3"/>
      <c r="G1087" s="3"/>
      <c r="H1087" s="3"/>
      <c r="I1087" s="3"/>
      <c r="J1087" s="3"/>
      <c r="K1087" s="85"/>
      <c r="L1087" s="981" t="s">
        <v>533</v>
      </c>
      <c r="M1087" s="159"/>
      <c r="N1087" s="67"/>
      <c r="O1087" s="67"/>
      <c r="P1087" s="67"/>
      <c r="Q1087" s="67"/>
      <c r="R1087" s="67"/>
      <c r="S1087" s="67"/>
      <c r="T1087" s="67"/>
      <c r="U1087" s="67"/>
      <c r="V1087" s="67"/>
      <c r="W1087" s="85"/>
      <c r="X1087" s="962" t="s">
        <v>533</v>
      </c>
    </row>
    <row r="1088" spans="1:24" ht="11.25" customHeight="1">
      <c r="A1088" s="878">
        <v>32</v>
      </c>
      <c r="B1088" s="56"/>
      <c r="C1088" s="43" t="s">
        <v>739</v>
      </c>
      <c r="D1088" s="2" t="str">
        <f t="shared" ref="D1088:D1094" si="157">IF(P1089="","",P1089)</f>
        <v>101.6 cm</v>
      </c>
      <c r="E1088" s="3"/>
      <c r="F1088" s="43" t="s">
        <v>308</v>
      </c>
      <c r="G1088" s="2" t="str">
        <f>IF(S1089="","",S1089)</f>
        <v>C</v>
      </c>
      <c r="H1088" s="3"/>
      <c r="I1088" s="43" t="s">
        <v>309</v>
      </c>
      <c r="J1088" s="2" t="str">
        <f t="shared" ref="J1088:J1094" si="158">IF(V1089="","",V1089)</f>
        <v/>
      </c>
      <c r="K1088" s="85"/>
      <c r="L1088" s="981" t="s">
        <v>533</v>
      </c>
      <c r="M1088" s="159"/>
      <c r="N1088" s="253" t="s">
        <v>307</v>
      </c>
      <c r="O1088" s="3"/>
      <c r="P1088" s="3"/>
      <c r="Q1088" s="3"/>
      <c r="R1088" s="511"/>
      <c r="S1088" s="3"/>
      <c r="T1088" s="3"/>
      <c r="U1088" s="3"/>
      <c r="V1088" s="3"/>
      <c r="W1088" s="45"/>
      <c r="X1088" s="962" t="s">
        <v>533</v>
      </c>
    </row>
    <row r="1089" spans="1:30" ht="11.25" customHeight="1">
      <c r="A1089" s="878">
        <v>33</v>
      </c>
      <c r="B1089" s="56" t="s">
        <v>310</v>
      </c>
      <c r="C1089" s="35" t="s">
        <v>311</v>
      </c>
      <c r="D1089" s="574">
        <f t="shared" si="157"/>
        <v>60</v>
      </c>
      <c r="E1089" s="35" t="s">
        <v>312</v>
      </c>
      <c r="F1089" s="574">
        <f t="shared" ref="F1089:F1094" si="159">IF(R1090="","",R1090)</f>
        <v>80</v>
      </c>
      <c r="G1089" s="35" t="s">
        <v>313</v>
      </c>
      <c r="H1089" s="574">
        <f t="shared" ref="H1089:H1094" si="160">IF(T1090="","",T1090)</f>
        <v>100</v>
      </c>
      <c r="I1089" s="35" t="s">
        <v>314</v>
      </c>
      <c r="J1089" s="575">
        <f t="shared" si="158"/>
        <v>120</v>
      </c>
      <c r="K1089" s="85"/>
      <c r="L1089" s="981" t="s">
        <v>533</v>
      </c>
      <c r="M1089" s="159"/>
      <c r="N1089" s="3"/>
      <c r="O1089" s="43" t="s">
        <v>739</v>
      </c>
      <c r="P1089" s="1116" t="str">
        <f>IF(Q1063="","",Q1063)</f>
        <v>101.6 cm</v>
      </c>
      <c r="Q1089" s="3"/>
      <c r="R1089" s="43" t="s">
        <v>308</v>
      </c>
      <c r="S1089" s="1116" t="str">
        <f>IF(Q1064="","",Q1064)</f>
        <v>C</v>
      </c>
      <c r="T1089" s="3"/>
      <c r="U1089" s="43" t="s">
        <v>309</v>
      </c>
      <c r="V1089" s="1117" t="str">
        <f>IF(O1027="","",O1027)</f>
        <v/>
      </c>
      <c r="W1089" s="45"/>
      <c r="X1089" s="962" t="s">
        <v>533</v>
      </c>
      <c r="AC1089"/>
    </row>
    <row r="1090" spans="1:30" ht="11.25" customHeight="1" thickBot="1">
      <c r="A1090" s="878">
        <v>34</v>
      </c>
      <c r="B1090" s="8" t="s">
        <v>315</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533</v>
      </c>
      <c r="M1090" s="159"/>
      <c r="N1090" s="5" t="s">
        <v>310</v>
      </c>
      <c r="O1090" s="35" t="s">
        <v>311</v>
      </c>
      <c r="P1090" s="1119">
        <f>$Q$694</f>
        <v>60</v>
      </c>
      <c r="Q1090" s="1042" t="s">
        <v>312</v>
      </c>
      <c r="R1090" s="1119">
        <f>$Q$695</f>
        <v>80</v>
      </c>
      <c r="S1090" s="1042" t="s">
        <v>313</v>
      </c>
      <c r="T1090" s="1119">
        <f>$Q$696</f>
        <v>100</v>
      </c>
      <c r="U1090" s="1042" t="s">
        <v>314</v>
      </c>
      <c r="V1090" s="1119">
        <f>$Q$697</f>
        <v>120</v>
      </c>
      <c r="W1090" s="45"/>
      <c r="X1090" s="962" t="s">
        <v>533</v>
      </c>
      <c r="AC1090"/>
    </row>
    <row r="1091" spans="1:30" ht="11.25" customHeight="1" thickBot="1">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533</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533</v>
      </c>
      <c r="AC1091"/>
    </row>
    <row r="1092" spans="1:30" ht="11.25" customHeight="1">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533</v>
      </c>
      <c r="M1092" s="159"/>
      <c r="N1092" s="503">
        <v>10</v>
      </c>
      <c r="O1092" s="1343"/>
      <c r="P1092" s="1339"/>
      <c r="Q1092" s="1343"/>
      <c r="R1092" s="1339"/>
      <c r="S1092" s="1343"/>
      <c r="T1092" s="1339"/>
      <c r="U1092" s="1351"/>
      <c r="V1092" s="1340"/>
      <c r="W1092" s="85"/>
      <c r="X1092" s="962" t="s">
        <v>533</v>
      </c>
      <c r="AC1092"/>
      <c r="AD1092" s="1286"/>
    </row>
    <row r="1093" spans="1:30" ht="11.25" customHeight="1">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533</v>
      </c>
      <c r="M1093" s="56"/>
      <c r="N1093" s="503">
        <v>15</v>
      </c>
      <c r="O1093" s="1343"/>
      <c r="P1093" s="1339"/>
      <c r="Q1093" s="1343"/>
      <c r="R1093" s="1339"/>
      <c r="S1093" s="1343"/>
      <c r="T1093" s="1339"/>
      <c r="U1093" s="1343"/>
      <c r="V1093" s="1339"/>
      <c r="W1093" s="45"/>
      <c r="X1093" s="962" t="s">
        <v>533</v>
      </c>
      <c r="AC1093"/>
      <c r="AD1093" s="1286"/>
    </row>
    <row r="1094" spans="1:30" ht="11.25" customHeight="1">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533</v>
      </c>
      <c r="M1094" s="56"/>
      <c r="N1094" s="503">
        <v>20</v>
      </c>
      <c r="O1094" s="1343"/>
      <c r="P1094" s="1339"/>
      <c r="Q1094" s="1343" t="str">
        <f>IF(Q1078="","",Q1078)</f>
        <v/>
      </c>
      <c r="R1094" s="1339" t="str">
        <f>IF(R1078="","",R1078)</f>
        <v/>
      </c>
      <c r="S1094" s="1343"/>
      <c r="T1094" s="1339"/>
      <c r="U1094" s="1343"/>
      <c r="V1094" s="1339"/>
      <c r="W1094" s="45"/>
      <c r="X1094" s="962" t="s">
        <v>533</v>
      </c>
      <c r="AC1094"/>
      <c r="AD1094" s="1286"/>
    </row>
    <row r="1095" spans="1:30" ht="11.25" customHeight="1" thickBot="1">
      <c r="A1095" s="878">
        <v>39</v>
      </c>
      <c r="B1095" s="159"/>
      <c r="K1095" s="85"/>
      <c r="L1095" s="981" t="s">
        <v>533</v>
      </c>
      <c r="M1095" s="56"/>
      <c r="N1095" s="503">
        <v>25</v>
      </c>
      <c r="O1095" s="1351"/>
      <c r="P1095" s="1340"/>
      <c r="Q1095" s="1343"/>
      <c r="R1095" s="1339"/>
      <c r="S1095" s="1343"/>
      <c r="T1095" s="1339"/>
      <c r="U1095" s="1343"/>
      <c r="V1095" s="1339"/>
      <c r="W1095" s="45"/>
      <c r="X1095" s="962" t="s">
        <v>533</v>
      </c>
      <c r="AC1095"/>
      <c r="AD1095" s="1286"/>
    </row>
    <row r="1096" spans="1:30" ht="11.25" customHeight="1" thickBot="1">
      <c r="A1096" s="878">
        <v>40</v>
      </c>
      <c r="B1096" s="382" t="s">
        <v>317</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533</v>
      </c>
      <c r="M1096" s="56"/>
      <c r="N1096" s="3"/>
      <c r="O1096" s="3"/>
      <c r="P1096" s="3"/>
      <c r="Q1096" s="3"/>
      <c r="R1096" s="3"/>
      <c r="S1096" s="3"/>
      <c r="T1096" s="3"/>
      <c r="U1096" s="3"/>
      <c r="V1096" s="3"/>
      <c r="W1096" s="45"/>
      <c r="X1096" s="962" t="s">
        <v>533</v>
      </c>
      <c r="AC1096"/>
    </row>
    <row r="1097" spans="1:30" ht="11.25" customHeight="1" thickBot="1">
      <c r="A1097" s="878">
        <v>41</v>
      </c>
      <c r="B1097" s="382" t="s">
        <v>698</v>
      </c>
      <c r="C1097" s="648" t="str">
        <f>IF(O1098="","",O1098)</f>
        <v>NA</v>
      </c>
      <c r="D1097" s="53"/>
      <c r="E1097" s="648" t="str">
        <f>IF(Q1098="","",Q1098)</f>
        <v>NA</v>
      </c>
      <c r="F1097" s="53"/>
      <c r="G1097" s="648" t="str">
        <f>IF(S1098="","",S1098)</f>
        <v>NA</v>
      </c>
      <c r="H1097" s="53"/>
      <c r="I1097" s="648" t="str">
        <f>IF(U1098="","",U1098)</f>
        <v>NA</v>
      </c>
      <c r="J1097" s="1248"/>
      <c r="K1097" s="85"/>
      <c r="L1097" s="981" t="s">
        <v>533</v>
      </c>
      <c r="M1097" s="859" t="s">
        <v>318</v>
      </c>
      <c r="N1097" s="563" t="s">
        <v>317</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533</v>
      </c>
      <c r="AC1097"/>
    </row>
    <row r="1098" spans="1:30" ht="11.25" customHeight="1" thickBot="1">
      <c r="A1098" s="878">
        <v>42</v>
      </c>
      <c r="B1098" s="278" t="s">
        <v>319</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533</v>
      </c>
      <c r="M1098" s="159"/>
      <c r="N1098" s="1108" t="s">
        <v>698</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533</v>
      </c>
      <c r="Y1098" s="1236" t="s">
        <v>1174</v>
      </c>
      <c r="Z1098" s="1236">
        <f>MAX(O1092:O1094,Q1092:Q1095,S1092:S1095,U1093:U1095)</f>
        <v>0</v>
      </c>
      <c r="AC1098"/>
    </row>
    <row r="1099" spans="1:30" ht="11.25" customHeight="1" thickBot="1">
      <c r="A1099" s="878">
        <v>43</v>
      </c>
      <c r="B1099" s="382" t="s">
        <v>698</v>
      </c>
      <c r="C1099" s="648" t="str">
        <f>IF(O1100="","",O1100)</f>
        <v>NA</v>
      </c>
      <c r="D1099" s="53"/>
      <c r="E1099" s="648" t="str">
        <f>IF(Q1100="","",Q1100)</f>
        <v>NA</v>
      </c>
      <c r="F1099" s="53"/>
      <c r="G1099" s="648" t="str">
        <f>IF(S1100="","",S1100)</f>
        <v>NA</v>
      </c>
      <c r="H1099" s="53"/>
      <c r="I1099" s="648" t="str">
        <f>IF(U1100="","",U1100)</f>
        <v>NA</v>
      </c>
      <c r="J1099" s="1248"/>
      <c r="K1099" s="85"/>
      <c r="L1099" s="981" t="s">
        <v>533</v>
      </c>
      <c r="M1099" s="159"/>
      <c r="N1099" s="564" t="s">
        <v>319</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533</v>
      </c>
      <c r="Y1099" s="1236" t="s">
        <v>71</v>
      </c>
      <c r="Z1099" s="1236">
        <f>MIN(O1092:O1094,Q1092:Q1095,S1092:S1095,U1093:U1095)</f>
        <v>0</v>
      </c>
      <c r="AC1099"/>
    </row>
    <row r="1100" spans="1:30" ht="11.25" customHeight="1" thickBot="1">
      <c r="A1100" s="878">
        <v>44</v>
      </c>
      <c r="B1100" s="159"/>
      <c r="C1100" s="67"/>
      <c r="D1100" s="67"/>
      <c r="E1100" s="180"/>
      <c r="F1100" s="181" t="s">
        <v>320</v>
      </c>
      <c r="G1100" s="1568" t="str">
        <f>IF(S1101="","",S1101)</f>
        <v/>
      </c>
      <c r="H1100" s="178" t="s">
        <v>698</v>
      </c>
      <c r="I1100" s="179" t="str">
        <f>IF(U1101="","",U1101)</f>
        <v>NA</v>
      </c>
      <c r="J1100" s="67"/>
      <c r="K1100" s="83"/>
      <c r="L1100" s="981" t="s">
        <v>533</v>
      </c>
      <c r="M1100" s="159"/>
      <c r="N1100" s="1108" t="s">
        <v>698</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533</v>
      </c>
    </row>
    <row r="1101" spans="1:30" ht="11.25" customHeight="1" thickBot="1">
      <c r="A1101" s="878">
        <v>45</v>
      </c>
      <c r="B1101" s="159"/>
      <c r="C1101" s="166" t="s">
        <v>699</v>
      </c>
      <c r="D1101" s="246" t="str">
        <f>P1103</f>
        <v>Film-Max difference 0.3 O.D. for individual kV or thickness; 0.4 O.D. overall</v>
      </c>
      <c r="E1101" s="67"/>
      <c r="F1101" s="67"/>
      <c r="G1101" s="67"/>
      <c r="H1101" s="67"/>
      <c r="I1101" s="67"/>
      <c r="J1101" s="67"/>
      <c r="K1101" s="85"/>
      <c r="L1101" s="981" t="s">
        <v>533</v>
      </c>
      <c r="M1101" s="159"/>
      <c r="N1101" s="67"/>
      <c r="O1101" s="67"/>
      <c r="P1101" s="67"/>
      <c r="Q1101" s="180"/>
      <c r="R1101" s="181" t="s">
        <v>320</v>
      </c>
      <c r="S1101" s="1480" t="str">
        <f>IF(AND(P1097="",R1097="",T1097="",V1097="",P1099="",R1099="",T1099="",V1099=""),"",IF(Q1091="Film O.D.",Q1112&amp;" O.D.",IF(Q1091="lgM",Q1112&amp;" lgM",ROUND(Q1112/AVERAGE(O1092:O1095,Q1092:Q1095,S1092:S1095,U1092:U1095),2))))</f>
        <v/>
      </c>
      <c r="T1101" s="1076" t="s">
        <v>698</v>
      </c>
      <c r="U1101" s="1056" t="str">
        <f>IF(AND(O1098="NA",Q1098="NA",S1098="NA",U1098="NA",O1100="NA",Q1100="NA",S1100="NA",U1100="NA"),"NA",IF(Q1091="Film O.D.",IF(Q1112&gt;0.4,"NO","YES"),IF(Q1091="lgM",IF(Q1112&gt;0.2,"NO","YES"),IF(ROUND(Q1112/AVERAGE(O1092:O1094,Q1092:Q1095,S1092:S1095,U1093:U1095),2)&lt;=0.35,"YES","NO"))))</f>
        <v>NA</v>
      </c>
      <c r="V1101" s="67"/>
      <c r="W1101" s="85"/>
      <c r="X1101" s="962" t="s">
        <v>533</v>
      </c>
    </row>
    <row r="1102" spans="1:30" ht="11.25" customHeight="1">
      <c r="A1102" s="878">
        <v>46</v>
      </c>
      <c r="B1102" s="159"/>
      <c r="C1102" s="67"/>
      <c r="D1102" s="470" t="str">
        <f>P1104</f>
        <v>Exposure &amp; AEC Meter-</v>
      </c>
      <c r="E1102" s="67"/>
      <c r="F1102" s="67"/>
      <c r="G1102" s="67"/>
      <c r="H1102" s="67"/>
      <c r="I1102" s="67"/>
      <c r="J1102" s="67"/>
      <c r="K1102" s="85"/>
      <c r="L1102" s="981" t="s">
        <v>533</v>
      </c>
      <c r="M1102" s="159"/>
      <c r="N1102" s="67"/>
      <c r="P1102" s="4"/>
      <c r="Q1102" s="67"/>
      <c r="R1102" s="67"/>
      <c r="S1102" s="67"/>
      <c r="T1102" s="67"/>
      <c r="V1102" s="1246" t="str">
        <f>$V$1082</f>
        <v>NOTE: Density step 1 produced a TBD % change</v>
      </c>
      <c r="W1102" s="85"/>
      <c r="X1102" s="962" t="s">
        <v>533</v>
      </c>
    </row>
    <row r="1103" spans="1:30" ht="11.25" customHeight="1">
      <c r="A1103" s="878">
        <v>47</v>
      </c>
      <c r="B1103" s="124" t="s">
        <v>681</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533</v>
      </c>
      <c r="M1103" s="159"/>
      <c r="N1103" s="67"/>
      <c r="O1103" s="166" t="s">
        <v>699</v>
      </c>
      <c r="P1103" s="246" t="s">
        <v>208</v>
      </c>
      <c r="Q1103" s="67"/>
      <c r="R1103" s="67"/>
      <c r="S1103" s="67"/>
      <c r="T1103" s="67"/>
      <c r="U1103" s="67"/>
      <c r="V1103" s="67"/>
      <c r="W1103" s="85"/>
      <c r="X1103" s="962" t="s">
        <v>533</v>
      </c>
    </row>
    <row r="1104" spans="1:30" ht="11.25" customHeight="1">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533</v>
      </c>
      <c r="M1104" s="159"/>
      <c r="N1104" s="67"/>
      <c r="O1104" s="67"/>
      <c r="P1104" s="464" t="s">
        <v>1186</v>
      </c>
      <c r="Q1104" s="1457" t="s">
        <v>378</v>
      </c>
      <c r="R1104" s="67"/>
      <c r="S1104" s="67"/>
      <c r="T1104" s="67"/>
      <c r="U1104" s="67"/>
      <c r="V1104" s="67"/>
      <c r="W1104" s="85"/>
      <c r="X1104" s="962" t="s">
        <v>533</v>
      </c>
    </row>
    <row r="1105" spans="1:24" ht="11.25" customHeight="1">
      <c r="A1105" s="878">
        <v>49</v>
      </c>
      <c r="B1105" s="56"/>
      <c r="C1105" s="1290" t="str">
        <f>IF(LEN(O1105)&lt;=265,"",RIGHT(O1105,LEN(O1105)-SEARCH(" ",O1105,255)))</f>
        <v/>
      </c>
      <c r="D1105" s="2"/>
      <c r="E1105" s="2"/>
      <c r="F1105" s="2"/>
      <c r="G1105" s="2"/>
      <c r="H1105" s="2"/>
      <c r="I1105" s="2"/>
      <c r="J1105" s="2"/>
      <c r="K1105" s="85"/>
      <c r="L1105" s="981" t="s">
        <v>533</v>
      </c>
      <c r="M1105" s="159"/>
      <c r="N1105" s="830" t="s">
        <v>681</v>
      </c>
      <c r="O1105" s="1025" t="str">
        <f>IF(O1107&lt;&gt;"",O1107,IF(OR(AB450=0,AB450=""),"",AB450))</f>
        <v>Criteria: lgM - Max difference 0.2 lgM for individual kV or thickness; 0.2 lgM overall</v>
      </c>
      <c r="P1105" s="59"/>
      <c r="Q1105" s="2"/>
      <c r="R1105" s="2"/>
      <c r="S1105" s="2"/>
      <c r="T1105" s="2"/>
      <c r="U1105" s="2"/>
      <c r="V1105" s="2"/>
      <c r="W1105" s="36"/>
      <c r="X1105" s="962" t="s">
        <v>533</v>
      </c>
    </row>
    <row r="1106" spans="1:24" ht="11.25" customHeight="1">
      <c r="A1106" s="878">
        <v>50</v>
      </c>
      <c r="B1106" s="159"/>
      <c r="C1106" s="67"/>
      <c r="D1106" s="67"/>
      <c r="E1106" s="67"/>
      <c r="F1106" s="67"/>
      <c r="G1106" s="67"/>
      <c r="H1106" s="67"/>
      <c r="I1106" s="67"/>
      <c r="J1106" s="67"/>
      <c r="K1106" s="85"/>
      <c r="L1106" s="981" t="s">
        <v>533</v>
      </c>
      <c r="M1106" s="125"/>
      <c r="N1106" s="876" t="s">
        <v>373</v>
      </c>
      <c r="O1106" s="128"/>
      <c r="P1106" s="1289">
        <f>LEN(O1105)</f>
        <v>86</v>
      </c>
      <c r="Q1106" s="12"/>
      <c r="R1106" s="12"/>
      <c r="S1106" s="12"/>
      <c r="T1106" s="12"/>
      <c r="U1106" s="12"/>
      <c r="V1106" s="12"/>
      <c r="W1106" s="279"/>
      <c r="X1106" s="962" t="s">
        <v>533</v>
      </c>
    </row>
    <row r="1107" spans="1:24" ht="11.25" customHeight="1">
      <c r="A1107" s="878">
        <v>51</v>
      </c>
      <c r="B1107" s="56"/>
      <c r="C1107" s="3"/>
      <c r="D1107" s="3"/>
      <c r="E1107" s="3"/>
      <c r="F1107" s="3"/>
      <c r="G1107" s="3"/>
      <c r="H1107" s="3"/>
      <c r="I1107" s="3"/>
      <c r="J1107" s="3"/>
      <c r="K1107" s="85"/>
      <c r="L1107" s="981" t="s">
        <v>533</v>
      </c>
      <c r="M1107" s="56"/>
      <c r="N1107" s="1447" t="s">
        <v>748</v>
      </c>
      <c r="O1107" s="1449" t="s">
        <v>1253</v>
      </c>
      <c r="P1107" s="2"/>
      <c r="Q1107" s="2"/>
      <c r="R1107" s="2"/>
      <c r="S1107" s="2"/>
      <c r="T1107" s="2"/>
      <c r="U1107" s="2"/>
      <c r="V1107" s="2"/>
      <c r="W1107" s="36"/>
      <c r="X1107" s="962" t="s">
        <v>533</v>
      </c>
    </row>
    <row r="1108" spans="1:24" ht="11.25" customHeight="1" thickBot="1">
      <c r="A1108" s="878">
        <v>52</v>
      </c>
      <c r="B1108" s="56"/>
      <c r="C1108" s="3"/>
      <c r="D1108" s="3"/>
      <c r="E1108" s="3"/>
      <c r="F1108" s="3"/>
      <c r="G1108" s="3"/>
      <c r="H1108" s="3"/>
      <c r="I1108" s="3"/>
      <c r="J1108" s="3"/>
      <c r="K1108" s="85"/>
      <c r="L1108" s="981" t="s">
        <v>533</v>
      </c>
      <c r="M1108" s="56"/>
      <c r="N1108" s="3"/>
      <c r="O1108" s="3"/>
      <c r="P1108" s="3"/>
      <c r="Q1108" s="3"/>
      <c r="R1108" s="3"/>
      <c r="S1108" s="3"/>
      <c r="T1108" s="3"/>
      <c r="U1108" s="3"/>
      <c r="V1108" s="3"/>
      <c r="W1108" s="45"/>
      <c r="X1108" s="962" t="s">
        <v>533</v>
      </c>
    </row>
    <row r="1109" spans="1:24" ht="11.25" customHeight="1">
      <c r="A1109" s="878">
        <v>53</v>
      </c>
      <c r="B1109" s="56"/>
      <c r="C1109" s="3"/>
      <c r="D1109" s="3"/>
      <c r="E1109" s="3"/>
      <c r="F1109" s="3"/>
      <c r="G1109" s="3"/>
      <c r="H1109" s="3"/>
      <c r="I1109" s="3"/>
      <c r="J1109" s="3"/>
      <c r="K1109" s="85"/>
      <c r="L1109" s="981" t="s">
        <v>533</v>
      </c>
      <c r="M1109" s="56"/>
      <c r="N1109" s="1325" t="s">
        <v>40</v>
      </c>
      <c r="O1109" s="1326"/>
      <c r="P1109" s="1326"/>
      <c r="Q1109" s="1326"/>
      <c r="R1109" s="1326"/>
      <c r="S1109" s="1326"/>
      <c r="T1109" s="1326"/>
      <c r="U1109" s="1327"/>
      <c r="V1109" s="3"/>
      <c r="W1109" s="45"/>
      <c r="X1109" s="962" t="s">
        <v>533</v>
      </c>
    </row>
    <row r="1110" spans="1:24" ht="11.25" customHeight="1">
      <c r="A1110" s="878">
        <v>54</v>
      </c>
      <c r="B1110" s="56"/>
      <c r="C1110" s="3"/>
      <c r="D1110" s="3"/>
      <c r="E1110" s="3"/>
      <c r="F1110" s="3"/>
      <c r="G1110" s="3"/>
      <c r="H1110" s="3"/>
      <c r="I1110" s="3"/>
      <c r="J1110" s="3"/>
      <c r="K1110" s="85"/>
      <c r="L1110" s="981" t="s">
        <v>533</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533</v>
      </c>
    </row>
    <row r="1111" spans="1:24" ht="11.25" customHeight="1">
      <c r="A1111" s="878">
        <v>55</v>
      </c>
      <c r="B1111" s="56"/>
      <c r="C1111" s="3"/>
      <c r="D1111" s="3"/>
      <c r="E1111" s="3"/>
      <c r="F1111" s="3"/>
      <c r="G1111" s="3"/>
      <c r="H1111" s="3"/>
      <c r="I1111" s="3"/>
      <c r="J1111" s="3"/>
      <c r="K1111" s="85"/>
      <c r="L1111" s="981" t="s">
        <v>533</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533</v>
      </c>
    </row>
    <row r="1112" spans="1:24" ht="11.25" customHeight="1" thickBot="1">
      <c r="A1112" s="878">
        <v>56</v>
      </c>
      <c r="B1112" s="56"/>
      <c r="C1112" s="3"/>
      <c r="D1112" s="3"/>
      <c r="E1112" s="3"/>
      <c r="F1112" s="3"/>
      <c r="G1112" s="3"/>
      <c r="H1112" s="3"/>
      <c r="I1112" s="3"/>
      <c r="J1112" s="3"/>
      <c r="K1112" s="85"/>
      <c r="L1112" s="981" t="s">
        <v>533</v>
      </c>
      <c r="M1112" s="56"/>
      <c r="N1112" s="400"/>
      <c r="O1112" s="6"/>
      <c r="P1112" s="1332" t="s">
        <v>209</v>
      </c>
      <c r="Q1112" s="1471">
        <f>MAX(O1092:O1095,Q1092:Q1095,S1092:S1095,U1092:U1095)-MIN(O1092:O1095,Q1092:Q1095,S1092:S1095,U1092:U1095)</f>
        <v>0</v>
      </c>
      <c r="R1112" s="6"/>
      <c r="S1112" s="6"/>
      <c r="T1112" s="6"/>
      <c r="U1112" s="1254"/>
      <c r="V1112" s="3"/>
      <c r="W1112" s="45"/>
      <c r="X1112" s="962" t="s">
        <v>533</v>
      </c>
    </row>
    <row r="1113" spans="1:24" ht="11.25" customHeight="1">
      <c r="A1113" s="878">
        <v>57</v>
      </c>
      <c r="B1113" s="159"/>
      <c r="C1113" s="67"/>
      <c r="D1113" s="67"/>
      <c r="E1113" s="67"/>
      <c r="F1113" s="67"/>
      <c r="G1113" s="67"/>
      <c r="H1113" s="67"/>
      <c r="I1113" s="67"/>
      <c r="J1113" s="67"/>
      <c r="K1113" s="85"/>
      <c r="L1113" s="981" t="s">
        <v>533</v>
      </c>
      <c r="M1113" s="159"/>
      <c r="N1113" s="67"/>
      <c r="O1113" s="67"/>
      <c r="P1113" s="67"/>
      <c r="Q1113" s="67"/>
      <c r="R1113" s="67"/>
      <c r="S1113" s="67"/>
      <c r="T1113" s="67"/>
      <c r="U1113" s="67"/>
      <c r="V1113" s="67"/>
      <c r="W1113" s="85"/>
      <c r="X1113" s="962" t="s">
        <v>533</v>
      </c>
    </row>
    <row r="1114" spans="1:24" ht="11.25" customHeight="1">
      <c r="A1114" s="878">
        <v>58</v>
      </c>
      <c r="B1114" s="159"/>
      <c r="C1114" s="67"/>
      <c r="D1114" s="67"/>
      <c r="E1114" s="67"/>
      <c r="F1114" s="67"/>
      <c r="G1114" s="67"/>
      <c r="H1114" s="67"/>
      <c r="I1114" s="67"/>
      <c r="J1114" s="67"/>
      <c r="K1114" s="85"/>
      <c r="L1114" s="981" t="s">
        <v>533</v>
      </c>
      <c r="M1114" s="159"/>
      <c r="N1114" s="67"/>
      <c r="O1114" s="67"/>
      <c r="P1114" s="67"/>
      <c r="Q1114" s="67"/>
      <c r="R1114" s="67"/>
      <c r="S1114" s="67"/>
      <c r="T1114" s="67"/>
      <c r="U1114" s="67"/>
      <c r="V1114" s="67"/>
      <c r="W1114" s="85"/>
      <c r="X1114" s="962" t="s">
        <v>533</v>
      </c>
    </row>
    <row r="1115" spans="1:24" ht="11.25" customHeight="1">
      <c r="A1115" s="878">
        <v>59</v>
      </c>
      <c r="B1115" s="159"/>
      <c r="C1115" s="67"/>
      <c r="D1115" s="67"/>
      <c r="E1115" s="67"/>
      <c r="F1115" s="67"/>
      <c r="G1115" s="67"/>
      <c r="H1115" s="67"/>
      <c r="I1115" s="67"/>
      <c r="J1115" s="67"/>
      <c r="K1115" s="85"/>
      <c r="L1115" s="981" t="s">
        <v>533</v>
      </c>
      <c r="M1115" s="159"/>
      <c r="N1115" s="67"/>
      <c r="O1115" s="67"/>
      <c r="P1115" s="67"/>
      <c r="Q1115" s="67"/>
      <c r="R1115" s="67"/>
      <c r="S1115" s="67"/>
      <c r="T1115" s="67"/>
      <c r="U1115" s="67"/>
      <c r="V1115" s="67"/>
      <c r="W1115" s="85"/>
      <c r="X1115" s="962" t="s">
        <v>533</v>
      </c>
    </row>
    <row r="1116" spans="1:24" ht="11.25" customHeight="1">
      <c r="A1116" s="878">
        <v>60</v>
      </c>
      <c r="B1116" s="159"/>
      <c r="C1116" s="67"/>
      <c r="D1116" s="67"/>
      <c r="E1116" s="67"/>
      <c r="F1116" s="67"/>
      <c r="G1116" s="67"/>
      <c r="H1116" s="67"/>
      <c r="I1116" s="67"/>
      <c r="J1116" s="67"/>
      <c r="K1116" s="85"/>
      <c r="L1116" s="981" t="s">
        <v>533</v>
      </c>
      <c r="M1116" s="159"/>
      <c r="N1116" s="67"/>
      <c r="O1116" s="67"/>
      <c r="P1116" s="67"/>
      <c r="Q1116" s="67"/>
      <c r="R1116" s="67"/>
      <c r="S1116" s="67"/>
      <c r="T1116" s="67"/>
      <c r="U1116" s="67"/>
      <c r="V1116" s="67"/>
      <c r="W1116" s="85"/>
      <c r="X1116" s="962" t="s">
        <v>533</v>
      </c>
    </row>
    <row r="1117" spans="1:24" ht="11.25" customHeight="1">
      <c r="A1117" s="878">
        <v>61</v>
      </c>
      <c r="B1117" s="159"/>
      <c r="C1117" s="67"/>
      <c r="D1117" s="67"/>
      <c r="E1117" s="67"/>
      <c r="F1117" s="67"/>
      <c r="G1117" s="67"/>
      <c r="H1117" s="67"/>
      <c r="I1117" s="67"/>
      <c r="J1117" s="67"/>
      <c r="K1117" s="85"/>
      <c r="L1117" s="981" t="s">
        <v>533</v>
      </c>
      <c r="M1117" s="159"/>
      <c r="N1117" s="67"/>
      <c r="O1117" s="67"/>
      <c r="P1117" s="67"/>
      <c r="Q1117" s="67"/>
      <c r="R1117" s="67"/>
      <c r="S1117" s="67"/>
      <c r="T1117" s="67"/>
      <c r="U1117" s="67"/>
      <c r="V1117" s="67"/>
      <c r="W1117" s="85"/>
      <c r="X1117" s="962" t="s">
        <v>533</v>
      </c>
    </row>
    <row r="1118" spans="1:24" ht="11.25" customHeight="1">
      <c r="A1118" s="878">
        <v>62</v>
      </c>
      <c r="B1118" s="159"/>
      <c r="C1118" s="67"/>
      <c r="D1118" s="67"/>
      <c r="E1118" s="67"/>
      <c r="F1118" s="67"/>
      <c r="G1118" s="67"/>
      <c r="H1118" s="67"/>
      <c r="I1118" s="67"/>
      <c r="J1118" s="67"/>
      <c r="K1118" s="85"/>
      <c r="L1118" s="981" t="s">
        <v>533</v>
      </c>
      <c r="M1118" s="159"/>
      <c r="N1118" s="67"/>
      <c r="O1118" s="67"/>
      <c r="P1118" s="67"/>
      <c r="Q1118" s="67"/>
      <c r="R1118" s="67"/>
      <c r="S1118" s="67"/>
      <c r="T1118" s="67"/>
      <c r="U1118" s="67"/>
      <c r="V1118" s="67"/>
      <c r="W1118" s="85"/>
      <c r="X1118" s="962" t="s">
        <v>533</v>
      </c>
    </row>
    <row r="1119" spans="1:24" ht="11.25" customHeight="1">
      <c r="A1119" s="878">
        <v>63</v>
      </c>
      <c r="B1119" s="159"/>
      <c r="C1119" s="67"/>
      <c r="D1119" s="67"/>
      <c r="E1119" s="67"/>
      <c r="F1119" s="67"/>
      <c r="G1119" s="67"/>
      <c r="H1119" s="67"/>
      <c r="I1119" s="67"/>
      <c r="J1119" s="67"/>
      <c r="K1119" s="85"/>
      <c r="L1119" s="981" t="s">
        <v>533</v>
      </c>
      <c r="M1119" s="159"/>
      <c r="N1119" s="67"/>
      <c r="O1119" s="67"/>
      <c r="P1119" s="67"/>
      <c r="Q1119" s="67"/>
      <c r="R1119" s="67"/>
      <c r="S1119" s="67"/>
      <c r="T1119" s="67"/>
      <c r="U1119" s="67"/>
      <c r="V1119" s="67"/>
      <c r="W1119" s="85"/>
      <c r="X1119" s="962" t="s">
        <v>533</v>
      </c>
    </row>
    <row r="1120" spans="1:24" ht="11.25" customHeight="1" thickBot="1">
      <c r="A1120" s="878">
        <v>64</v>
      </c>
      <c r="B1120" s="116"/>
      <c r="C1120" s="98"/>
      <c r="D1120" s="98"/>
      <c r="E1120" s="98"/>
      <c r="F1120" s="98"/>
      <c r="G1120" s="98"/>
      <c r="H1120" s="98"/>
      <c r="I1120" s="98"/>
      <c r="J1120" s="98"/>
      <c r="K1120" s="103"/>
      <c r="L1120" s="981" t="s">
        <v>533</v>
      </c>
      <c r="M1120" s="116"/>
      <c r="N1120" s="98"/>
      <c r="O1120" s="98"/>
      <c r="P1120" s="98"/>
      <c r="Q1120" s="98"/>
      <c r="R1120" s="98"/>
      <c r="S1120" s="98"/>
      <c r="T1120" s="98"/>
      <c r="U1120" s="98"/>
      <c r="V1120" s="98"/>
      <c r="W1120" s="103"/>
      <c r="X1120" s="962" t="s">
        <v>533</v>
      </c>
    </row>
    <row r="1121" spans="1:24" ht="11.25" customHeight="1" thickTop="1">
      <c r="A1121" s="878">
        <v>65</v>
      </c>
      <c r="B1121" s="64" t="str">
        <f t="array" ref="B1121:C1122">$B$65:$C$66</f>
        <v>Date:</v>
      </c>
      <c r="C1121" s="1467">
        <v>43039</v>
      </c>
      <c r="D1121" s="140"/>
      <c r="E1121" s="63"/>
      <c r="F1121" s="63"/>
      <c r="G1121" s="63"/>
      <c r="H1121" s="63"/>
      <c r="I1121" s="64" t="str">
        <f t="array" ref="I1121:J1122">$I$65:$J$66</f>
        <v>Inspector:</v>
      </c>
      <c r="J1121" s="565" t="str">
        <v>Eugene Mah</v>
      </c>
      <c r="L1121" s="981" t="s">
        <v>533</v>
      </c>
      <c r="X1121" s="962" t="s">
        <v>533</v>
      </c>
    </row>
    <row r="1122" spans="1:24" ht="11.25" customHeight="1">
      <c r="A1122" s="878">
        <v>66</v>
      </c>
      <c r="B1122" s="64" t="str">
        <v>Room Number:</v>
      </c>
      <c r="C1122" s="508" t="str">
        <v>Room 04 RT 127M - Tube 1</v>
      </c>
      <c r="D1122" s="67"/>
      <c r="E1122" s="63"/>
      <c r="F1122" s="63"/>
      <c r="G1122" s="63"/>
      <c r="H1122" s="63"/>
      <c r="I1122" s="64" t="str">
        <v>Survey ID:</v>
      </c>
      <c r="J1122" s="1475">
        <v>1976</v>
      </c>
      <c r="L1122" s="981" t="s">
        <v>533</v>
      </c>
      <c r="X1122" s="962" t="s">
        <v>533</v>
      </c>
    </row>
    <row r="1123" spans="1:24" ht="11.25" customHeight="1">
      <c r="A1123" s="878">
        <v>1</v>
      </c>
      <c r="B1123" s="1"/>
      <c r="C1123" s="1"/>
      <c r="D1123" s="1"/>
      <c r="E1123" s="1"/>
      <c r="H1123" s="1"/>
      <c r="I1123" s="1"/>
      <c r="J1123" s="1"/>
      <c r="K1123" s="165" t="str">
        <f>$F$2</f>
        <v>Medical University of South Carolina</v>
      </c>
      <c r="L1123" s="981" t="s">
        <v>533</v>
      </c>
      <c r="M1123" s="1"/>
      <c r="N1123" s="1"/>
      <c r="O1123" s="1"/>
      <c r="P1123" s="1"/>
      <c r="Q1123" s="1"/>
      <c r="S1123" s="1"/>
      <c r="T1123" s="1"/>
      <c r="U1123" s="1"/>
      <c r="V1123" s="1"/>
      <c r="W1123" s="165" t="str">
        <f>$F$2</f>
        <v>Medical University of South Carolina</v>
      </c>
      <c r="X1123" s="962" t="s">
        <v>533</v>
      </c>
    </row>
    <row r="1124" spans="1:24" ht="11.25" customHeight="1" thickBot="1">
      <c r="A1124" s="878">
        <v>2</v>
      </c>
      <c r="F1124" s="344" t="str">
        <f>$F$464</f>
        <v>Measurement Data</v>
      </c>
      <c r="K1124" s="166" t="str">
        <f>$F$5</f>
        <v>Radiographic System Compliance Inspection</v>
      </c>
      <c r="L1124" s="981" t="s">
        <v>533</v>
      </c>
      <c r="Q1124" s="344" t="str">
        <f>$F$464</f>
        <v>Measurement Data</v>
      </c>
      <c r="R1124" s="55"/>
      <c r="W1124" s="166" t="str">
        <f>$F$5</f>
        <v>Radiographic System Compliance Inspection</v>
      </c>
      <c r="X1124" s="962" t="s">
        <v>533</v>
      </c>
    </row>
    <row r="1125" spans="1:24" ht="11.25" customHeight="1" thickTop="1">
      <c r="A1125" s="878">
        <v>3</v>
      </c>
      <c r="B1125" s="93"/>
      <c r="C1125" s="76"/>
      <c r="D1125" s="76"/>
      <c r="E1125" s="76"/>
      <c r="F1125" s="1279"/>
      <c r="G1125" s="76"/>
      <c r="H1125" s="76"/>
      <c r="I1125" s="76"/>
      <c r="J1125" s="76"/>
      <c r="K1125" s="94"/>
      <c r="L1125" s="981" t="s">
        <v>533</v>
      </c>
      <c r="M1125" s="93"/>
      <c r="N1125" s="76"/>
      <c r="O1125" s="76"/>
      <c r="P1125" s="76"/>
      <c r="Q1125" s="1278" t="s">
        <v>321</v>
      </c>
      <c r="R1125" s="1279"/>
      <c r="S1125" s="76"/>
      <c r="T1125" s="76"/>
      <c r="U1125" s="76"/>
      <c r="V1125" s="76"/>
      <c r="W1125" s="94"/>
      <c r="X1125" s="962" t="s">
        <v>533</v>
      </c>
    </row>
    <row r="1126" spans="1:24" ht="11.25" customHeight="1">
      <c r="A1126" s="878">
        <v>4</v>
      </c>
      <c r="B1126" s="159"/>
      <c r="C1126" s="67"/>
      <c r="D1126" s="67"/>
      <c r="E1126" s="67"/>
      <c r="F1126" s="389" t="s">
        <v>321</v>
      </c>
      <c r="G1126" s="67"/>
      <c r="H1126" s="67"/>
      <c r="I1126" s="67"/>
      <c r="J1126" s="67"/>
      <c r="K1126" s="85"/>
      <c r="L1126" s="981" t="s">
        <v>533</v>
      </c>
      <c r="M1126" s="159"/>
      <c r="N1126" s="67"/>
      <c r="O1126" s="67"/>
      <c r="P1126" s="67"/>
      <c r="Q1126" s="67"/>
      <c r="R1126" s="1264" t="s">
        <v>448</v>
      </c>
      <c r="S1126" s="1264" t="s">
        <v>748</v>
      </c>
      <c r="T1126" s="67"/>
      <c r="U1126" s="67"/>
      <c r="V1126" s="67"/>
      <c r="W1126" s="85"/>
      <c r="X1126" s="962" t="s">
        <v>533</v>
      </c>
    </row>
    <row r="1127" spans="1:24" ht="11.25" customHeight="1">
      <c r="A1127" s="878">
        <v>5</v>
      </c>
      <c r="B1127" s="395" t="s">
        <v>290</v>
      </c>
      <c r="C1127" s="65"/>
      <c r="D1127" s="67"/>
      <c r="E1127" s="67"/>
      <c r="F1127" s="67"/>
      <c r="G1127" s="67"/>
      <c r="H1127" s="67"/>
      <c r="I1127" s="67"/>
      <c r="J1127" s="67"/>
      <c r="K1127" s="85"/>
      <c r="L1127" s="981" t="s">
        <v>533</v>
      </c>
      <c r="M1127" s="395" t="s">
        <v>290</v>
      </c>
      <c r="N1127" s="67"/>
      <c r="O1127" s="67"/>
      <c r="P1127" s="67"/>
      <c r="Q1127" s="43" t="s">
        <v>739</v>
      </c>
      <c r="R1127" s="1265" t="str">
        <f>IF(S1127&lt;&gt;"",S1127&amp;" "&amp;WBCM_IN,IF(OR(AB537=0,AB537=""),M1003,AB537))</f>
        <v>182.88 cm</v>
      </c>
      <c r="S1127" s="1266"/>
      <c r="T1127" s="67"/>
      <c r="U1127" s="67"/>
      <c r="V1127" s="67"/>
      <c r="W1127" s="85"/>
      <c r="X1127" s="962" t="s">
        <v>533</v>
      </c>
    </row>
    <row r="1128" spans="1:24" ht="11.25" customHeight="1" thickBot="1">
      <c r="A1128" s="878">
        <v>6</v>
      </c>
      <c r="B1128" s="481" t="s">
        <v>439</v>
      </c>
      <c r="C1128" s="480" t="str">
        <f>IF(M1129=1,N1129&amp;IF(M1130=1,"/"&amp;N1130,""),IF(M1130=1,N1130,""))</f>
        <v/>
      </c>
      <c r="D1128" s="65"/>
      <c r="E1128" s="67"/>
      <c r="F1128" s="67"/>
      <c r="G1128" s="67"/>
      <c r="H1128" s="67"/>
      <c r="I1128" s="67"/>
      <c r="J1128" s="67"/>
      <c r="K1128" s="85"/>
      <c r="L1128" s="981" t="s">
        <v>533</v>
      </c>
      <c r="M1128" s="264" t="s">
        <v>539</v>
      </c>
      <c r="N1128" s="67"/>
      <c r="O1128" s="65"/>
      <c r="P1128" s="67"/>
      <c r="Q1128" s="43" t="s">
        <v>308</v>
      </c>
      <c r="R1128" s="1269" t="str">
        <f>IF(S1128&lt;&gt;"",S1128,IF(OR(AB538=0,AB538=""),N1003,AB538))</f>
        <v>LR</v>
      </c>
      <c r="S1128" s="1270"/>
      <c r="T1128" s="67"/>
      <c r="U1128" s="67"/>
      <c r="V1128" s="1024" t="s">
        <v>495</v>
      </c>
      <c r="W1128" s="1083" t="str">
        <f>IF(OR(AB484=0,AB484=""),"",AB484)</f>
        <v>NA</v>
      </c>
      <c r="X1128" s="962" t="s">
        <v>533</v>
      </c>
    </row>
    <row r="1129" spans="1:24" ht="11.25" customHeight="1" thickBot="1">
      <c r="A1129" s="878">
        <v>7</v>
      </c>
      <c r="B1129" s="212" t="str">
        <f>IF(R1127="","SID:______","SID:  "&amp;R1127)</f>
        <v>SID:  182.88 cm</v>
      </c>
      <c r="C1129" s="4" t="str">
        <f>IF(R1128="","Detector:________","Detector:  "&amp;R1128)</f>
        <v>Detector:  LR</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533</v>
      </c>
      <c r="M1129" s="933"/>
      <c r="N1129" s="246" t="s">
        <v>440</v>
      </c>
      <c r="O1129" s="67"/>
      <c r="P1129" s="67"/>
      <c r="Q1129" s="43" t="s">
        <v>735</v>
      </c>
      <c r="R1129" s="1263">
        <f>IF(S1129&lt;&gt;"",S1129,IF(OR(AB539=0,AB539=""),M1008,AB539))</f>
        <v>80</v>
      </c>
      <c r="S1129" s="1268"/>
      <c r="T1129" s="187" t="s">
        <v>738</v>
      </c>
      <c r="U1129" s="928"/>
      <c r="V1129" s="66" t="str">
        <f>IF(Meter_OD="","Blank",Meter_OD)</f>
        <v>Meter</v>
      </c>
      <c r="W1129" s="1561"/>
      <c r="X1129" s="962" t="s">
        <v>533</v>
      </c>
    </row>
    <row r="1130" spans="1:24" ht="11.25" customHeight="1" thickBot="1">
      <c r="A1130" s="878">
        <v>8</v>
      </c>
      <c r="B1130" s="159"/>
      <c r="C1130" s="67"/>
      <c r="D1130" s="67"/>
      <c r="E1130" s="67"/>
      <c r="F1130" s="67"/>
      <c r="G1130" s="854" t="str">
        <f>IF(U1129="","mAs:_______","mAs:  "&amp;ROUND(U1129,1))</f>
        <v>mAs:_______</v>
      </c>
      <c r="H1130" s="67"/>
      <c r="I1130" s="67"/>
      <c r="J1130" s="67"/>
      <c r="K1130" s="85"/>
      <c r="L1130" s="981" t="s">
        <v>533</v>
      </c>
      <c r="M1130" s="933"/>
      <c r="N1130" s="246" t="s">
        <v>441</v>
      </c>
      <c r="O1130" s="67"/>
      <c r="P1130" s="67"/>
      <c r="Q1130" s="43" t="s">
        <v>293</v>
      </c>
      <c r="R1130" s="1262">
        <f>IF(S1130&lt;&gt;"",S1130,IF(OR(AB540=0,AB540=""),N1008,AB540))</f>
        <v>7.8740157480314963</v>
      </c>
      <c r="S1130" s="1266"/>
      <c r="T1130" s="1699" t="s">
        <v>443</v>
      </c>
      <c r="U1130" s="1700"/>
      <c r="V1130" s="1076" t="s">
        <v>698</v>
      </c>
      <c r="W1130" s="1060" t="str">
        <f>IF($W$1129="NA","NA",IF($W$1129="","TBD",IF(AND(M1129=1,M1130&lt;&gt;1),IF(AND($W$1129&gt;=1.9,$W$1129&lt;=2.1),"YES","NO"),IF(AND(M1129&lt;&gt;1,M1130=1),IF(AND($W$1129&gt;=1.9,$W$1129&lt;=2.1),"YES","NO"),IF(AND($W$1129&gt;=1.9,$W$1129&lt;=2.1),"YES","NO")))))</f>
        <v>TBD</v>
      </c>
      <c r="X1130" s="962" t="s">
        <v>533</v>
      </c>
    </row>
    <row r="1131" spans="1:24" ht="11.25" customHeight="1">
      <c r="A1131" s="878">
        <v>9</v>
      </c>
      <c r="B1131" s="989"/>
      <c r="C1131" s="67"/>
      <c r="D1131" s="166" t="str">
        <f>"Criteria: "&amp;T1131</f>
        <v>Criteria: Radiographic:</v>
      </c>
      <c r="E1131" s="119" t="str">
        <f>U1131</f>
        <v>1.9&lt;=lgM&lt;=2.1</v>
      </c>
      <c r="F1131" s="67"/>
      <c r="G1131" s="67"/>
      <c r="H1131" s="67"/>
      <c r="I1131" s="67"/>
      <c r="J1131" s="67"/>
      <c r="K1131" s="85"/>
      <c r="L1131" s="981" t="s">
        <v>533</v>
      </c>
      <c r="M1131" s="159"/>
      <c r="N1131" s="67"/>
      <c r="O1131" s="67"/>
      <c r="P1131" s="67"/>
      <c r="Q1131" s="67"/>
      <c r="R1131" s="67"/>
      <c r="S1131" s="67"/>
      <c r="T1131" s="166" t="s">
        <v>442</v>
      </c>
      <c r="U1131" s="119" t="s">
        <v>1218</v>
      </c>
      <c r="V1131" s="67"/>
      <c r="W1131" s="85"/>
      <c r="X1131" s="962" t="s">
        <v>533</v>
      </c>
    </row>
    <row r="1132" spans="1:24" ht="11.25" customHeight="1">
      <c r="A1132" s="878">
        <v>10</v>
      </c>
      <c r="B1132" s="159"/>
      <c r="C1132" s="67"/>
      <c r="D1132" s="166" t="str">
        <f>T1132</f>
        <v>Chest:</v>
      </c>
      <c r="E1132" s="119" t="str">
        <f>U1132</f>
        <v>1.9&lt;=lgM&lt;=2.1</v>
      </c>
      <c r="F1132" s="67"/>
      <c r="G1132" s="67"/>
      <c r="H1132" s="67"/>
      <c r="I1132" s="67"/>
      <c r="J1132" s="67"/>
      <c r="K1132" s="85"/>
      <c r="L1132" s="981" t="s">
        <v>533</v>
      </c>
      <c r="M1132" s="159"/>
      <c r="N1132" s="67"/>
      <c r="O1132" s="67"/>
      <c r="P1132" s="67"/>
      <c r="Q1132" s="67"/>
      <c r="R1132" s="67"/>
      <c r="S1132" s="67"/>
      <c r="T1132" s="702" t="s">
        <v>407</v>
      </c>
      <c r="U1132" s="119" t="s">
        <v>1218</v>
      </c>
      <c r="V1132" s="67"/>
      <c r="W1132" s="85"/>
      <c r="X1132" s="962" t="s">
        <v>533</v>
      </c>
    </row>
    <row r="1133" spans="1:24" ht="11.25" customHeight="1">
      <c r="A1133" s="878">
        <v>11</v>
      </c>
      <c r="B1133" s="159"/>
      <c r="C1133" s="67"/>
      <c r="D1133" s="67"/>
      <c r="E1133" s="67"/>
      <c r="F1133" s="67"/>
      <c r="G1133" s="67"/>
      <c r="H1133" s="67"/>
      <c r="I1133" s="67"/>
      <c r="J1133" s="67"/>
      <c r="K1133" s="85"/>
      <c r="L1133" s="981" t="s">
        <v>533</v>
      </c>
      <c r="M1133" s="159"/>
      <c r="N1133" s="67"/>
      <c r="O1133" s="67"/>
      <c r="P1133" s="67"/>
      <c r="Q1133" s="67"/>
      <c r="R1133" s="67"/>
      <c r="S1133" s="67"/>
      <c r="T1133" s="67"/>
      <c r="U1133" s="67"/>
      <c r="V1133" s="67"/>
      <c r="W1133" s="85"/>
      <c r="X1133" s="962" t="s">
        <v>533</v>
      </c>
    </row>
    <row r="1134" spans="1:24" ht="11.25" customHeight="1">
      <c r="A1134" s="878">
        <v>12</v>
      </c>
      <c r="B1134" s="395" t="s">
        <v>294</v>
      </c>
      <c r="C1134" s="280"/>
      <c r="D1134" s="280"/>
      <c r="E1134" s="43" t="s">
        <v>735</v>
      </c>
      <c r="F1134" s="41">
        <f>IF(R1134="","",R1134)</f>
        <v>80</v>
      </c>
      <c r="G1134" s="3"/>
      <c r="H1134" s="43" t="s">
        <v>295</v>
      </c>
      <c r="I1134" s="2" t="str">
        <f>IF(U1134="","              in.",ROUND(U1134,2)&amp;" in.")</f>
        <v>7.87 in.</v>
      </c>
      <c r="J1134" s="67"/>
      <c r="K1134" s="85"/>
      <c r="L1134" s="981" t="s">
        <v>533</v>
      </c>
      <c r="M1134" s="395" t="s">
        <v>294</v>
      </c>
      <c r="N1134" s="4"/>
      <c r="O1134" s="4"/>
      <c r="P1134" s="392"/>
      <c r="Q1134" s="43" t="s">
        <v>735</v>
      </c>
      <c r="R1134" s="1117">
        <f>IF(R1129="","",R1129)</f>
        <v>80</v>
      </c>
      <c r="S1134" s="3"/>
      <c r="T1134" s="43" t="s">
        <v>295</v>
      </c>
      <c r="U1134" s="1116">
        <f>IF(R1130="","",R1130)</f>
        <v>7.8740157480314963</v>
      </c>
      <c r="V1134" s="62" t="s">
        <v>283</v>
      </c>
      <c r="W1134" s="45"/>
      <c r="X1134" s="962" t="s">
        <v>533</v>
      </c>
    </row>
    <row r="1135" spans="1:24" ht="11.25" customHeight="1">
      <c r="A1135" s="878">
        <v>13</v>
      </c>
      <c r="B1135" s="159"/>
      <c r="C1135" s="3"/>
      <c r="D1135" s="3"/>
      <c r="E1135" s="43" t="s">
        <v>739</v>
      </c>
      <c r="F1135" s="2" t="str">
        <f>IF(R1135="","",R1135)</f>
        <v>182.88 cm</v>
      </c>
      <c r="G1135" s="3"/>
      <c r="H1135" s="43" t="s">
        <v>669</v>
      </c>
      <c r="I1135" s="12" t="str">
        <f>IF(U1135="","",U1135)</f>
        <v>DR/</v>
      </c>
      <c r="J1135" s="67"/>
      <c r="K1135" s="85"/>
      <c r="L1135" s="981" t="s">
        <v>533</v>
      </c>
      <c r="M1135" s="159"/>
      <c r="N1135" s="3"/>
      <c r="O1135" s="3"/>
      <c r="P1135" s="3"/>
      <c r="Q1135" s="43" t="s">
        <v>739</v>
      </c>
      <c r="R1135" s="1116" t="str">
        <f>IF(R1127="","",R1127)</f>
        <v>182.88 cm</v>
      </c>
      <c r="S1135" s="3"/>
      <c r="T1135" s="43" t="s">
        <v>669</v>
      </c>
      <c r="U1135" s="1118" t="str">
        <f>IF($T$32="","",$T$32&amp;"/"&amp;$T$33)</f>
        <v>DR/</v>
      </c>
      <c r="V1135" s="4"/>
      <c r="W1135" s="85"/>
      <c r="X1135" s="962" t="s">
        <v>533</v>
      </c>
    </row>
    <row r="1136" spans="1:24" ht="11.25" customHeight="1">
      <c r="A1136" s="878">
        <v>14</v>
      </c>
      <c r="B1136" s="278" t="s">
        <v>296</v>
      </c>
      <c r="C1136" s="280" t="s">
        <v>297</v>
      </c>
      <c r="D1136" s="280"/>
      <c r="E1136" s="280" t="s">
        <v>298</v>
      </c>
      <c r="F1136" s="280"/>
      <c r="G1136" s="280" t="s">
        <v>299</v>
      </c>
      <c r="H1136" s="280"/>
      <c r="I1136" s="3"/>
      <c r="J1136" s="3"/>
      <c r="K1136" s="85"/>
      <c r="L1136" s="981" t="s">
        <v>533</v>
      </c>
      <c r="M1136" s="159"/>
      <c r="N1136" s="43" t="s">
        <v>296</v>
      </c>
      <c r="O1136" s="280" t="s">
        <v>297</v>
      </c>
      <c r="P1136" s="280"/>
      <c r="Q1136" s="280" t="s">
        <v>298</v>
      </c>
      <c r="R1136" s="280"/>
      <c r="S1136" s="280" t="s">
        <v>299</v>
      </c>
      <c r="T1136" s="280"/>
      <c r="U1136" s="67"/>
      <c r="V1136" s="67"/>
      <c r="W1136" s="85"/>
      <c r="X1136" s="962" t="s">
        <v>533</v>
      </c>
    </row>
    <row r="1137" spans="1:25" ht="11.25" customHeight="1" thickBot="1">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533</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533</v>
      </c>
    </row>
    <row r="1138" spans="1:25" ht="11.25" customHeight="1">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533</v>
      </c>
      <c r="M1138" s="56"/>
      <c r="N1138" s="3"/>
      <c r="O1138" s="929"/>
      <c r="P1138" s="930"/>
      <c r="Q1138" s="929"/>
      <c r="R1138" s="930"/>
      <c r="S1138" s="929"/>
      <c r="T1138" s="930"/>
      <c r="U1138" s="67"/>
      <c r="V1138" s="67"/>
      <c r="W1138" s="85"/>
      <c r="X1138" s="962" t="s">
        <v>533</v>
      </c>
    </row>
    <row r="1139" spans="1:25" ht="11.25" customHeight="1">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533</v>
      </c>
      <c r="M1139" s="278"/>
      <c r="N1139" s="67"/>
      <c r="O1139" s="929"/>
      <c r="P1139" s="930"/>
      <c r="Q1139" s="929"/>
      <c r="R1139" s="930"/>
      <c r="S1139" s="929"/>
      <c r="T1139" s="930"/>
      <c r="U1139" s="67"/>
      <c r="V1139" s="67"/>
      <c r="W1139" s="85"/>
      <c r="X1139" s="962"/>
    </row>
    <row r="1140" spans="1:25" ht="11.25" customHeight="1">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533</v>
      </c>
      <c r="M1140" s="56"/>
      <c r="N1140" s="67"/>
      <c r="O1140" s="929"/>
      <c r="P1140" s="930"/>
      <c r="Q1140" s="929"/>
      <c r="R1140" s="930"/>
      <c r="S1140" s="929"/>
      <c r="T1140" s="930"/>
      <c r="U1140" s="67"/>
      <c r="V1140" s="67"/>
      <c r="W1140" s="85"/>
      <c r="X1140" s="962" t="s">
        <v>533</v>
      </c>
    </row>
    <row r="1141" spans="1:25" ht="11.25" customHeight="1">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533</v>
      </c>
      <c r="M1141" s="56"/>
      <c r="N1141" s="67"/>
      <c r="O1141" s="929"/>
      <c r="P1141" s="930"/>
      <c r="Q1141" s="929"/>
      <c r="R1141" s="930"/>
      <c r="S1141" s="929"/>
      <c r="T1141" s="930"/>
      <c r="U1141" s="67"/>
      <c r="V1141" s="67"/>
      <c r="W1141" s="85"/>
      <c r="X1141" s="962" t="s">
        <v>533</v>
      </c>
    </row>
    <row r="1142" spans="1:25" ht="11.25" customHeight="1">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533</v>
      </c>
      <c r="M1142" s="56"/>
      <c r="N1142" s="67"/>
      <c r="O1142" s="929"/>
      <c r="P1142" s="930"/>
      <c r="Q1142" s="929"/>
      <c r="R1142" s="930"/>
      <c r="S1142" s="929"/>
      <c r="T1142" s="930"/>
      <c r="U1142" s="67"/>
      <c r="V1142" s="67"/>
      <c r="W1142" s="85"/>
      <c r="X1142" s="962" t="s">
        <v>533</v>
      </c>
    </row>
    <row r="1143" spans="1:25" ht="11.25" customHeight="1">
      <c r="A1143" s="878">
        <v>21</v>
      </c>
      <c r="B1143" s="159"/>
      <c r="C1143" s="67"/>
      <c r="D1143" s="67"/>
      <c r="E1143" s="67"/>
      <c r="F1143" s="67"/>
      <c r="G1143" s="67"/>
      <c r="H1143" s="67"/>
      <c r="I1143" s="67"/>
      <c r="J1143" s="67"/>
      <c r="K1143" s="85"/>
      <c r="L1143" s="981" t="s">
        <v>533</v>
      </c>
      <c r="M1143" s="56"/>
      <c r="N1143" s="67"/>
      <c r="O1143" s="67"/>
      <c r="P1143" s="67"/>
      <c r="Q1143" s="67"/>
      <c r="R1143" s="67"/>
      <c r="S1143" s="67"/>
      <c r="T1143" s="3"/>
      <c r="U1143" s="67"/>
      <c r="V1143" s="67"/>
      <c r="W1143" s="85"/>
      <c r="X1143" s="962" t="s">
        <v>533</v>
      </c>
    </row>
    <row r="1144" spans="1:25" ht="11.25" customHeight="1">
      <c r="A1144" s="878">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300</v>
      </c>
      <c r="K1144" s="85"/>
      <c r="L1144" s="981" t="s">
        <v>533</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300</v>
      </c>
      <c r="W1144" s="45"/>
      <c r="X1144" s="962" t="s">
        <v>533</v>
      </c>
    </row>
    <row r="1145" spans="1:25" ht="11.25" customHeight="1">
      <c r="A1145" s="878">
        <v>23</v>
      </c>
      <c r="B1145" s="278" t="s">
        <v>301</v>
      </c>
      <c r="C1145" s="25" t="str">
        <f t="shared" si="163"/>
        <v/>
      </c>
      <c r="D1145" s="28" t="str">
        <f t="shared" si="163"/>
        <v/>
      </c>
      <c r="E1145" s="27" t="str">
        <f t="shared" si="163"/>
        <v/>
      </c>
      <c r="F1145" s="28" t="str">
        <f t="shared" si="163"/>
        <v/>
      </c>
      <c r="G1145" s="27" t="str">
        <f t="shared" si="163"/>
        <v/>
      </c>
      <c r="H1145" s="25" t="str">
        <f t="shared" si="163"/>
        <v/>
      </c>
      <c r="I1145" s="67"/>
      <c r="J1145" s="23" t="s">
        <v>302</v>
      </c>
      <c r="K1145" s="85"/>
      <c r="L1145" s="981" t="s">
        <v>533</v>
      </c>
      <c r="M1145" s="56"/>
      <c r="N1145" s="564" t="s">
        <v>301</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302</v>
      </c>
      <c r="W1145" s="45"/>
      <c r="X1145" s="962" t="s">
        <v>533</v>
      </c>
    </row>
    <row r="1146" spans="1:25" ht="11.25" customHeight="1" thickBot="1">
      <c r="A1146" s="878">
        <v>24</v>
      </c>
      <c r="B1146" s="278" t="s">
        <v>303</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533</v>
      </c>
      <c r="M1146" s="56"/>
      <c r="N1146" s="564" t="s">
        <v>303</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533</v>
      </c>
      <c r="Y1146" s="1247"/>
    </row>
    <row r="1147" spans="1:25" ht="11.25" customHeight="1" thickBot="1">
      <c r="A1147" s="878">
        <v>25</v>
      </c>
      <c r="B1147" s="382" t="s">
        <v>698</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698</v>
      </c>
      <c r="J1147" s="435" t="str">
        <f>IF(V1147="","",V1147)</f>
        <v>TBD</v>
      </c>
      <c r="K1147" s="85"/>
      <c r="L1147" s="981" t="s">
        <v>533</v>
      </c>
      <c r="M1147" s="159"/>
      <c r="N1147" s="1108" t="s">
        <v>698</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698</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533</v>
      </c>
    </row>
    <row r="1148" spans="1:25" ht="11.25" customHeight="1">
      <c r="A1148" s="878">
        <v>26</v>
      </c>
      <c r="B1148" s="629"/>
      <c r="C1148" s="627"/>
      <c r="D1148" s="627"/>
      <c r="E1148" s="627"/>
      <c r="F1148" s="627"/>
      <c r="G1148" s="627"/>
      <c r="H1148" s="627"/>
      <c r="I1148" s="627"/>
      <c r="J1148" s="1099" t="str">
        <f>IF(V1148="","",V1148)</f>
        <v>NOTE: Density step 1 produced a TBD % change</v>
      </c>
      <c r="K1148" s="630"/>
      <c r="L1148" s="981" t="s">
        <v>533</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533</v>
      </c>
    </row>
    <row r="1149" spans="1:25" ht="11.25" customHeight="1">
      <c r="A1149" s="878">
        <v>27</v>
      </c>
      <c r="B1149" s="159"/>
      <c r="C1149" s="67"/>
      <c r="D1149" s="67"/>
      <c r="E1149" s="166" t="s">
        <v>304</v>
      </c>
      <c r="F1149" s="119" t="str">
        <f>R1149</f>
        <v>Film:  Maximum variation of 0.4 O.D.</v>
      </c>
      <c r="G1149" s="67"/>
      <c r="H1149" s="67"/>
      <c r="I1149" s="67"/>
      <c r="J1149" s="67"/>
      <c r="K1149" s="630"/>
      <c r="L1149" s="981" t="s">
        <v>533</v>
      </c>
      <c r="M1149" s="159"/>
      <c r="N1149" s="67"/>
      <c r="O1149" s="67"/>
      <c r="P1149" s="67"/>
      <c r="Q1149" s="166" t="s">
        <v>304</v>
      </c>
      <c r="R1149" s="119" t="s">
        <v>1185</v>
      </c>
      <c r="S1149" s="67"/>
      <c r="T1149" s="67"/>
      <c r="U1149" s="67"/>
      <c r="V1149" s="67"/>
      <c r="W1149" s="45"/>
      <c r="X1149" s="962" t="s">
        <v>533</v>
      </c>
    </row>
    <row r="1150" spans="1:25" ht="11.25" customHeight="1">
      <c r="A1150" s="878">
        <v>28</v>
      </c>
      <c r="B1150" s="159"/>
      <c r="C1150" s="67"/>
      <c r="D1150" s="67"/>
      <c r="E1150" s="67"/>
      <c r="F1150" s="119" t="str">
        <f>R1150</f>
        <v>Exposure &amp; AEC Meter:  Max. Variation 35%</v>
      </c>
      <c r="G1150" s="67"/>
      <c r="H1150" s="67"/>
      <c r="I1150" s="67"/>
      <c r="J1150" s="67"/>
      <c r="K1150" s="630"/>
      <c r="L1150" s="981" t="s">
        <v>533</v>
      </c>
      <c r="M1150" s="159"/>
      <c r="N1150" s="67"/>
      <c r="O1150" s="67"/>
      <c r="P1150" s="67"/>
      <c r="Q1150" s="67"/>
      <c r="R1150" s="119" t="s">
        <v>1184</v>
      </c>
      <c r="S1150" s="67"/>
      <c r="T1150" s="67"/>
      <c r="U1150" s="67"/>
      <c r="V1150" s="67"/>
      <c r="W1150" s="45"/>
      <c r="X1150" s="962" t="s">
        <v>533</v>
      </c>
    </row>
    <row r="1151" spans="1:25" ht="11.25" customHeight="1">
      <c r="A1151" s="878">
        <v>29</v>
      </c>
      <c r="B1151" s="159"/>
      <c r="C1151" s="67"/>
      <c r="D1151" s="67"/>
      <c r="E1151" s="464" t="s">
        <v>305</v>
      </c>
      <c r="F1151" s="119" t="str">
        <f>R1151</f>
        <v>Coefficient of variation &lt;= 5% for each detector</v>
      </c>
      <c r="G1151" s="67"/>
      <c r="H1151" s="67"/>
      <c r="I1151" s="67"/>
      <c r="J1151" s="67"/>
      <c r="K1151" s="630"/>
      <c r="L1151" s="981" t="s">
        <v>533</v>
      </c>
      <c r="M1151" s="159"/>
      <c r="N1151" s="67"/>
      <c r="O1151" s="67"/>
      <c r="P1151" s="67"/>
      <c r="Q1151" s="464" t="s">
        <v>305</v>
      </c>
      <c r="R1151" s="119" t="s">
        <v>306</v>
      </c>
      <c r="S1151" s="67"/>
      <c r="T1151" s="67"/>
      <c r="U1151" s="67"/>
      <c r="V1151" s="67"/>
      <c r="W1151" s="45"/>
      <c r="X1151" s="962" t="s">
        <v>533</v>
      </c>
    </row>
    <row r="1152" spans="1:25" ht="11.25" customHeight="1">
      <c r="A1152" s="878">
        <v>30</v>
      </c>
      <c r="B1152" s="159"/>
      <c r="C1152" s="67"/>
      <c r="D1152" s="67"/>
      <c r="E1152" s="67"/>
      <c r="F1152" s="67"/>
      <c r="G1152" s="67"/>
      <c r="H1152" s="67"/>
      <c r="I1152" s="67"/>
      <c r="J1152" s="67"/>
      <c r="K1152" s="85"/>
      <c r="L1152" s="981" t="s">
        <v>533</v>
      </c>
      <c r="M1152" s="159"/>
      <c r="N1152" s="67"/>
      <c r="O1152" s="67"/>
      <c r="P1152" s="67"/>
      <c r="Q1152" s="67"/>
      <c r="R1152" s="67"/>
      <c r="S1152" s="67"/>
      <c r="T1152" s="67"/>
      <c r="U1152" s="67"/>
      <c r="V1152" s="67"/>
      <c r="W1152" s="85"/>
      <c r="X1152" s="962" t="s">
        <v>533</v>
      </c>
    </row>
    <row r="1153" spans="1:29" ht="11.25" customHeight="1">
      <c r="A1153" s="878">
        <v>31</v>
      </c>
      <c r="B1153" s="277" t="s">
        <v>307</v>
      </c>
      <c r="C1153" s="3"/>
      <c r="D1153" s="3"/>
      <c r="E1153" s="3"/>
      <c r="F1153" s="3"/>
      <c r="G1153" s="3"/>
      <c r="H1153" s="3"/>
      <c r="I1153" s="3"/>
      <c r="J1153" s="3"/>
      <c r="K1153" s="85"/>
      <c r="L1153" s="981" t="s">
        <v>533</v>
      </c>
      <c r="M1153" s="159"/>
      <c r="N1153" s="67"/>
      <c r="O1153" s="67"/>
      <c r="P1153" s="67"/>
      <c r="Q1153" s="67"/>
      <c r="R1153" s="67"/>
      <c r="S1153" s="67"/>
      <c r="T1153" s="67"/>
      <c r="U1153" s="67"/>
      <c r="V1153" s="67"/>
      <c r="W1153" s="85"/>
      <c r="X1153" s="962" t="s">
        <v>533</v>
      </c>
    </row>
    <row r="1154" spans="1:29" ht="11.25" customHeight="1">
      <c r="A1154" s="878">
        <v>32</v>
      </c>
      <c r="B1154" s="56"/>
      <c r="C1154" s="43" t="s">
        <v>739</v>
      </c>
      <c r="D1154" s="2" t="str">
        <f>IF(P1155="","",P1155)</f>
        <v>182.9 cm</v>
      </c>
      <c r="E1154" s="3"/>
      <c r="F1154" s="43" t="s">
        <v>308</v>
      </c>
      <c r="G1154" s="2" t="str">
        <f>IF(S1155="","",S1155)</f>
        <v>LR</v>
      </c>
      <c r="H1154" s="3"/>
      <c r="I1154" s="43" t="s">
        <v>309</v>
      </c>
      <c r="J1154" s="2" t="str">
        <f>IF(V1155="","",V1155)</f>
        <v/>
      </c>
      <c r="K1154" s="85"/>
      <c r="L1154" s="981" t="s">
        <v>533</v>
      </c>
      <c r="M1154" s="159"/>
      <c r="N1154" s="504" t="s">
        <v>307</v>
      </c>
      <c r="O1154" s="3"/>
      <c r="P1154" s="3"/>
      <c r="Q1154" s="3"/>
      <c r="R1154" s="511"/>
      <c r="S1154" s="3"/>
      <c r="T1154" s="3"/>
      <c r="U1154" s="3"/>
      <c r="V1154" s="3"/>
      <c r="W1154" s="45"/>
      <c r="X1154" s="962" t="s">
        <v>533</v>
      </c>
    </row>
    <row r="1155" spans="1:29" ht="11.25" customHeight="1">
      <c r="A1155" s="878">
        <v>33</v>
      </c>
      <c r="B1155" s="56" t="s">
        <v>310</v>
      </c>
      <c r="C1155" s="35" t="s">
        <v>311</v>
      </c>
      <c r="D1155" s="576">
        <f>IF(P1156="","",P1156)</f>
        <v>60</v>
      </c>
      <c r="E1155" s="35" t="s">
        <v>312</v>
      </c>
      <c r="F1155" s="576">
        <f>IF(R1156="","",R1156)</f>
        <v>80</v>
      </c>
      <c r="G1155" s="35" t="s">
        <v>313</v>
      </c>
      <c r="H1155" s="576">
        <f>IF(T1156="","",T1156)</f>
        <v>100</v>
      </c>
      <c r="I1155" s="35" t="s">
        <v>314</v>
      </c>
      <c r="J1155" s="577">
        <f>IF(V1156="","",V1156)</f>
        <v>120</v>
      </c>
      <c r="K1155" s="85"/>
      <c r="L1155" s="981" t="s">
        <v>533</v>
      </c>
      <c r="M1155" s="159"/>
      <c r="N1155" s="3"/>
      <c r="O1155" s="43" t="s">
        <v>739</v>
      </c>
      <c r="P1155" s="1116" t="str">
        <f>IF($M$616="","",ROUND($M$616,1))&amp;" "&amp;WBCM_IN</f>
        <v>182.9 cm</v>
      </c>
      <c r="Q1155" s="3"/>
      <c r="R1155" s="43" t="s">
        <v>308</v>
      </c>
      <c r="S1155" s="1116" t="str">
        <f>IF($R$1128="","",$R$1128)</f>
        <v>LR</v>
      </c>
      <c r="T1155" s="3"/>
      <c r="U1155" s="43" t="s">
        <v>309</v>
      </c>
      <c r="V1155" s="1117" t="str">
        <f>IF($O$1027="","",$O$1027)</f>
        <v/>
      </c>
      <c r="W1155" s="45"/>
      <c r="X1155" s="962" t="s">
        <v>533</v>
      </c>
      <c r="AC1155"/>
    </row>
    <row r="1156" spans="1:29" ht="11.25" customHeight="1" thickBot="1">
      <c r="A1156" s="878">
        <v>34</v>
      </c>
      <c r="B1156" s="8" t="s">
        <v>315</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533</v>
      </c>
      <c r="M1156" s="159"/>
      <c r="N1156" s="5" t="s">
        <v>310</v>
      </c>
      <c r="O1156" s="35" t="s">
        <v>311</v>
      </c>
      <c r="P1156" s="1121">
        <f>$Q$694</f>
        <v>60</v>
      </c>
      <c r="Q1156" s="1042" t="s">
        <v>312</v>
      </c>
      <c r="R1156" s="1121">
        <f>$Q$695</f>
        <v>80</v>
      </c>
      <c r="S1156" s="1042" t="s">
        <v>313</v>
      </c>
      <c r="T1156" s="1121">
        <f>$Q$696</f>
        <v>100</v>
      </c>
      <c r="U1156" s="1042" t="s">
        <v>314</v>
      </c>
      <c r="V1156" s="1121">
        <f>$Q$697</f>
        <v>120</v>
      </c>
      <c r="W1156" s="45"/>
      <c r="X1156" s="962" t="s">
        <v>533</v>
      </c>
      <c r="AC1156"/>
    </row>
    <row r="1157" spans="1:29" ht="11.25" customHeight="1" thickBot="1">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533</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533</v>
      </c>
      <c r="AC1157"/>
    </row>
    <row r="1158" spans="1:29" ht="11.25" customHeight="1">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533</v>
      </c>
      <c r="M1158" s="159"/>
      <c r="N1158" s="503">
        <v>10</v>
      </c>
      <c r="O1158" s="931"/>
      <c r="P1158" s="932"/>
      <c r="Q1158" s="931"/>
      <c r="R1158" s="932"/>
      <c r="S1158" s="931"/>
      <c r="T1158" s="932"/>
      <c r="U1158" s="1352"/>
      <c r="V1158" s="1353"/>
      <c r="W1158" s="85"/>
      <c r="X1158" s="962" t="s">
        <v>533</v>
      </c>
      <c r="AC1158"/>
    </row>
    <row r="1159" spans="1:29" ht="11.25" customHeight="1">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533</v>
      </c>
      <c r="M1159" s="56"/>
      <c r="N1159" s="503">
        <v>15</v>
      </c>
      <c r="O1159" s="931"/>
      <c r="P1159" s="932"/>
      <c r="Q1159" s="931"/>
      <c r="R1159" s="932"/>
      <c r="S1159" s="931"/>
      <c r="T1159" s="932"/>
      <c r="U1159" s="931"/>
      <c r="V1159" s="932"/>
      <c r="W1159" s="45"/>
      <c r="X1159" s="962" t="s">
        <v>533</v>
      </c>
      <c r="AC1159"/>
    </row>
    <row r="1160" spans="1:29" ht="11.25" customHeight="1">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533</v>
      </c>
      <c r="M1160" s="56"/>
      <c r="N1160" s="503">
        <v>20</v>
      </c>
      <c r="O1160" s="931"/>
      <c r="P1160" s="932"/>
      <c r="Q1160" s="931"/>
      <c r="R1160" s="932"/>
      <c r="S1160" s="931"/>
      <c r="T1160" s="932"/>
      <c r="U1160" s="931"/>
      <c r="V1160" s="932"/>
      <c r="W1160" s="45"/>
      <c r="X1160" s="962" t="s">
        <v>533</v>
      </c>
      <c r="AC1160"/>
    </row>
    <row r="1161" spans="1:29" ht="11.25" customHeight="1" thickBot="1">
      <c r="A1161" s="878">
        <v>39</v>
      </c>
      <c r="B1161" s="159"/>
      <c r="C1161" s="67"/>
      <c r="D1161" s="67"/>
      <c r="E1161" s="67"/>
      <c r="F1161" s="67"/>
      <c r="G1161" s="67"/>
      <c r="H1161" s="67"/>
      <c r="I1161" s="67"/>
      <c r="J1161" s="67"/>
      <c r="K1161" s="85"/>
      <c r="L1161" s="981" t="s">
        <v>533</v>
      </c>
      <c r="M1161" s="56"/>
      <c r="N1161" s="503">
        <v>25</v>
      </c>
      <c r="O1161" s="1352"/>
      <c r="P1161" s="1353"/>
      <c r="Q1161" s="931"/>
      <c r="R1161" s="932"/>
      <c r="S1161" s="931"/>
      <c r="T1161" s="932"/>
      <c r="U1161" s="931"/>
      <c r="V1161" s="932"/>
      <c r="W1161" s="45"/>
      <c r="X1161" s="962" t="s">
        <v>533</v>
      </c>
      <c r="AC1161"/>
    </row>
    <row r="1162" spans="1:29" ht="11.25" customHeight="1" thickBot="1">
      <c r="A1162" s="878">
        <v>40</v>
      </c>
      <c r="B1162" s="382" t="s">
        <v>317</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533</v>
      </c>
      <c r="M1162" s="56"/>
      <c r="N1162" s="3"/>
      <c r="O1162" s="3"/>
      <c r="P1162" s="3"/>
      <c r="Q1162" s="3"/>
      <c r="R1162" s="3"/>
      <c r="S1162" s="3"/>
      <c r="T1162" s="3"/>
      <c r="U1162" s="3"/>
      <c r="V1162" s="3"/>
      <c r="W1162" s="45"/>
      <c r="X1162" s="962" t="s">
        <v>533</v>
      </c>
      <c r="AC1162"/>
    </row>
    <row r="1163" spans="1:29" ht="11.25" customHeight="1" thickBot="1">
      <c r="A1163" s="878">
        <v>41</v>
      </c>
      <c r="B1163" s="382" t="s">
        <v>698</v>
      </c>
      <c r="C1163" s="648" t="str">
        <f>IF(O1164="","",O1164)</f>
        <v>NA</v>
      </c>
      <c r="D1163" s="53"/>
      <c r="E1163" s="648" t="str">
        <f>IF(Q1164="","",Q1164)</f>
        <v>NA</v>
      </c>
      <c r="F1163" s="53"/>
      <c r="G1163" s="648" t="str">
        <f>IF(S1164="","",S1164)</f>
        <v>NA</v>
      </c>
      <c r="H1163" s="53"/>
      <c r="I1163" s="648" t="str">
        <f>IF(U1164="","",U1164)</f>
        <v>NA</v>
      </c>
      <c r="J1163" s="1248"/>
      <c r="K1163" s="85"/>
      <c r="L1163" s="981" t="s">
        <v>533</v>
      </c>
      <c r="M1163" s="859" t="s">
        <v>323</v>
      </c>
      <c r="N1163" s="563" t="s">
        <v>317</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533</v>
      </c>
      <c r="AC1163"/>
    </row>
    <row r="1164" spans="1:29" ht="11.25" customHeight="1" thickBot="1">
      <c r="A1164" s="878">
        <v>42</v>
      </c>
      <c r="B1164" s="278" t="s">
        <v>319</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533</v>
      </c>
      <c r="M1164" s="159"/>
      <c r="N1164" s="1108" t="s">
        <v>698</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533</v>
      </c>
      <c r="AC1164"/>
    </row>
    <row r="1165" spans="1:29" ht="11.25" customHeight="1" thickBot="1">
      <c r="A1165" s="878">
        <v>43</v>
      </c>
      <c r="B1165" s="382" t="s">
        <v>698</v>
      </c>
      <c r="C1165" s="648" t="str">
        <f>IF(O1166="","",O1166)</f>
        <v>NA</v>
      </c>
      <c r="D1165" s="53"/>
      <c r="E1165" s="648" t="str">
        <f>IF(Q1166="","",Q1166)</f>
        <v>NA</v>
      </c>
      <c r="F1165" s="53"/>
      <c r="G1165" s="648" t="str">
        <f>IF(S1166="","",S1166)</f>
        <v>NA</v>
      </c>
      <c r="H1165" s="53"/>
      <c r="I1165" s="648" t="str">
        <f>IF(U1166="","",U1166)</f>
        <v>NA</v>
      </c>
      <c r="J1165" s="1248"/>
      <c r="K1165" s="85"/>
      <c r="L1165" s="981" t="s">
        <v>533</v>
      </c>
      <c r="M1165" s="159"/>
      <c r="N1165" s="564" t="s">
        <v>319</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533</v>
      </c>
      <c r="AC1165"/>
    </row>
    <row r="1166" spans="1:29" ht="11.25" customHeight="1" thickBot="1">
      <c r="A1166" s="878">
        <v>44</v>
      </c>
      <c r="B1166" s="159"/>
      <c r="C1166" s="67"/>
      <c r="D1166" s="67"/>
      <c r="E1166" s="180"/>
      <c r="F1166" s="181" t="s">
        <v>320</v>
      </c>
      <c r="G1166" s="1568" t="str">
        <f>IF(S1167="","",S1167)</f>
        <v/>
      </c>
      <c r="H1166" s="178" t="s">
        <v>698</v>
      </c>
      <c r="I1166" s="179" t="str">
        <f>IF(U1167="","",U1167)</f>
        <v>NA</v>
      </c>
      <c r="J1166" s="67"/>
      <c r="K1166" s="85"/>
      <c r="L1166" s="981" t="s">
        <v>533</v>
      </c>
      <c r="M1166" s="159"/>
      <c r="N1166" s="1108" t="s">
        <v>698</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533</v>
      </c>
    </row>
    <row r="1167" spans="1:29" ht="11.25" customHeight="1" thickBot="1">
      <c r="A1167" s="878">
        <v>45</v>
      </c>
      <c r="B1167" s="159"/>
      <c r="C1167" s="166" t="s">
        <v>699</v>
      </c>
      <c r="D1167" s="246" t="str">
        <f>P1169</f>
        <v>Film-Max difference 0.3 O.D. for individual kV or thickness; 0.4 O.D. overall</v>
      </c>
      <c r="E1167" s="67"/>
      <c r="F1167" s="67"/>
      <c r="G1167" s="67"/>
      <c r="H1167" s="67"/>
      <c r="I1167" s="67"/>
      <c r="J1167" s="67"/>
      <c r="K1167" s="85"/>
      <c r="L1167" s="981" t="s">
        <v>533</v>
      </c>
      <c r="M1167" s="159"/>
      <c r="N1167" s="67"/>
      <c r="O1167" s="67"/>
      <c r="P1167" s="67"/>
      <c r="Q1167" s="180"/>
      <c r="R1167" s="181" t="s">
        <v>320</v>
      </c>
      <c r="S1167" s="1480" t="str">
        <f>IF(AND(P1163="",R1163="",T1163="",V1163="",P1165="",R1165="",T1165="",V1165=""),"",IF(Q1157="Film O.D.",ROUND(Q1178,2)&amp;" O.D.",IF(Q1157="lgM",ROUND(Q1178,2)&amp;" lgM",ROUND(Q1178/AVERAGE(O1158:O1161,Q1158:Q1161,S1158:S1161,U1158:U1161),2))))</f>
        <v/>
      </c>
      <c r="T1167" s="1076" t="s">
        <v>698</v>
      </c>
      <c r="U1167" s="1056" t="str">
        <f>IF(AND(O1164="NA",Q1164="NA",S1164="NA",U1164="NA",O1166="NA",Q1166="NA",S1166="NA",U1166="NA"),"NA",IF(Q1157="Film O.D.",IF(Q1178&gt;0.4,"NO","YES"),IF(Q1157="lgM",IF(Q1178&gt;0.2,"NO","YES"),IF(ROUND(Q1178/AVERAGE(O1158:O1160,Q1158:Q1161,S1158:S1161,U1159:U1161),2)&lt;=0.35,"YES","NO"))))</f>
        <v>NA</v>
      </c>
      <c r="V1167" s="67"/>
      <c r="W1167" s="85"/>
      <c r="X1167" s="962" t="s">
        <v>533</v>
      </c>
    </row>
    <row r="1168" spans="1:29" ht="11.25" customHeight="1">
      <c r="A1168" s="878">
        <v>46</v>
      </c>
      <c r="B1168" s="159"/>
      <c r="C1168" s="67"/>
      <c r="D1168" s="470" t="str">
        <f>P1170</f>
        <v>Exposure &amp; AEC Meter-</v>
      </c>
      <c r="E1168" s="67"/>
      <c r="F1168" s="67"/>
      <c r="G1168" s="67"/>
      <c r="H1168" s="67"/>
      <c r="I1168" s="67"/>
      <c r="J1168" s="67"/>
      <c r="K1168" s="85"/>
      <c r="L1168" s="981" t="s">
        <v>533</v>
      </c>
      <c r="M1168" s="159"/>
      <c r="N1168" s="67"/>
      <c r="P1168" s="4"/>
      <c r="Q1168" s="67"/>
      <c r="R1168" s="67"/>
      <c r="S1168" s="67"/>
      <c r="T1168" s="67"/>
      <c r="U1168" s="1246" t="str">
        <f>$V$1148</f>
        <v>NOTE: Density step 1 produced a TBD % change</v>
      </c>
      <c r="V1168" s="67"/>
      <c r="W1168" s="85"/>
      <c r="X1168" s="962" t="s">
        <v>533</v>
      </c>
    </row>
    <row r="1169" spans="1:24" ht="11.25" customHeight="1">
      <c r="A1169" s="878">
        <v>47</v>
      </c>
      <c r="B1169" s="124" t="s">
        <v>681</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533</v>
      </c>
      <c r="M1169" s="159"/>
      <c r="N1169" s="67"/>
      <c r="O1169" s="166" t="s">
        <v>699</v>
      </c>
      <c r="P1169" s="246" t="s">
        <v>208</v>
      </c>
      <c r="Q1169" s="67"/>
      <c r="R1169" s="67"/>
      <c r="S1169" s="67"/>
      <c r="T1169" s="67"/>
      <c r="U1169" s="67"/>
      <c r="V1169" s="67"/>
      <c r="W1169" s="85"/>
      <c r="X1169" s="962" t="s">
        <v>533</v>
      </c>
    </row>
    <row r="1170" spans="1:24" ht="11.25" customHeight="1">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533</v>
      </c>
      <c r="M1170" s="159"/>
      <c r="N1170" s="67"/>
      <c r="O1170" s="67"/>
      <c r="P1170" s="464" t="s">
        <v>1186</v>
      </c>
      <c r="Q1170" s="1457" t="s">
        <v>378</v>
      </c>
      <c r="R1170" s="67"/>
      <c r="S1170" s="67"/>
      <c r="T1170" s="67"/>
      <c r="U1170" s="67"/>
      <c r="V1170" s="67"/>
      <c r="W1170" s="85"/>
      <c r="X1170" s="962" t="s">
        <v>533</v>
      </c>
    </row>
    <row r="1171" spans="1:24" ht="11.25" customHeight="1">
      <c r="A1171" s="878">
        <v>49</v>
      </c>
      <c r="B1171" s="56"/>
      <c r="C1171" s="1290" t="str">
        <f>IF(LEN(O1171)&lt;=265,"",RIGHT(O1171,LEN(O1171)-SEARCH(" ",O1171,255)))</f>
        <v/>
      </c>
      <c r="D1171" s="2"/>
      <c r="E1171" s="2"/>
      <c r="F1171" s="2"/>
      <c r="G1171" s="2"/>
      <c r="H1171" s="2"/>
      <c r="I1171" s="2"/>
      <c r="J1171" s="2"/>
      <c r="K1171" s="85"/>
      <c r="L1171" s="981" t="s">
        <v>533</v>
      </c>
      <c r="M1171" s="159"/>
      <c r="N1171" s="830" t="s">
        <v>681</v>
      </c>
      <c r="O1171" s="1025" t="str">
        <f>IF(O1173&lt;&gt;"",O1173,IF(OR(AB451=0,AB451=""),"",AB451))</f>
        <v>Criteria: lgM - Max difference 0.2 lgM for individual kV or thickness; 0.2 lgM overall</v>
      </c>
      <c r="P1171" s="59"/>
      <c r="Q1171" s="2"/>
      <c r="R1171" s="2"/>
      <c r="S1171" s="2"/>
      <c r="T1171" s="2"/>
      <c r="U1171" s="2"/>
      <c r="V1171" s="2"/>
      <c r="W1171" s="36"/>
      <c r="X1171" s="962" t="s">
        <v>533</v>
      </c>
    </row>
    <row r="1172" spans="1:24" ht="11.25" customHeight="1">
      <c r="A1172" s="878">
        <v>50</v>
      </c>
      <c r="B1172" s="159"/>
      <c r="C1172" s="67"/>
      <c r="D1172" s="67"/>
      <c r="E1172" s="67"/>
      <c r="F1172" s="67"/>
      <c r="G1172" s="67"/>
      <c r="H1172" s="67"/>
      <c r="I1172" s="67"/>
      <c r="J1172" s="67"/>
      <c r="K1172" s="85"/>
      <c r="L1172" s="981" t="s">
        <v>533</v>
      </c>
      <c r="M1172" s="125"/>
      <c r="N1172" s="876" t="s">
        <v>373</v>
      </c>
      <c r="O1172" s="128"/>
      <c r="P1172" s="1289">
        <f>LEN(O1171)</f>
        <v>86</v>
      </c>
      <c r="Q1172" s="12"/>
      <c r="R1172" s="12"/>
      <c r="S1172" s="12"/>
      <c r="T1172" s="12"/>
      <c r="U1172" s="12"/>
      <c r="V1172" s="12"/>
      <c r="W1172" s="279"/>
      <c r="X1172" s="962" t="s">
        <v>533</v>
      </c>
    </row>
    <row r="1173" spans="1:24" ht="11.25" customHeight="1">
      <c r="A1173" s="878">
        <v>51</v>
      </c>
      <c r="B1173" s="56"/>
      <c r="C1173" s="3"/>
      <c r="D1173" s="3"/>
      <c r="E1173" s="3"/>
      <c r="F1173" s="3"/>
      <c r="G1173" s="3"/>
      <c r="H1173" s="3"/>
      <c r="I1173" s="3"/>
      <c r="J1173" s="3"/>
      <c r="K1173" s="85"/>
      <c r="L1173" s="981" t="s">
        <v>533</v>
      </c>
      <c r="M1173" s="150"/>
      <c r="N1173" s="1447" t="s">
        <v>748</v>
      </c>
      <c r="O1173" s="1449" t="s">
        <v>1253</v>
      </c>
      <c r="P1173" s="128"/>
      <c r="Q1173" s="2"/>
      <c r="R1173" s="2"/>
      <c r="S1173" s="2"/>
      <c r="T1173" s="2"/>
      <c r="U1173" s="2"/>
      <c r="V1173" s="2"/>
      <c r="W1173" s="36"/>
      <c r="X1173" s="962" t="s">
        <v>533</v>
      </c>
    </row>
    <row r="1174" spans="1:24" ht="11.25" customHeight="1" thickBot="1">
      <c r="A1174" s="878">
        <v>52</v>
      </c>
      <c r="B1174" s="56"/>
      <c r="C1174" s="3"/>
      <c r="D1174" s="3"/>
      <c r="E1174" s="3"/>
      <c r="F1174" s="3"/>
      <c r="G1174" s="3"/>
      <c r="H1174" s="3"/>
      <c r="I1174" s="3"/>
      <c r="J1174" s="3"/>
      <c r="K1174" s="85"/>
      <c r="L1174" s="981" t="s">
        <v>533</v>
      </c>
      <c r="M1174" s="56"/>
      <c r="N1174" s="3"/>
      <c r="O1174" s="3"/>
      <c r="P1174" s="3"/>
      <c r="Q1174" s="3"/>
      <c r="R1174" s="3"/>
      <c r="S1174" s="3"/>
      <c r="T1174" s="3"/>
      <c r="U1174" s="3"/>
      <c r="V1174" s="3"/>
      <c r="W1174" s="45"/>
      <c r="X1174" s="962" t="s">
        <v>533</v>
      </c>
    </row>
    <row r="1175" spans="1:24" ht="11.25" customHeight="1">
      <c r="A1175" s="878">
        <v>53</v>
      </c>
      <c r="B1175" s="56"/>
      <c r="C1175" s="3"/>
      <c r="D1175" s="3"/>
      <c r="E1175" s="3"/>
      <c r="F1175" s="3"/>
      <c r="G1175" s="3"/>
      <c r="H1175" s="3"/>
      <c r="I1175" s="3"/>
      <c r="J1175" s="3"/>
      <c r="K1175" s="85"/>
      <c r="L1175" s="981" t="s">
        <v>533</v>
      </c>
      <c r="M1175" s="56"/>
      <c r="N1175" s="1325" t="s">
        <v>40</v>
      </c>
      <c r="O1175" s="1326"/>
      <c r="P1175" s="1326"/>
      <c r="Q1175" s="1326"/>
      <c r="R1175" s="1326"/>
      <c r="S1175" s="1326"/>
      <c r="T1175" s="1326"/>
      <c r="U1175" s="1327"/>
      <c r="V1175" s="3"/>
      <c r="W1175" s="45"/>
      <c r="X1175" s="962" t="s">
        <v>533</v>
      </c>
    </row>
    <row r="1176" spans="1:24" ht="11.25" customHeight="1">
      <c r="A1176" s="878">
        <v>54</v>
      </c>
      <c r="B1176" s="56"/>
      <c r="C1176" s="3"/>
      <c r="D1176" s="3"/>
      <c r="E1176" s="3"/>
      <c r="F1176" s="3"/>
      <c r="G1176" s="3"/>
      <c r="H1176" s="3"/>
      <c r="I1176" s="3"/>
      <c r="J1176" s="3"/>
      <c r="K1176" s="85"/>
      <c r="L1176" s="981" t="s">
        <v>533</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533</v>
      </c>
    </row>
    <row r="1177" spans="1:24" ht="11.25" customHeight="1">
      <c r="A1177" s="878">
        <v>55</v>
      </c>
      <c r="B1177" s="56"/>
      <c r="C1177" s="3"/>
      <c r="D1177" s="3"/>
      <c r="E1177" s="3"/>
      <c r="F1177" s="3"/>
      <c r="G1177" s="3"/>
      <c r="H1177" s="3"/>
      <c r="I1177" s="3"/>
      <c r="J1177" s="3"/>
      <c r="K1177" s="85"/>
      <c r="L1177" s="981" t="s">
        <v>533</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533</v>
      </c>
    </row>
    <row r="1178" spans="1:24" ht="11.25" customHeight="1" thickBot="1">
      <c r="A1178" s="878">
        <v>56</v>
      </c>
      <c r="B1178" s="56"/>
      <c r="C1178" s="3"/>
      <c r="D1178" s="3"/>
      <c r="E1178" s="3"/>
      <c r="F1178" s="3"/>
      <c r="G1178" s="3"/>
      <c r="H1178" s="3"/>
      <c r="I1178" s="3"/>
      <c r="J1178" s="3"/>
      <c r="K1178" s="85"/>
      <c r="L1178" s="981" t="s">
        <v>533</v>
      </c>
      <c r="M1178" s="56"/>
      <c r="N1178" s="400"/>
      <c r="O1178" s="6"/>
      <c r="P1178" s="1332" t="s">
        <v>209</v>
      </c>
      <c r="Q1178" s="1471">
        <f>MAX(O1158:O1161,Q1158:Q1161,S1158:S1161,U1158:U1161)-MIN(O1158:O1161,Q1158:Q1161,S1158:S1161,U1158:U1161)</f>
        <v>0</v>
      </c>
      <c r="R1178" s="6"/>
      <c r="S1178" s="6"/>
      <c r="T1178" s="6"/>
      <c r="U1178" s="1254"/>
      <c r="V1178" s="3"/>
      <c r="W1178" s="45"/>
      <c r="X1178" s="962" t="s">
        <v>533</v>
      </c>
    </row>
    <row r="1179" spans="1:24" ht="11.25" customHeight="1">
      <c r="A1179" s="878">
        <v>57</v>
      </c>
      <c r="B1179" s="159"/>
      <c r="C1179" s="67"/>
      <c r="D1179" s="67"/>
      <c r="E1179" s="67"/>
      <c r="F1179" s="67"/>
      <c r="G1179" s="67"/>
      <c r="H1179" s="67"/>
      <c r="I1179" s="67"/>
      <c r="J1179" s="67"/>
      <c r="K1179" s="85"/>
      <c r="L1179" s="981" t="s">
        <v>533</v>
      </c>
      <c r="M1179" s="159"/>
      <c r="N1179" s="67"/>
      <c r="O1179" s="67"/>
      <c r="P1179" s="67"/>
      <c r="Q1179" s="67"/>
      <c r="R1179" s="67"/>
      <c r="S1179" s="67"/>
      <c r="T1179" s="67"/>
      <c r="U1179" s="67"/>
      <c r="V1179" s="67"/>
      <c r="W1179" s="85"/>
      <c r="X1179" s="962" t="s">
        <v>533</v>
      </c>
    </row>
    <row r="1180" spans="1:24" ht="11.25" customHeight="1">
      <c r="A1180" s="878">
        <v>58</v>
      </c>
      <c r="B1180" s="159"/>
      <c r="C1180" s="67"/>
      <c r="D1180" s="67"/>
      <c r="E1180" s="67"/>
      <c r="F1180" s="67"/>
      <c r="G1180" s="67"/>
      <c r="H1180" s="67"/>
      <c r="I1180" s="67"/>
      <c r="J1180" s="67"/>
      <c r="K1180" s="85"/>
      <c r="L1180" s="981" t="s">
        <v>533</v>
      </c>
      <c r="M1180" s="159"/>
      <c r="N1180" s="67"/>
      <c r="O1180" s="67"/>
      <c r="P1180" s="67"/>
      <c r="Q1180" s="67"/>
      <c r="R1180" s="67"/>
      <c r="S1180" s="67"/>
      <c r="T1180" s="67"/>
      <c r="U1180" s="67"/>
      <c r="V1180" s="67"/>
      <c r="W1180" s="85"/>
      <c r="X1180" s="962" t="s">
        <v>533</v>
      </c>
    </row>
    <row r="1181" spans="1:24" ht="11.25" customHeight="1">
      <c r="A1181" s="878">
        <v>59</v>
      </c>
      <c r="B1181" s="159"/>
      <c r="C1181" s="67"/>
      <c r="D1181" s="67"/>
      <c r="E1181" s="67"/>
      <c r="F1181" s="67"/>
      <c r="G1181" s="67"/>
      <c r="H1181" s="67"/>
      <c r="I1181" s="67"/>
      <c r="J1181" s="67"/>
      <c r="K1181" s="85"/>
      <c r="L1181" s="981" t="s">
        <v>533</v>
      </c>
      <c r="M1181" s="159"/>
      <c r="N1181" s="67"/>
      <c r="O1181" s="67"/>
      <c r="P1181" s="67"/>
      <c r="Q1181" s="67"/>
      <c r="R1181" s="67"/>
      <c r="S1181" s="67"/>
      <c r="T1181" s="67"/>
      <c r="U1181" s="67"/>
      <c r="V1181" s="67"/>
      <c r="W1181" s="85"/>
      <c r="X1181" s="962" t="s">
        <v>533</v>
      </c>
    </row>
    <row r="1182" spans="1:24" ht="11.25" customHeight="1">
      <c r="A1182" s="878">
        <v>60</v>
      </c>
      <c r="B1182" s="159"/>
      <c r="C1182" s="67"/>
      <c r="D1182" s="67"/>
      <c r="E1182" s="67"/>
      <c r="F1182" s="67"/>
      <c r="G1182" s="67"/>
      <c r="H1182" s="67"/>
      <c r="I1182" s="67"/>
      <c r="J1182" s="67"/>
      <c r="K1182" s="85"/>
      <c r="L1182" s="981" t="s">
        <v>533</v>
      </c>
      <c r="M1182" s="159"/>
      <c r="N1182" s="67"/>
      <c r="O1182" s="67"/>
      <c r="P1182" s="67"/>
      <c r="Q1182" s="67"/>
      <c r="R1182" s="67"/>
      <c r="S1182" s="67"/>
      <c r="T1182" s="67"/>
      <c r="U1182" s="67"/>
      <c r="V1182" s="67"/>
      <c r="W1182" s="85"/>
      <c r="X1182" s="962" t="s">
        <v>533</v>
      </c>
    </row>
    <row r="1183" spans="1:24" ht="11.25" customHeight="1">
      <c r="A1183" s="878">
        <v>61</v>
      </c>
      <c r="B1183" s="159"/>
      <c r="C1183" s="67"/>
      <c r="D1183" s="67"/>
      <c r="E1183" s="67"/>
      <c r="F1183" s="67"/>
      <c r="G1183" s="67"/>
      <c r="H1183" s="67"/>
      <c r="I1183" s="67"/>
      <c r="J1183" s="67"/>
      <c r="K1183" s="85"/>
      <c r="L1183" s="981" t="s">
        <v>533</v>
      </c>
      <c r="M1183" s="159"/>
      <c r="N1183" s="67"/>
      <c r="O1183" s="67"/>
      <c r="P1183" s="1459" t="s">
        <v>1189</v>
      </c>
      <c r="Q1183" s="67"/>
      <c r="R1183" s="67"/>
      <c r="S1183" s="67"/>
      <c r="T1183" s="67"/>
      <c r="U1183" s="67"/>
      <c r="V1183" s="67"/>
      <c r="W1183" s="85"/>
      <c r="X1183" s="962" t="s">
        <v>533</v>
      </c>
    </row>
    <row r="1184" spans="1:24" ht="11.25" customHeight="1">
      <c r="A1184" s="878">
        <v>62</v>
      </c>
      <c r="B1184" s="159"/>
      <c r="C1184" s="67"/>
      <c r="D1184" s="67"/>
      <c r="E1184" s="67"/>
      <c r="F1184" s="67"/>
      <c r="G1184" s="67"/>
      <c r="H1184" s="67"/>
      <c r="I1184" s="67"/>
      <c r="J1184" s="67"/>
      <c r="K1184" s="85"/>
      <c r="L1184" s="981" t="s">
        <v>533</v>
      </c>
      <c r="M1184" s="159"/>
      <c r="N1184" s="67"/>
      <c r="O1184" s="67"/>
      <c r="P1184" s="67"/>
      <c r="Q1184" s="67"/>
      <c r="R1184" s="67"/>
      <c r="S1184" s="67"/>
      <c r="T1184" s="67"/>
      <c r="U1184" s="67"/>
      <c r="V1184" s="67"/>
      <c r="W1184" s="85"/>
      <c r="X1184" s="962" t="s">
        <v>533</v>
      </c>
    </row>
    <row r="1185" spans="1:27" ht="11.25" customHeight="1">
      <c r="A1185" s="878">
        <v>63</v>
      </c>
      <c r="B1185" s="159"/>
      <c r="C1185" s="67"/>
      <c r="D1185" s="67"/>
      <c r="E1185" s="67"/>
      <c r="F1185" s="67"/>
      <c r="G1185" s="67"/>
      <c r="H1185" s="67"/>
      <c r="I1185" s="67"/>
      <c r="J1185" s="67"/>
      <c r="K1185" s="85"/>
      <c r="L1185" s="981" t="s">
        <v>533</v>
      </c>
      <c r="M1185" s="159"/>
      <c r="N1185" s="67"/>
      <c r="O1185" s="67"/>
      <c r="P1185" s="67"/>
      <c r="Q1185" s="67"/>
      <c r="R1185" s="67"/>
      <c r="S1185" s="67"/>
      <c r="T1185" s="67"/>
      <c r="U1185" s="67"/>
      <c r="V1185" s="67"/>
      <c r="W1185" s="85"/>
      <c r="X1185" s="962" t="s">
        <v>533</v>
      </c>
    </row>
    <row r="1186" spans="1:27" ht="11.25" customHeight="1" thickBot="1">
      <c r="A1186" s="878">
        <v>64</v>
      </c>
      <c r="B1186" s="116"/>
      <c r="C1186" s="98"/>
      <c r="D1186" s="98"/>
      <c r="E1186" s="98"/>
      <c r="F1186" s="98"/>
      <c r="G1186" s="98"/>
      <c r="H1186" s="98"/>
      <c r="I1186" s="98"/>
      <c r="J1186" s="98"/>
      <c r="K1186" s="103"/>
      <c r="L1186" s="981" t="s">
        <v>533</v>
      </c>
      <c r="M1186" s="116"/>
      <c r="N1186" s="98"/>
      <c r="O1186" s="98"/>
      <c r="P1186" s="98"/>
      <c r="Q1186" s="98"/>
      <c r="R1186" s="98"/>
      <c r="S1186" s="98"/>
      <c r="T1186" s="98"/>
      <c r="U1186" s="98"/>
      <c r="V1186" s="98"/>
      <c r="W1186" s="103"/>
      <c r="X1186" s="962" t="s">
        <v>533</v>
      </c>
    </row>
    <row r="1187" spans="1:27" ht="11.25" customHeight="1" thickTop="1">
      <c r="A1187" s="878">
        <v>65</v>
      </c>
      <c r="B1187" s="64" t="str">
        <f t="array" ref="B1187:C1188">$B$65:$C$66</f>
        <v>Date:</v>
      </c>
      <c r="C1187" s="1467">
        <v>43039</v>
      </c>
      <c r="D1187" s="140"/>
      <c r="E1187" s="63"/>
      <c r="F1187" s="63"/>
      <c r="G1187" s="63"/>
      <c r="H1187" s="63"/>
      <c r="I1187" s="64" t="str">
        <f t="array" ref="I1187:J1188">$I$65:$J$66</f>
        <v>Inspector:</v>
      </c>
      <c r="J1187" s="565" t="str">
        <v>Eugene Mah</v>
      </c>
      <c r="L1187" s="981" t="s">
        <v>533</v>
      </c>
      <c r="X1187" s="962" t="s">
        <v>533</v>
      </c>
    </row>
    <row r="1188" spans="1:27" ht="11.25" customHeight="1">
      <c r="A1188" s="878">
        <v>66</v>
      </c>
      <c r="B1188" s="64" t="str">
        <v>Room Number:</v>
      </c>
      <c r="C1188" s="508" t="str">
        <v>Room 04 RT 127M - Tube 1</v>
      </c>
      <c r="D1188" s="67"/>
      <c r="E1188" s="63"/>
      <c r="F1188" s="63"/>
      <c r="G1188" s="63"/>
      <c r="H1188" s="63"/>
      <c r="I1188" s="64" t="str">
        <v>Survey ID:</v>
      </c>
      <c r="J1188" s="1475">
        <v>1976</v>
      </c>
      <c r="L1188" s="981" t="s">
        <v>533</v>
      </c>
      <c r="X1188" s="962" t="s">
        <v>533</v>
      </c>
    </row>
    <row r="1189" spans="1:27" ht="11.25" customHeight="1">
      <c r="A1189" s="878">
        <v>1</v>
      </c>
      <c r="B1189" s="1"/>
      <c r="C1189" s="1"/>
      <c r="D1189" s="1"/>
      <c r="E1189" s="1"/>
      <c r="H1189" s="1"/>
      <c r="I1189" s="1"/>
      <c r="J1189" s="1"/>
      <c r="K1189" s="165" t="str">
        <f>$F$2</f>
        <v>Medical University of South Carolina</v>
      </c>
      <c r="L1189" s="981" t="s">
        <v>533</v>
      </c>
      <c r="M1189" s="1"/>
      <c r="N1189" s="1"/>
      <c r="O1189" s="1"/>
      <c r="P1189" s="1"/>
      <c r="Q1189" s="1"/>
      <c r="S1189" s="1"/>
      <c r="T1189" s="1"/>
      <c r="U1189" s="1"/>
      <c r="V1189" s="1"/>
      <c r="W1189" s="165" t="str">
        <f>$F$2</f>
        <v>Medical University of South Carolina</v>
      </c>
      <c r="X1189" s="962" t="s">
        <v>533</v>
      </c>
    </row>
    <row r="1190" spans="1:27" ht="11.25" customHeight="1">
      <c r="A1190" s="878">
        <v>2</v>
      </c>
      <c r="F1190" s="344" t="str">
        <f>$F$464</f>
        <v>Measurement Data</v>
      </c>
      <c r="K1190" s="166" t="str">
        <f>$F$5</f>
        <v>Radiographic System Compliance Inspection</v>
      </c>
      <c r="L1190" s="981" t="s">
        <v>533</v>
      </c>
      <c r="Q1190" s="344" t="str">
        <f>$F$464</f>
        <v>Measurement Data</v>
      </c>
      <c r="R1190" s="55"/>
      <c r="W1190" s="166" t="str">
        <f>$F$5</f>
        <v>Radiographic System Compliance Inspection</v>
      </c>
      <c r="X1190" s="962" t="s">
        <v>533</v>
      </c>
    </row>
    <row r="1191" spans="1:27" ht="11.25" customHeight="1" thickBot="1">
      <c r="A1191" s="878">
        <v>3</v>
      </c>
      <c r="L1191" s="981" t="s">
        <v>533</v>
      </c>
      <c r="X1191" s="962" t="s">
        <v>533</v>
      </c>
    </row>
    <row r="1192" spans="1:27" ht="11.25" customHeight="1">
      <c r="A1192" s="878">
        <v>4</v>
      </c>
      <c r="B1192" s="472"/>
      <c r="C1192" s="609"/>
      <c r="D1192" s="609"/>
      <c r="E1192" s="609"/>
      <c r="F1192" s="609"/>
      <c r="G1192" s="609"/>
      <c r="H1192" s="609"/>
      <c r="I1192" s="609"/>
      <c r="J1192" s="609"/>
      <c r="K1192" s="610"/>
      <c r="L1192" s="981" t="s">
        <v>533</v>
      </c>
      <c r="M1192" s="472"/>
      <c r="N1192" s="473"/>
      <c r="O1192" s="473"/>
      <c r="P1192" s="473"/>
      <c r="Q1192" s="473"/>
      <c r="R1192" s="473"/>
      <c r="S1192" s="473"/>
      <c r="T1192" s="473"/>
      <c r="U1192" s="473"/>
      <c r="V1192" s="473"/>
      <c r="W1192" s="474"/>
      <c r="X1192" s="962" t="s">
        <v>533</v>
      </c>
    </row>
    <row r="1193" spans="1:27" ht="11.25" customHeight="1">
      <c r="A1193" s="878">
        <v>5</v>
      </c>
      <c r="B1193" s="611"/>
      <c r="C1193" s="67"/>
      <c r="D1193" s="67"/>
      <c r="E1193" s="67"/>
      <c r="F1193" s="344" t="str">
        <f>IF(R1193="","",R1193)</f>
        <v>PHOTOTIMING - COMPUTED RADIOGRAPHY</v>
      </c>
      <c r="G1193" s="67"/>
      <c r="H1193" s="67"/>
      <c r="I1193" s="67"/>
      <c r="J1193" s="67"/>
      <c r="K1193" s="476"/>
      <c r="L1193" s="981" t="s">
        <v>533</v>
      </c>
      <c r="M1193" s="475"/>
      <c r="N1193" s="67"/>
      <c r="O1193" s="67"/>
      <c r="P1193" s="67"/>
      <c r="Q1193" s="67"/>
      <c r="R1193" s="344" t="s">
        <v>369</v>
      </c>
      <c r="S1193" s="67"/>
      <c r="T1193" s="67"/>
      <c r="U1193" s="67"/>
      <c r="V1193" s="67"/>
      <c r="W1193" s="476"/>
      <c r="X1193" s="962" t="s">
        <v>533</v>
      </c>
    </row>
    <row r="1194" spans="1:27" ht="11.25" customHeight="1" thickBot="1">
      <c r="A1194" s="878">
        <v>6</v>
      </c>
      <c r="B1194" s="612"/>
      <c r="C1194" s="477"/>
      <c r="D1194" s="477"/>
      <c r="E1194" s="477"/>
      <c r="F1194" s="477"/>
      <c r="G1194" s="477"/>
      <c r="H1194" s="477"/>
      <c r="I1194" s="477"/>
      <c r="J1194" s="477"/>
      <c r="K1194" s="478"/>
      <c r="L1194" s="981" t="s">
        <v>533</v>
      </c>
      <c r="M1194" s="270"/>
      <c r="N1194" s="477"/>
      <c r="O1194" s="477"/>
      <c r="P1194" s="477"/>
      <c r="Q1194" s="477"/>
      <c r="R1194" s="477"/>
      <c r="S1194" s="477"/>
      <c r="T1194" s="477"/>
      <c r="U1194" s="477"/>
      <c r="V1194" s="477"/>
      <c r="W1194" s="478"/>
      <c r="X1194" s="962" t="s">
        <v>533</v>
      </c>
    </row>
    <row r="1195" spans="1:27" ht="11.25" customHeight="1" thickBot="1">
      <c r="A1195" s="878">
        <v>7</v>
      </c>
      <c r="L1195" s="981" t="s">
        <v>533</v>
      </c>
      <c r="M1195" s="204"/>
      <c r="N1195" s="67"/>
      <c r="O1195" s="67"/>
      <c r="P1195" s="67"/>
      <c r="Q1195" s="355"/>
      <c r="R1195" s="67"/>
      <c r="S1195" s="67"/>
      <c r="T1195" s="67"/>
      <c r="U1195" s="67"/>
      <c r="V1195" s="67"/>
      <c r="W1195" s="67"/>
      <c r="X1195" s="962" t="s">
        <v>533</v>
      </c>
    </row>
    <row r="1196" spans="1:27" ht="11.25" customHeight="1" thickTop="1">
      <c r="A1196" s="878">
        <v>8</v>
      </c>
      <c r="B1196" s="93"/>
      <c r="C1196" s="76"/>
      <c r="D1196" s="76"/>
      <c r="E1196" s="76"/>
      <c r="F1196" s="76"/>
      <c r="G1196" s="76"/>
      <c r="H1196" s="76"/>
      <c r="I1196" s="76"/>
      <c r="J1196" s="76"/>
      <c r="K1196" s="94"/>
      <c r="L1196" s="981" t="s">
        <v>533</v>
      </c>
      <c r="M1196" s="93"/>
      <c r="N1196" s="76"/>
      <c r="O1196" s="76"/>
      <c r="P1196" s="76"/>
      <c r="Q1196" s="76"/>
      <c r="R1196" s="76"/>
      <c r="S1196" s="76"/>
      <c r="T1196" s="76"/>
      <c r="U1196" s="76"/>
      <c r="V1196" s="76"/>
      <c r="W1196" s="94"/>
      <c r="X1196" s="962" t="s">
        <v>533</v>
      </c>
    </row>
    <row r="1197" spans="1:27" ht="11.25" customHeight="1">
      <c r="A1197" s="878">
        <v>9</v>
      </c>
      <c r="B1197" s="203"/>
      <c r="C1197" s="47"/>
      <c r="D1197" s="47"/>
      <c r="E1197" s="47"/>
      <c r="F1197" s="248" t="s">
        <v>273</v>
      </c>
      <c r="G1197" s="67"/>
      <c r="H1197" s="47"/>
      <c r="I1197" s="47"/>
      <c r="J1197" s="47"/>
      <c r="K1197" s="614"/>
      <c r="L1197" s="981" t="s">
        <v>533</v>
      </c>
      <c r="M1197" s="277" t="s">
        <v>274</v>
      </c>
      <c r="N1197" s="67"/>
      <c r="O1197" s="67"/>
      <c r="P1197" s="67"/>
      <c r="Q1197" s="67"/>
      <c r="R1197" s="3"/>
      <c r="S1197" s="855" t="s">
        <v>475</v>
      </c>
      <c r="T1197" s="67"/>
      <c r="U1197" s="67"/>
      <c r="V1197" s="67"/>
      <c r="W1197" s="85"/>
      <c r="X1197" s="962" t="s">
        <v>533</v>
      </c>
    </row>
    <row r="1198" spans="1:27" ht="11.25" customHeight="1" thickBot="1">
      <c r="A1198" s="878">
        <v>10</v>
      </c>
      <c r="B1198" s="442"/>
      <c r="C1198" s="204"/>
      <c r="D1198" s="204"/>
      <c r="E1198" s="204"/>
      <c r="F1198" s="204"/>
      <c r="G1198" s="204"/>
      <c r="H1198" s="204"/>
      <c r="I1198" s="204"/>
      <c r="J1198" s="204"/>
      <c r="K1198" s="205"/>
      <c r="L1198" s="981" t="s">
        <v>533</v>
      </c>
      <c r="M1198" s="1041" t="s">
        <v>276</v>
      </c>
      <c r="N1198" s="1040"/>
      <c r="O1198" s="3"/>
      <c r="P1198" s="67"/>
      <c r="Q1198" s="67"/>
      <c r="R1198" s="3"/>
      <c r="S1198" s="4"/>
      <c r="T1198" s="3"/>
      <c r="U1198" s="3"/>
      <c r="V1198" s="3"/>
      <c r="W1198" s="45"/>
      <c r="X1198" s="962" t="s">
        <v>533</v>
      </c>
    </row>
    <row r="1199" spans="1:27" ht="11.25" customHeight="1" thickBot="1">
      <c r="A1199" s="878">
        <v>11</v>
      </c>
      <c r="B1199" s="159"/>
      <c r="C1199" s="67"/>
      <c r="D1199" s="67"/>
      <c r="E1199" s="67"/>
      <c r="F1199" s="67"/>
      <c r="G1199" s="67"/>
      <c r="H1199" s="67"/>
      <c r="I1199" s="67"/>
      <c r="J1199" s="67"/>
      <c r="K1199" s="85"/>
      <c r="L1199" s="981" t="s">
        <v>533</v>
      </c>
      <c r="M1199" s="1261"/>
      <c r="N1199" s="1251"/>
      <c r="O1199" s="67"/>
      <c r="P1199" s="67"/>
      <c r="Q1199" s="67"/>
      <c r="R1199" s="67"/>
      <c r="S1199" s="67"/>
      <c r="T1199" s="67"/>
      <c r="U1199" s="67"/>
      <c r="V1199" s="67"/>
      <c r="W1199" s="85"/>
      <c r="X1199" s="962" t="s">
        <v>533</v>
      </c>
    </row>
    <row r="1200" spans="1:27" ht="11.25" customHeight="1" thickBot="1">
      <c r="A1200" s="878">
        <v>12</v>
      </c>
      <c r="B1200" s="1272" t="s">
        <v>640</v>
      </c>
      <c r="C1200" s="1273" t="s">
        <v>471</v>
      </c>
      <c r="E1200" s="454" t="s">
        <v>279</v>
      </c>
      <c r="F1200" s="400" t="s">
        <v>361</v>
      </c>
      <c r="G1200" s="454" t="s">
        <v>280</v>
      </c>
      <c r="H1200" s="457" t="str">
        <f>IF(Time_mAs="","TBD",Time_mAs)</f>
        <v>mAs</v>
      </c>
      <c r="I1200" s="31" t="s">
        <v>280</v>
      </c>
      <c r="J1200" s="3"/>
      <c r="K1200" s="85"/>
      <c r="L1200" s="981" t="s">
        <v>533</v>
      </c>
      <c r="M1200" s="380" t="s">
        <v>640</v>
      </c>
      <c r="N1200" s="454" t="s">
        <v>444</v>
      </c>
      <c r="P1200" s="454" t="s">
        <v>279</v>
      </c>
      <c r="Q1200" s="400" t="s">
        <v>361</v>
      </c>
      <c r="R1200" s="454" t="s">
        <v>280</v>
      </c>
      <c r="S1200" s="457" t="s">
        <v>704</v>
      </c>
      <c r="T1200" s="31" t="s">
        <v>280</v>
      </c>
      <c r="U1200" s="31" t="s">
        <v>281</v>
      </c>
      <c r="V1200" s="31" t="s">
        <v>282</v>
      </c>
      <c r="W1200" s="45"/>
      <c r="X1200" s="962" t="s">
        <v>533</v>
      </c>
      <c r="Y1200" s="1350" t="s">
        <v>1172</v>
      </c>
      <c r="AA1200" s="1350" t="s">
        <v>704</v>
      </c>
    </row>
    <row r="1201" spans="1:27" ht="11.25" customHeight="1" thickBot="1">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533</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533</v>
      </c>
      <c r="Y1201" s="1285">
        <v>35</v>
      </c>
      <c r="AA1201" s="1350">
        <v>90</v>
      </c>
    </row>
    <row r="1202" spans="1:27" ht="11.25" customHeight="1" thickBot="1">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533</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533</v>
      </c>
      <c r="Y1202" s="1285">
        <v>45</v>
      </c>
      <c r="AA1202" s="1350">
        <v>75</v>
      </c>
    </row>
    <row r="1203" spans="1:27" ht="11.25" customHeight="1" thickBot="1">
      <c r="A1203" s="878">
        <v>15</v>
      </c>
      <c r="B1203" s="1272" t="s">
        <v>590</v>
      </c>
      <c r="C1203" s="1273" t="s">
        <v>278</v>
      </c>
      <c r="D1203" s="3"/>
      <c r="E1203" s="455">
        <f t="shared" si="176"/>
        <v>2</v>
      </c>
      <c r="F1203" s="460" t="str">
        <f>IF(Q1203="","",Q1203)</f>
        <v/>
      </c>
      <c r="G1203" s="456" t="str">
        <f t="shared" si="176"/>
        <v/>
      </c>
      <c r="H1203" s="461" t="str">
        <f t="shared" si="176"/>
        <v/>
      </c>
      <c r="I1203" s="32" t="str">
        <f t="shared" si="176"/>
        <v/>
      </c>
      <c r="J1203" s="3"/>
      <c r="K1203" s="85"/>
      <c r="L1203" s="981" t="s">
        <v>533</v>
      </c>
      <c r="M1203" s="1257" t="s">
        <v>762</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533</v>
      </c>
      <c r="Y1203" s="1285">
        <v>60</v>
      </c>
      <c r="AA1203" s="1350">
        <v>60</v>
      </c>
    </row>
    <row r="1204" spans="1:27" ht="11.25" customHeight="1" thickBot="1">
      <c r="A1204" s="878">
        <v>16</v>
      </c>
      <c r="B1204" s="1276" t="str">
        <f>IF(M1206="","",M1206)</f>
        <v/>
      </c>
      <c r="C1204" s="454" t="str">
        <f>IF(N1206="","",N1206)</f>
        <v/>
      </c>
      <c r="D1204" s="4" t="s">
        <v>283</v>
      </c>
      <c r="E1204" s="455">
        <f t="shared" si="176"/>
        <v>1</v>
      </c>
      <c r="F1204" s="460" t="str">
        <f t="shared" si="176"/>
        <v/>
      </c>
      <c r="G1204" s="456" t="str">
        <f t="shared" si="176"/>
        <v/>
      </c>
      <c r="H1204" s="461" t="str">
        <f t="shared" si="176"/>
        <v/>
      </c>
      <c r="I1204" s="32" t="str">
        <f t="shared" si="176"/>
        <v/>
      </c>
      <c r="J1204" s="3"/>
      <c r="K1204" s="85"/>
      <c r="L1204" s="981" t="s">
        <v>533</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533</v>
      </c>
      <c r="Y1204" s="1285">
        <v>80</v>
      </c>
      <c r="AA1204" s="1350">
        <v>48</v>
      </c>
    </row>
    <row r="1205" spans="1:27" ht="11.25" customHeight="1" thickBot="1">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533</v>
      </c>
      <c r="M1205" s="380" t="s">
        <v>590</v>
      </c>
      <c r="N1205" s="454" t="s">
        <v>278</v>
      </c>
      <c r="O1205" s="3"/>
      <c r="P1205" s="458">
        <v>0</v>
      </c>
      <c r="Q1205" s="927" t="str">
        <f>IF(W1261="","",W1261)</f>
        <v/>
      </c>
      <c r="R1205" s="459" t="str">
        <f>IF(Q1205="","",0)</f>
        <v/>
      </c>
      <c r="S1205" s="927" t="str">
        <f>IF(U1261="","",U1261)</f>
        <v/>
      </c>
      <c r="T1205" s="752" t="str">
        <f>IF(S1205="","",0)</f>
        <v/>
      </c>
      <c r="U1205" s="858"/>
      <c r="V1205" s="858"/>
      <c r="W1205" s="45"/>
      <c r="X1205" s="962" t="s">
        <v>533</v>
      </c>
      <c r="Y1205" s="1285">
        <v>100</v>
      </c>
      <c r="AA1205" s="1350">
        <v>40</v>
      </c>
    </row>
    <row r="1206" spans="1:27" ht="11.25" customHeight="1" thickBot="1">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533</v>
      </c>
      <c r="M1206" s="1256" t="str">
        <f>IF(M1204&lt;&gt;"",M1204,IF(OR(AB545=0,AB545=""),"",AB545))</f>
        <v/>
      </c>
      <c r="N1206" s="1252" t="str">
        <f>IF(N1204&lt;&gt;"",N1204,IF(OR(AB546=0,AB546=""),"",AB546))</f>
        <v/>
      </c>
      <c r="O1206" s="4" t="s">
        <v>283</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533</v>
      </c>
      <c r="Y1206" s="1285">
        <v>120</v>
      </c>
      <c r="AA1206" s="1350">
        <v>32</v>
      </c>
    </row>
    <row r="1207" spans="1:27" ht="11.25" customHeight="1">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533</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533</v>
      </c>
      <c r="Y1207" s="1285">
        <v>145</v>
      </c>
      <c r="AA1207" s="1350">
        <v>25</v>
      </c>
    </row>
    <row r="1208" spans="1:27" ht="11.25" customHeight="1">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533</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533</v>
      </c>
      <c r="Y1208" s="1285">
        <v>175</v>
      </c>
      <c r="AA1208" s="1350">
        <v>20</v>
      </c>
    </row>
    <row r="1209" spans="1:27" ht="11.25" customHeight="1" thickBot="1">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533</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533</v>
      </c>
      <c r="Y1209" s="1285">
        <v>220</v>
      </c>
      <c r="AA1209" s="1350">
        <v>15</v>
      </c>
    </row>
    <row r="1210" spans="1:27" ht="11.25" customHeight="1" thickBot="1">
      <c r="A1210" s="878">
        <v>22</v>
      </c>
      <c r="B1210" s="159"/>
      <c r="C1210" s="67"/>
      <c r="D1210" s="67"/>
      <c r="E1210" s="67"/>
      <c r="F1210" s="67"/>
      <c r="G1210" s="67"/>
      <c r="H1210" s="67"/>
      <c r="I1210" s="67"/>
      <c r="J1210" s="51" t="s">
        <v>698</v>
      </c>
      <c r="K1210" s="469" t="str">
        <f>IF(OR(W1211="YES",W1212="YES",W1213="YES"),"YES",IF(OR(W1211="NO",W1212="NO",W1213="NO"),"NO","TBD"))</f>
        <v>TBD</v>
      </c>
      <c r="L1210" s="981" t="s">
        <v>533</v>
      </c>
      <c r="M1210" s="159"/>
      <c r="N1210" s="67"/>
      <c r="O1210" s="67"/>
      <c r="P1210" s="67"/>
      <c r="Q1210" s="67"/>
      <c r="R1210" s="67"/>
      <c r="S1210" s="67"/>
      <c r="T1210" s="67"/>
      <c r="U1210" s="67"/>
      <c r="V1210" s="1697" t="s">
        <v>761</v>
      </c>
      <c r="W1210" s="1698"/>
      <c r="X1210" s="962" t="s">
        <v>533</v>
      </c>
    </row>
    <row r="1211" spans="1:27" ht="11.25" customHeight="1" thickBot="1">
      <c r="A1211" s="878">
        <v>23</v>
      </c>
      <c r="B1211" s="159"/>
      <c r="C1211" s="67"/>
      <c r="D1211" s="67"/>
      <c r="E1211" s="67"/>
      <c r="F1211" s="67"/>
      <c r="G1211" s="67"/>
      <c r="H1211" s="67"/>
      <c r="I1211" s="67"/>
      <c r="J1211" s="67"/>
      <c r="K1211" s="85"/>
      <c r="L1211" s="981" t="s">
        <v>533</v>
      </c>
      <c r="M1211" s="159"/>
      <c r="N1211" s="67"/>
      <c r="O1211" s="166" t="s">
        <v>699</v>
      </c>
      <c r="P1211" s="117"/>
      <c r="Q1211" s="166" t="s">
        <v>284</v>
      </c>
      <c r="R1211" s="421">
        <f>IF(AND(OR(Q1205="",Q1204=""),OR(S1205="",S1204="")),0.15,IF(AND(MIN(Q1201:Q1203)=0,MIN(S1201:S1203)=0),0.25,IF(AND(MIN(Q1201:Q1202)=0,MIN(S1201:S1202)=0),0.25,IF(AND(Q1201=0,S1201=0),0.2,0.15))))</f>
        <v>0.15</v>
      </c>
      <c r="S1211" s="117"/>
      <c r="T1211" s="166" t="s">
        <v>285</v>
      </c>
      <c r="U1211" s="421">
        <f>IF(AND(OR(Q1205="",Q1204=""),OR(S1205="",S1204="")),0.5,IF(AND(MIN(Q1201:Q1203)=0,MIN(S1201:S1203)=0),0.6,IF(AND(MIN(Q1201:Q1202)=0,MIN(S1201:S1202)=0),0.5,IF(AND(Q1201=0,S1201=0),0.35,0.3))))</f>
        <v>0.5</v>
      </c>
      <c r="V1211" s="1063" t="s">
        <v>362</v>
      </c>
      <c r="W1211" s="1059" t="str">
        <f>IF(AND($Q$1205="",$S$1205=""),"TBD",IF($Q$1205="","NA",IF(AND($Q$1205&gt;0,OR($Q$1204="",$Q$1206="")),"TBD",IF(OR(MAX(ABS(MAX(R1201:R1204)),ABS(MIN(R1206:R1209)))&gt;$U$1211,MIN(ABS(MIN(R1201:R1204)),ABS(MAX(R1206:R1209)))&lt;$R$1211,MIN(R1201:R1204)&lt;0,MAX(R1206:R1209)&gt;0),"NO","YES"))))</f>
        <v>TBD</v>
      </c>
      <c r="X1211" s="962" t="s">
        <v>533</v>
      </c>
    </row>
    <row r="1212" spans="1:27" ht="11.25" customHeight="1" thickBot="1">
      <c r="A1212" s="878">
        <v>24</v>
      </c>
      <c r="B1212" s="159"/>
      <c r="C1212" s="67"/>
      <c r="D1212" s="166" t="s">
        <v>699</v>
      </c>
      <c r="E1212" s="117"/>
      <c r="F1212" s="166" t="s">
        <v>284</v>
      </c>
      <c r="G1212" s="421">
        <f>$R$1211</f>
        <v>0.15</v>
      </c>
      <c r="H1212" s="117"/>
      <c r="I1212" s="166" t="s">
        <v>285</v>
      </c>
      <c r="J1212" s="421">
        <f>$U$1211</f>
        <v>0.5</v>
      </c>
      <c r="K1212" s="85"/>
      <c r="L1212" s="981" t="s">
        <v>533</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533</v>
      </c>
    </row>
    <row r="1213" spans="1:27" ht="11.25" customHeight="1" thickBot="1">
      <c r="A1213" s="878">
        <v>25</v>
      </c>
      <c r="B1213" s="159"/>
      <c r="C1213" s="67"/>
      <c r="D1213" s="67"/>
      <c r="E1213" s="67"/>
      <c r="F1213" s="67"/>
      <c r="G1213" s="67"/>
      <c r="H1213" s="67"/>
      <c r="I1213" s="67"/>
      <c r="J1213" s="67"/>
      <c r="K1213" s="85"/>
      <c r="L1213" s="981" t="s">
        <v>533</v>
      </c>
      <c r="M1213" s="159"/>
      <c r="N1213" s="67"/>
      <c r="O1213" s="67"/>
      <c r="P1213" s="67"/>
      <c r="Q1213" s="67"/>
      <c r="R1213" s="67"/>
      <c r="S1213" s="67"/>
      <c r="T1213" s="67"/>
      <c r="U1213" s="67"/>
      <c r="V1213" s="1063" t="s">
        <v>286</v>
      </c>
      <c r="W1213" s="1059" t="str">
        <f>IF(OR(AND($Q$1205="",$S$1205=""),AND($Q$1205&lt;&gt;"",$S$1205&lt;&gt;"",OR($Q$1204="",$Q$1206="",$S$1204="",$S$1206=""))),"TBD",IF(OR($Q$1205="",$S$1205=""),"NA",IF(OR(MAX(U1201:U1204)&gt;$U$1211,MAX(U1206:U1209)&gt;$U$1211,MIN(U1201:U1204)&lt;$R$1211,MIN(U1206:U1209)&lt;$R$1211),"NO","YES")))</f>
        <v>TBD</v>
      </c>
      <c r="X1213" s="962" t="s">
        <v>533</v>
      </c>
    </row>
    <row r="1214" spans="1:27" ht="11.25" customHeight="1" thickBot="1">
      <c r="A1214" s="878">
        <v>26</v>
      </c>
      <c r="B1214" s="116"/>
      <c r="C1214" s="98"/>
      <c r="D1214" s="98"/>
      <c r="E1214" s="98"/>
      <c r="F1214" s="98"/>
      <c r="G1214" s="98"/>
      <c r="H1214" s="98"/>
      <c r="I1214" s="98"/>
      <c r="J1214" s="98"/>
      <c r="K1214" s="103"/>
      <c r="L1214" s="981" t="s">
        <v>533</v>
      </c>
      <c r="M1214" s="116"/>
      <c r="N1214" s="98"/>
      <c r="O1214" s="98"/>
      <c r="P1214" s="98"/>
      <c r="Q1214" s="98"/>
      <c r="R1214" s="613"/>
      <c r="S1214" s="98"/>
      <c r="T1214" s="98"/>
      <c r="U1214" s="98"/>
      <c r="V1214" s="98"/>
      <c r="W1214" s="103"/>
      <c r="X1214" s="962" t="s">
        <v>533</v>
      </c>
    </row>
    <row r="1215" spans="1:27" ht="11.25" customHeight="1" thickTop="1">
      <c r="A1215" s="878">
        <v>27</v>
      </c>
      <c r="B1215" s="67"/>
      <c r="C1215" s="67"/>
      <c r="D1215" s="67"/>
      <c r="E1215" s="67"/>
      <c r="F1215" s="67"/>
      <c r="G1215" s="67"/>
      <c r="H1215" s="67"/>
      <c r="I1215" s="67"/>
      <c r="J1215" s="67"/>
      <c r="K1215" s="67"/>
      <c r="L1215" s="981" t="s">
        <v>533</v>
      </c>
      <c r="X1215" s="962" t="s">
        <v>533</v>
      </c>
    </row>
    <row r="1216" spans="1:27" ht="11.25" customHeight="1">
      <c r="A1216" s="878">
        <v>28</v>
      </c>
      <c r="B1216" s="67"/>
      <c r="C1216" s="67"/>
      <c r="D1216" s="67"/>
      <c r="E1216" s="67"/>
      <c r="F1216" s="67"/>
      <c r="G1216" s="67"/>
      <c r="H1216" s="67"/>
      <c r="I1216" s="67"/>
      <c r="J1216" s="67"/>
      <c r="K1216" s="67"/>
      <c r="L1216" s="981" t="s">
        <v>533</v>
      </c>
      <c r="X1216" s="962" t="s">
        <v>533</v>
      </c>
    </row>
    <row r="1217" spans="1:24" ht="11.25" customHeight="1">
      <c r="A1217" s="878">
        <v>29</v>
      </c>
      <c r="B1217" s="67"/>
      <c r="C1217" s="67"/>
      <c r="D1217" s="67"/>
      <c r="E1217" s="67"/>
      <c r="F1217" s="67"/>
      <c r="G1217" s="67"/>
      <c r="H1217" s="67"/>
      <c r="I1217" s="67"/>
      <c r="J1217" s="67"/>
      <c r="K1217" s="67"/>
      <c r="L1217" s="981" t="s">
        <v>533</v>
      </c>
      <c r="X1217" s="962" t="s">
        <v>533</v>
      </c>
    </row>
    <row r="1218" spans="1:24" ht="11.25" customHeight="1">
      <c r="A1218" s="878">
        <v>30</v>
      </c>
      <c r="B1218" s="67"/>
      <c r="C1218" s="67"/>
      <c r="D1218" s="67"/>
      <c r="E1218" s="67"/>
      <c r="F1218" s="67"/>
      <c r="G1218" s="67"/>
      <c r="H1218" s="67"/>
      <c r="I1218" s="67"/>
      <c r="J1218" s="67"/>
      <c r="K1218" s="67"/>
      <c r="L1218" s="981" t="s">
        <v>533</v>
      </c>
      <c r="X1218" s="962" t="s">
        <v>533</v>
      </c>
    </row>
    <row r="1219" spans="1:24" ht="11.25" customHeight="1">
      <c r="A1219" s="878">
        <v>31</v>
      </c>
      <c r="B1219" s="67"/>
      <c r="C1219" s="67"/>
      <c r="D1219" s="67"/>
      <c r="E1219" s="67"/>
      <c r="F1219" s="67"/>
      <c r="G1219" s="67"/>
      <c r="H1219" s="67"/>
      <c r="I1219" s="67"/>
      <c r="J1219" s="67"/>
      <c r="K1219" s="67"/>
      <c r="L1219" s="981" t="s">
        <v>533</v>
      </c>
      <c r="X1219" s="962" t="s">
        <v>533</v>
      </c>
    </row>
    <row r="1220" spans="1:24" ht="11.25" customHeight="1">
      <c r="A1220" s="878">
        <v>32</v>
      </c>
      <c r="B1220" s="67"/>
      <c r="C1220" s="67"/>
      <c r="D1220" s="67"/>
      <c r="E1220" s="67"/>
      <c r="F1220" s="328" t="s">
        <v>287</v>
      </c>
      <c r="G1220" s="67"/>
      <c r="H1220" s="67"/>
      <c r="I1220" s="67"/>
      <c r="J1220" s="67"/>
      <c r="K1220" s="67"/>
      <c r="L1220" s="981" t="s">
        <v>533</v>
      </c>
      <c r="R1220" s="328" t="s">
        <v>363</v>
      </c>
      <c r="X1220" s="962" t="s">
        <v>533</v>
      </c>
    </row>
    <row r="1221" spans="1:24" ht="11.25" customHeight="1" thickBot="1">
      <c r="A1221" s="878">
        <v>33</v>
      </c>
      <c r="B1221" s="67"/>
      <c r="C1221" s="67"/>
      <c r="D1221" s="67"/>
      <c r="E1221" s="67"/>
      <c r="F1221" s="67"/>
      <c r="G1221" s="67"/>
      <c r="H1221" s="67"/>
      <c r="I1221" s="67"/>
      <c r="J1221" s="67"/>
      <c r="K1221" s="67"/>
      <c r="L1221" s="981" t="s">
        <v>533</v>
      </c>
      <c r="X1221" s="962" t="s">
        <v>533</v>
      </c>
    </row>
    <row r="1222" spans="1:24" ht="11.25" customHeight="1" thickTop="1">
      <c r="A1222" s="878">
        <v>34</v>
      </c>
      <c r="B1222" s="93"/>
      <c r="C1222" s="76"/>
      <c r="D1222" s="76"/>
      <c r="E1222" s="76"/>
      <c r="F1222" s="76"/>
      <c r="G1222" s="76"/>
      <c r="H1222" s="76"/>
      <c r="I1222" s="76"/>
      <c r="J1222" s="76"/>
      <c r="K1222" s="94"/>
      <c r="L1222" s="981" t="s">
        <v>533</v>
      </c>
      <c r="M1222" s="93"/>
      <c r="N1222" s="76"/>
      <c r="O1222" s="76"/>
      <c r="P1222" s="76"/>
      <c r="Q1222" s="76"/>
      <c r="R1222" s="76"/>
      <c r="S1222" s="76"/>
      <c r="T1222" s="76"/>
      <c r="U1222" s="76"/>
      <c r="V1222" s="76"/>
      <c r="W1222" s="94"/>
      <c r="X1222" s="962" t="s">
        <v>533</v>
      </c>
    </row>
    <row r="1223" spans="1:24" ht="11.25" customHeight="1">
      <c r="A1223" s="878">
        <v>35</v>
      </c>
      <c r="B1223" s="132" t="s">
        <v>536</v>
      </c>
      <c r="C1223" s="133"/>
      <c r="D1223" s="67"/>
      <c r="E1223" s="67"/>
      <c r="F1223" s="121"/>
      <c r="G1223" s="67"/>
      <c r="H1223" s="67"/>
      <c r="I1223" s="67"/>
      <c r="J1223" s="534" t="s">
        <v>538</v>
      </c>
      <c r="K1223" s="535"/>
      <c r="L1223" s="981" t="s">
        <v>533</v>
      </c>
      <c r="M1223" s="264" t="s">
        <v>539</v>
      </c>
      <c r="N1223" s="67"/>
      <c r="O1223" s="67"/>
      <c r="P1223" s="67"/>
      <c r="Q1223" s="67"/>
      <c r="R1223" s="67"/>
      <c r="S1223" s="67"/>
      <c r="T1223" s="67"/>
      <c r="U1223" s="67"/>
      <c r="V1223" s="67"/>
      <c r="W1223" s="85"/>
      <c r="X1223" s="962" t="s">
        <v>533</v>
      </c>
    </row>
    <row r="1224" spans="1:24" ht="11.25" customHeight="1">
      <c r="A1224" s="878">
        <v>36</v>
      </c>
      <c r="B1224" s="134" t="s">
        <v>622</v>
      </c>
      <c r="C1224" s="160"/>
      <c r="D1224" s="62" t="s">
        <v>623</v>
      </c>
      <c r="E1224" s="60"/>
      <c r="F1224" s="60"/>
      <c r="G1224" s="60"/>
      <c r="H1224" s="60"/>
      <c r="I1224" s="60"/>
      <c r="J1224" s="138" t="str">
        <f>IF($M1224="","TBD",IF($M1224=1,"YES",IF($M1224=3,"NA","")))</f>
        <v>TBD</v>
      </c>
      <c r="K1224" s="533" t="str">
        <f>IF($M1224=2,"NO","")</f>
        <v/>
      </c>
      <c r="L1224" s="981" t="s">
        <v>533</v>
      </c>
      <c r="M1224" s="887"/>
      <c r="N1224" s="67"/>
      <c r="O1224" s="62" t="s">
        <v>623</v>
      </c>
      <c r="P1224" s="67"/>
      <c r="Q1224" s="67"/>
      <c r="R1224" s="67"/>
      <c r="S1224" s="67"/>
      <c r="T1224" s="67"/>
      <c r="U1224" s="67"/>
      <c r="V1224" s="67"/>
      <c r="W1224" s="85"/>
      <c r="X1224" s="962" t="s">
        <v>533</v>
      </c>
    </row>
    <row r="1225" spans="1:24" ht="11.25" customHeight="1">
      <c r="A1225" s="878">
        <v>37</v>
      </c>
      <c r="B1225" s="134" t="s">
        <v>625</v>
      </c>
      <c r="C1225" s="160"/>
      <c r="D1225" s="62" t="s">
        <v>626</v>
      </c>
      <c r="E1225" s="60"/>
      <c r="F1225" s="60"/>
      <c r="G1225" s="60"/>
      <c r="H1225" s="60" t="s">
        <v>627</v>
      </c>
      <c r="I1225" s="183" t="str">
        <f>IF(O1225="","",O1225)</f>
        <v/>
      </c>
      <c r="J1225" s="138" t="str">
        <f>IF($M1225="","TBD",IF($M1225=1,"YES",IF($M1225=3,"NA","")))</f>
        <v>TBD</v>
      </c>
      <c r="K1225" s="533" t="str">
        <f>IF($M1225=2,"NO","")</f>
        <v/>
      </c>
      <c r="L1225" s="981" t="s">
        <v>533</v>
      </c>
      <c r="M1225" s="887"/>
      <c r="N1225" s="60" t="s">
        <v>627</v>
      </c>
      <c r="O1225" s="1344"/>
      <c r="P1225" s="62" t="s">
        <v>626</v>
      </c>
      <c r="Q1225" s="67"/>
      <c r="R1225" s="67"/>
      <c r="S1225" s="67"/>
      <c r="T1225" s="1174" t="str">
        <f>IF(OR(AB520=0,AB520=""),"",AB520)</f>
        <v/>
      </c>
      <c r="U1225" s="1175" t="s">
        <v>288</v>
      </c>
      <c r="V1225" s="67"/>
      <c r="W1225" s="85"/>
      <c r="X1225" s="962" t="s">
        <v>533</v>
      </c>
    </row>
    <row r="1226" spans="1:24" ht="11.25" customHeight="1">
      <c r="A1226" s="878">
        <v>38</v>
      </c>
      <c r="B1226" s="134" t="s">
        <v>629</v>
      </c>
      <c r="C1226" s="160"/>
      <c r="D1226" s="62" t="s">
        <v>630</v>
      </c>
      <c r="E1226" s="67"/>
      <c r="F1226" s="67"/>
      <c r="G1226" s="67"/>
      <c r="H1226" s="67"/>
      <c r="I1226" s="67"/>
      <c r="J1226" s="138" t="str">
        <f>IF($M1226="","TBD",IF($M1226=1,"YES",IF($M1226=3,"NA","")))</f>
        <v>TBD</v>
      </c>
      <c r="K1226" s="533" t="str">
        <f>IF($M1226=2,"NO","")</f>
        <v/>
      </c>
      <c r="L1226" s="981" t="s">
        <v>533</v>
      </c>
      <c r="M1226" s="887"/>
      <c r="N1226" s="67"/>
      <c r="O1226" s="62" t="s">
        <v>630</v>
      </c>
      <c r="P1226" s="67"/>
      <c r="Q1226" s="67"/>
      <c r="R1226" s="67"/>
      <c r="S1226" s="67"/>
      <c r="T1226" s="67"/>
      <c r="U1226" s="67"/>
      <c r="V1226" s="67"/>
      <c r="W1226" s="85"/>
      <c r="X1226" s="962" t="s">
        <v>533</v>
      </c>
    </row>
    <row r="1227" spans="1:24" ht="11.25" customHeight="1" thickBot="1">
      <c r="A1227" s="878">
        <v>39</v>
      </c>
      <c r="B1227" s="116"/>
      <c r="C1227" s="98"/>
      <c r="D1227" s="98"/>
      <c r="E1227" s="98"/>
      <c r="F1227" s="98"/>
      <c r="G1227" s="98"/>
      <c r="H1227" s="98"/>
      <c r="I1227" s="98"/>
      <c r="J1227" s="98"/>
      <c r="K1227" s="103"/>
      <c r="L1227" s="981" t="s">
        <v>533</v>
      </c>
      <c r="M1227" s="116"/>
      <c r="N1227" s="98"/>
      <c r="O1227" s="98"/>
      <c r="P1227" s="98"/>
      <c r="Q1227" s="98"/>
      <c r="R1227" s="98"/>
      <c r="S1227" s="98"/>
      <c r="T1227" s="98"/>
      <c r="U1227" s="98"/>
      <c r="V1227" s="98"/>
      <c r="W1227" s="103"/>
      <c r="X1227" s="962" t="s">
        <v>533</v>
      </c>
    </row>
    <row r="1228" spans="1:24" ht="11.25" customHeight="1" thickTop="1">
      <c r="A1228" s="878">
        <v>40</v>
      </c>
      <c r="L1228" s="981" t="s">
        <v>533</v>
      </c>
      <c r="X1228" s="962" t="s">
        <v>533</v>
      </c>
    </row>
    <row r="1229" spans="1:24" ht="11.25" customHeight="1">
      <c r="A1229" s="878">
        <v>41</v>
      </c>
      <c r="L1229" s="981" t="s">
        <v>533</v>
      </c>
      <c r="X1229" s="962" t="s">
        <v>533</v>
      </c>
    </row>
    <row r="1230" spans="1:24" ht="11.25" customHeight="1">
      <c r="A1230" s="878">
        <v>42</v>
      </c>
      <c r="L1230" s="981" t="s">
        <v>533</v>
      </c>
      <c r="X1230" s="962" t="s">
        <v>533</v>
      </c>
    </row>
    <row r="1231" spans="1:24" ht="11.25" customHeight="1">
      <c r="A1231" s="878">
        <v>43</v>
      </c>
      <c r="L1231" s="981" t="s">
        <v>533</v>
      </c>
      <c r="X1231" s="962" t="s">
        <v>533</v>
      </c>
    </row>
    <row r="1232" spans="1:24" ht="11.25" customHeight="1">
      <c r="A1232" s="878">
        <v>44</v>
      </c>
      <c r="L1232" s="981" t="s">
        <v>533</v>
      </c>
      <c r="X1232" s="962" t="s">
        <v>533</v>
      </c>
    </row>
    <row r="1233" spans="1:24" ht="11.25" customHeight="1">
      <c r="A1233" s="878">
        <v>45</v>
      </c>
      <c r="L1233" s="981" t="s">
        <v>533</v>
      </c>
      <c r="X1233" s="962" t="s">
        <v>533</v>
      </c>
    </row>
    <row r="1234" spans="1:24" ht="11.25" customHeight="1">
      <c r="A1234" s="878">
        <v>46</v>
      </c>
      <c r="L1234" s="981" t="s">
        <v>533</v>
      </c>
      <c r="X1234" s="962" t="s">
        <v>533</v>
      </c>
    </row>
    <row r="1235" spans="1:24" ht="11.25" customHeight="1">
      <c r="A1235" s="878">
        <v>47</v>
      </c>
      <c r="L1235" s="981" t="s">
        <v>533</v>
      </c>
      <c r="X1235" s="962" t="s">
        <v>533</v>
      </c>
    </row>
    <row r="1236" spans="1:24" ht="11.25" customHeight="1">
      <c r="A1236" s="878">
        <v>48</v>
      </c>
      <c r="L1236" s="981" t="s">
        <v>533</v>
      </c>
      <c r="X1236" s="962" t="s">
        <v>533</v>
      </c>
    </row>
    <row r="1237" spans="1:24" ht="11.25" customHeight="1">
      <c r="A1237" s="878">
        <v>49</v>
      </c>
      <c r="L1237" s="981" t="s">
        <v>533</v>
      </c>
      <c r="X1237" s="962" t="s">
        <v>533</v>
      </c>
    </row>
    <row r="1238" spans="1:24" ht="11.25" customHeight="1">
      <c r="A1238" s="878">
        <v>50</v>
      </c>
      <c r="L1238" s="981" t="s">
        <v>533</v>
      </c>
      <c r="X1238" s="962" t="s">
        <v>533</v>
      </c>
    </row>
    <row r="1239" spans="1:24" ht="11.25" customHeight="1">
      <c r="A1239" s="878">
        <v>51</v>
      </c>
      <c r="L1239" s="981" t="s">
        <v>533</v>
      </c>
      <c r="X1239" s="962" t="s">
        <v>533</v>
      </c>
    </row>
    <row r="1240" spans="1:24" ht="11.25" customHeight="1">
      <c r="A1240" s="878">
        <v>52</v>
      </c>
      <c r="L1240" s="981" t="s">
        <v>533</v>
      </c>
      <c r="X1240" s="962" t="s">
        <v>533</v>
      </c>
    </row>
    <row r="1241" spans="1:24" ht="11.25" customHeight="1">
      <c r="A1241" s="878">
        <v>53</v>
      </c>
      <c r="L1241" s="981" t="s">
        <v>533</v>
      </c>
      <c r="X1241" s="962" t="s">
        <v>533</v>
      </c>
    </row>
    <row r="1242" spans="1:24" ht="11.25" customHeight="1">
      <c r="A1242" s="878">
        <v>54</v>
      </c>
      <c r="L1242" s="981" t="s">
        <v>533</v>
      </c>
      <c r="X1242" s="962" t="s">
        <v>533</v>
      </c>
    </row>
    <row r="1243" spans="1:24" ht="11.25" customHeight="1">
      <c r="A1243" s="878">
        <v>55</v>
      </c>
      <c r="L1243" s="981" t="s">
        <v>533</v>
      </c>
      <c r="X1243" s="962" t="s">
        <v>533</v>
      </c>
    </row>
    <row r="1244" spans="1:24" ht="11.25" customHeight="1">
      <c r="A1244" s="878">
        <v>56</v>
      </c>
      <c r="L1244" s="981" t="s">
        <v>533</v>
      </c>
      <c r="X1244" s="962" t="s">
        <v>533</v>
      </c>
    </row>
    <row r="1245" spans="1:24" ht="11.25" customHeight="1">
      <c r="A1245" s="878">
        <v>57</v>
      </c>
      <c r="L1245" s="981" t="s">
        <v>533</v>
      </c>
      <c r="X1245" s="962" t="s">
        <v>533</v>
      </c>
    </row>
    <row r="1246" spans="1:24" ht="11.25" customHeight="1">
      <c r="A1246" s="878">
        <v>58</v>
      </c>
      <c r="L1246" s="981" t="s">
        <v>533</v>
      </c>
      <c r="X1246" s="962" t="s">
        <v>533</v>
      </c>
    </row>
    <row r="1247" spans="1:24" ht="11.25" customHeight="1">
      <c r="A1247" s="878">
        <v>59</v>
      </c>
      <c r="L1247" s="981" t="s">
        <v>533</v>
      </c>
      <c r="X1247" s="962" t="s">
        <v>533</v>
      </c>
    </row>
    <row r="1248" spans="1:24" ht="11.25" customHeight="1">
      <c r="A1248" s="878">
        <v>60</v>
      </c>
      <c r="L1248" s="981" t="s">
        <v>533</v>
      </c>
      <c r="X1248" s="962" t="s">
        <v>533</v>
      </c>
    </row>
    <row r="1249" spans="1:24" ht="11.25" customHeight="1">
      <c r="A1249" s="878">
        <v>61</v>
      </c>
      <c r="L1249" s="981" t="s">
        <v>533</v>
      </c>
      <c r="X1249" s="962" t="s">
        <v>533</v>
      </c>
    </row>
    <row r="1250" spans="1:24" ht="11.25" customHeight="1">
      <c r="A1250" s="878">
        <v>62</v>
      </c>
      <c r="L1250" s="981" t="s">
        <v>533</v>
      </c>
      <c r="X1250" s="962" t="s">
        <v>533</v>
      </c>
    </row>
    <row r="1251" spans="1:24" ht="11.25" customHeight="1">
      <c r="A1251" s="878">
        <v>63</v>
      </c>
      <c r="L1251" s="981" t="s">
        <v>533</v>
      </c>
      <c r="X1251" s="962" t="s">
        <v>533</v>
      </c>
    </row>
    <row r="1252" spans="1:24" ht="11.25" customHeight="1">
      <c r="A1252" s="878">
        <v>64</v>
      </c>
      <c r="L1252" s="981" t="s">
        <v>533</v>
      </c>
      <c r="X1252" s="962" t="s">
        <v>533</v>
      </c>
    </row>
    <row r="1253" spans="1:24" ht="11.25" customHeight="1">
      <c r="A1253" s="878">
        <v>65</v>
      </c>
      <c r="B1253" s="64" t="str">
        <f t="array" ref="B1253:C1254">$B$65:$C$66</f>
        <v>Date:</v>
      </c>
      <c r="C1253" s="1467">
        <v>43039</v>
      </c>
      <c r="D1253" s="140"/>
      <c r="E1253" s="63"/>
      <c r="F1253" s="63"/>
      <c r="G1253" s="63"/>
      <c r="H1253" s="63"/>
      <c r="I1253" s="64" t="str">
        <f t="array" ref="I1253:J1254">$I$65:$J$66</f>
        <v>Inspector:</v>
      </c>
      <c r="J1253" s="565" t="str">
        <v>Eugene Mah</v>
      </c>
      <c r="L1253" s="981" t="s">
        <v>533</v>
      </c>
      <c r="X1253" s="962" t="s">
        <v>533</v>
      </c>
    </row>
    <row r="1254" spans="1:24" ht="11.25" customHeight="1">
      <c r="A1254" s="878">
        <v>66</v>
      </c>
      <c r="B1254" s="64" t="str">
        <v>Room Number:</v>
      </c>
      <c r="C1254" s="508" t="str">
        <v>Room 04 RT 127M - Tube 1</v>
      </c>
      <c r="D1254" s="67"/>
      <c r="E1254" s="63"/>
      <c r="F1254" s="63"/>
      <c r="G1254" s="63"/>
      <c r="H1254" s="63"/>
      <c r="I1254" s="64" t="str">
        <v>Survey ID:</v>
      </c>
      <c r="J1254" s="1475">
        <v>1976</v>
      </c>
      <c r="L1254" s="981" t="s">
        <v>533</v>
      </c>
      <c r="X1254" s="962" t="s">
        <v>533</v>
      </c>
    </row>
    <row r="1255" spans="1:24" ht="11.25" customHeight="1">
      <c r="A1255" s="878">
        <v>1</v>
      </c>
      <c r="B1255" s="1"/>
      <c r="C1255" s="1"/>
      <c r="D1255" s="1"/>
      <c r="E1255" s="1"/>
      <c r="H1255" s="1"/>
      <c r="I1255" s="1"/>
      <c r="J1255" s="1"/>
      <c r="K1255" s="165" t="str">
        <f>$F$2</f>
        <v>Medical University of South Carolina</v>
      </c>
      <c r="L1255" s="981" t="s">
        <v>533</v>
      </c>
      <c r="M1255" s="1"/>
      <c r="N1255" s="1"/>
      <c r="O1255" s="1"/>
      <c r="P1255" s="1"/>
      <c r="Q1255" s="1"/>
      <c r="S1255" s="1"/>
      <c r="T1255" s="1"/>
      <c r="U1255" s="1"/>
      <c r="V1255" s="1"/>
      <c r="W1255" s="165" t="str">
        <f>$F$2</f>
        <v>Medical University of South Carolina</v>
      </c>
      <c r="X1255" s="962" t="s">
        <v>533</v>
      </c>
    </row>
    <row r="1256" spans="1:24" ht="11.25" customHeight="1">
      <c r="A1256" s="878">
        <v>2</v>
      </c>
      <c r="F1256" s="344" t="str">
        <f>$F$464</f>
        <v>Measurement Data</v>
      </c>
      <c r="K1256" s="166" t="str">
        <f>$F$5</f>
        <v>Radiographic System Compliance Inspection</v>
      </c>
      <c r="L1256" s="981" t="s">
        <v>533</v>
      </c>
      <c r="Q1256" s="344" t="str">
        <f>$F$464</f>
        <v>Measurement Data</v>
      </c>
      <c r="R1256" s="55"/>
      <c r="W1256" s="166" t="str">
        <f>$F$5</f>
        <v>Radiographic System Compliance Inspection</v>
      </c>
      <c r="X1256" s="962" t="s">
        <v>533</v>
      </c>
    </row>
    <row r="1257" spans="1:24" ht="11.25" customHeight="1" thickBot="1">
      <c r="A1257" s="878">
        <v>3</v>
      </c>
      <c r="F1257" s="54"/>
      <c r="L1257" s="981" t="s">
        <v>533</v>
      </c>
      <c r="R1257" s="54"/>
      <c r="X1257" s="962" t="s">
        <v>533</v>
      </c>
    </row>
    <row r="1258" spans="1:24" ht="11.25" customHeight="1" thickTop="1">
      <c r="A1258" s="878">
        <v>4</v>
      </c>
      <c r="B1258" s="93"/>
      <c r="C1258" s="76"/>
      <c r="D1258" s="76"/>
      <c r="E1258" s="76"/>
      <c r="F1258" s="76"/>
      <c r="G1258" s="76"/>
      <c r="H1258" s="76"/>
      <c r="I1258" s="76"/>
      <c r="J1258" s="76"/>
      <c r="K1258" s="94"/>
      <c r="L1258" s="981" t="s">
        <v>533</v>
      </c>
      <c r="M1258" s="93"/>
      <c r="N1258" s="76"/>
      <c r="O1258" s="76"/>
      <c r="P1258" s="76"/>
      <c r="Q1258" s="1278" t="s">
        <v>370</v>
      </c>
      <c r="R1258" s="76"/>
      <c r="S1258" s="76"/>
      <c r="T1258" s="76"/>
      <c r="U1258" s="76"/>
      <c r="V1258" s="76"/>
      <c r="W1258" s="94"/>
      <c r="X1258" s="962" t="s">
        <v>533</v>
      </c>
    </row>
    <row r="1259" spans="1:24" ht="11.25" customHeight="1">
      <c r="A1259" s="878">
        <v>5</v>
      </c>
      <c r="B1259" s="277"/>
      <c r="C1259" s="67"/>
      <c r="D1259" s="67"/>
      <c r="E1259" s="67"/>
      <c r="F1259" s="389" t="str">
        <f>$Q$1258</f>
        <v>PHOTOTIMING TABLE BUCKY - COMPUTED RADIOGRAPHY</v>
      </c>
      <c r="G1259" s="67"/>
      <c r="H1259" s="67"/>
      <c r="I1259" s="67"/>
      <c r="J1259" s="67"/>
      <c r="K1259" s="85"/>
      <c r="L1259" s="981" t="s">
        <v>533</v>
      </c>
      <c r="M1259" s="466" t="s">
        <v>364</v>
      </c>
      <c r="N1259" s="65"/>
      <c r="O1259" s="65"/>
      <c r="P1259" s="67"/>
      <c r="Q1259" s="67"/>
      <c r="R1259" s="67"/>
      <c r="S1259" s="67"/>
      <c r="T1259" s="67"/>
      <c r="U1259" s="67"/>
      <c r="V1259" s="67"/>
      <c r="W1259" s="85"/>
      <c r="X1259" s="962" t="s">
        <v>533</v>
      </c>
    </row>
    <row r="1260" spans="1:24" ht="11.25" customHeight="1">
      <c r="A1260" s="878">
        <v>6</v>
      </c>
      <c r="B1260" s="466" t="s">
        <v>364</v>
      </c>
      <c r="C1260" s="65"/>
      <c r="D1260" s="65"/>
      <c r="E1260" s="67"/>
      <c r="F1260" s="67"/>
      <c r="G1260" s="67"/>
      <c r="H1260" s="67"/>
      <c r="I1260" s="67"/>
      <c r="J1260" s="67"/>
      <c r="K1260" s="85"/>
      <c r="L1260" s="981" t="s">
        <v>533</v>
      </c>
      <c r="M1260" s="264" t="s">
        <v>539</v>
      </c>
      <c r="N1260" s="67"/>
      <c r="O1260" s="67"/>
      <c r="P1260" s="67"/>
      <c r="Q1260" s="1264" t="s">
        <v>448</v>
      </c>
      <c r="R1260" s="1264" t="s">
        <v>748</v>
      </c>
      <c r="S1260" s="67"/>
      <c r="T1260" s="67"/>
      <c r="U1260" s="67"/>
      <c r="V1260" s="1024" t="s">
        <v>495</v>
      </c>
      <c r="W1260" s="1062" t="str">
        <f>IF(OR(AB521=0,AB521=""),"",AB521)</f>
        <v/>
      </c>
      <c r="X1260" s="962" t="s">
        <v>533</v>
      </c>
    </row>
    <row r="1261" spans="1:24" ht="11.25" customHeight="1" thickBot="1">
      <c r="A1261" s="878">
        <v>7</v>
      </c>
      <c r="B1261" s="481" t="s">
        <v>322</v>
      </c>
      <c r="C1261" s="480" t="str">
        <f>IF(M1261=1,N1261&amp;IF(M1262=1,"/"&amp;N1262,""),IF(M1262=1,N1262,""))</f>
        <v/>
      </c>
      <c r="D1261" s="67"/>
      <c r="E1261" s="67"/>
      <c r="F1261" s="67"/>
      <c r="G1261" s="67"/>
      <c r="H1261" s="67"/>
      <c r="I1261" s="67"/>
      <c r="J1261" s="67"/>
      <c r="K1261" s="85"/>
      <c r="L1261" s="981" t="s">
        <v>533</v>
      </c>
      <c r="M1261" s="933"/>
      <c r="N1261" s="246" t="s">
        <v>477</v>
      </c>
      <c r="O1261" s="67"/>
      <c r="P1261" s="43" t="s">
        <v>739</v>
      </c>
      <c r="Q1261" s="1265" t="str">
        <f>IF(R1261&lt;&gt;"",R1261&amp;" "&amp;TBCM_IN,IF(OR(AB549=0,AB549=""),M1201&amp;" "&amp;TBCM_IN,AB549))</f>
        <v xml:space="preserve"> cm</v>
      </c>
      <c r="R1261" s="1267"/>
      <c r="S1261" s="67"/>
      <c r="T1261" s="187" t="s">
        <v>738</v>
      </c>
      <c r="U1261" s="928"/>
      <c r="V1261" s="1124" t="s">
        <v>362</v>
      </c>
      <c r="W1261" s="1147"/>
      <c r="X1261" s="962" t="s">
        <v>533</v>
      </c>
    </row>
    <row r="1262" spans="1:24" ht="11.25" customHeight="1" thickBot="1">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533</v>
      </c>
      <c r="M1262" s="933"/>
      <c r="N1262" s="246" t="s">
        <v>476</v>
      </c>
      <c r="O1262" s="67"/>
      <c r="P1262" s="43" t="s">
        <v>308</v>
      </c>
      <c r="Q1262" s="1271" t="str">
        <f>IF(R1262&lt;&gt;"",R1262,IF(OR(AB550=0,AB550=""),N1201,AB550))</f>
        <v/>
      </c>
      <c r="R1262" s="1270"/>
      <c r="S1262" s="67"/>
      <c r="T1262" s="1701" t="s">
        <v>443</v>
      </c>
      <c r="U1262" s="1702"/>
      <c r="V1262" s="1076" t="s">
        <v>698</v>
      </c>
      <c r="W1262" s="1060" t="str">
        <f>IF($W$1261="","TBD",IF(AND(M1261=1,M1262&lt;&gt;1),IF(AND($W$1261&gt;=150,$W$1261&lt;=250),"YES","NO"),IF(AND(M1261&lt;&gt;1,M1262=1),IF(AND($W$1261&gt;=75,$W$1261&lt;=125),"YES","NO"),IF(AND($W$1261&gt;=75,$W$1261&lt;=250),"YES","NO"))))</f>
        <v>TBD</v>
      </c>
      <c r="X1262" s="962" t="s">
        <v>533</v>
      </c>
    </row>
    <row r="1263" spans="1:24" ht="11.25" customHeight="1">
      <c r="A1263" s="878">
        <v>9</v>
      </c>
      <c r="B1263" s="159"/>
      <c r="C1263" s="67"/>
      <c r="D1263" s="67"/>
      <c r="E1263" s="67"/>
      <c r="F1263" s="67"/>
      <c r="G1263" s="391" t="str">
        <f>IF(U1261="","mAs:_______","mAs:  "&amp;U1261)</f>
        <v>mAs:_______</v>
      </c>
      <c r="H1263" s="67"/>
      <c r="I1263" s="67"/>
      <c r="J1263" s="67"/>
      <c r="K1263" s="85"/>
      <c r="L1263" s="981" t="s">
        <v>533</v>
      </c>
      <c r="M1263" s="159"/>
      <c r="N1263" s="67"/>
      <c r="O1263" s="67"/>
      <c r="P1263" s="43" t="s">
        <v>735</v>
      </c>
      <c r="Q1263" s="1263" t="str">
        <f>IF(R1263&lt;&gt;"",R1263,IF(OR(AB551=0,AB551=""),M1206,AB551))</f>
        <v/>
      </c>
      <c r="R1263" s="1268"/>
      <c r="S1263" s="166"/>
      <c r="T1263" s="702" t="s">
        <v>442</v>
      </c>
      <c r="U1263" s="246" t="s">
        <v>408</v>
      </c>
      <c r="V1263" s="246"/>
      <c r="W1263" s="85"/>
      <c r="X1263" s="962" t="s">
        <v>533</v>
      </c>
    </row>
    <row r="1264" spans="1:24" ht="11.25" customHeight="1">
      <c r="A1264" s="878">
        <v>10</v>
      </c>
      <c r="B1264" s="159"/>
      <c r="C1264" s="166"/>
      <c r="D1264" s="246"/>
      <c r="E1264" s="702" t="s">
        <v>411</v>
      </c>
      <c r="F1264" s="246" t="str">
        <f>U1263</f>
        <v>150&lt;=Sensitivity&lt;=250</v>
      </c>
      <c r="G1264" s="67"/>
      <c r="H1264" s="67"/>
      <c r="I1264" s="67"/>
      <c r="J1264" s="67"/>
      <c r="K1264" s="85"/>
      <c r="L1264" s="981" t="s">
        <v>533</v>
      </c>
      <c r="M1264" s="159"/>
      <c r="N1264" s="67"/>
      <c r="O1264" s="67"/>
      <c r="P1264" s="43" t="s">
        <v>293</v>
      </c>
      <c r="Q1264" s="1262" t="str">
        <f>IF(R1264&lt;&gt;"",R1264,IF(OR(AB552=0,AB552=""),N1206,AB552))</f>
        <v/>
      </c>
      <c r="R1264" s="1266"/>
      <c r="S1264" s="67"/>
      <c r="T1264" s="702" t="s">
        <v>409</v>
      </c>
      <c r="U1264" s="246" t="s">
        <v>410</v>
      </c>
      <c r="V1264" s="246"/>
      <c r="W1264" s="85"/>
      <c r="X1264" s="962" t="s">
        <v>533</v>
      </c>
    </row>
    <row r="1265" spans="1:24" ht="11.25" customHeight="1">
      <c r="A1265" s="878">
        <v>11</v>
      </c>
      <c r="B1265" s="159"/>
      <c r="C1265" s="67"/>
      <c r="D1265" s="246"/>
      <c r="E1265" s="702" t="s">
        <v>409</v>
      </c>
      <c r="F1265" s="246" t="str">
        <f>U1264</f>
        <v>75&lt;=Sensitivity&lt;=125</v>
      </c>
      <c r="G1265" s="67"/>
      <c r="H1265" s="67"/>
      <c r="I1265" s="67"/>
      <c r="J1265" s="67"/>
      <c r="K1265" s="85"/>
      <c r="L1265" s="981" t="s">
        <v>533</v>
      </c>
      <c r="M1265" s="159"/>
      <c r="N1265" s="67"/>
      <c r="O1265" s="67"/>
      <c r="P1265" s="67"/>
      <c r="Q1265" s="67"/>
      <c r="R1265" s="67"/>
      <c r="S1265" s="67"/>
      <c r="T1265" s="67"/>
      <c r="U1265" s="67"/>
      <c r="V1265" s="67"/>
      <c r="W1265" s="85"/>
      <c r="X1265" s="962" t="s">
        <v>533</v>
      </c>
    </row>
    <row r="1266" spans="1:24" ht="11.25" customHeight="1">
      <c r="A1266" s="878">
        <v>12</v>
      </c>
      <c r="B1266" s="395" t="s">
        <v>294</v>
      </c>
      <c r="C1266" s="280"/>
      <c r="D1266" s="280"/>
      <c r="E1266" s="43" t="s">
        <v>735</v>
      </c>
      <c r="F1266" s="41" t="str">
        <f>IF(R1266="","",R1266)</f>
        <v/>
      </c>
      <c r="G1266" s="3"/>
      <c r="H1266" s="43" t="s">
        <v>295</v>
      </c>
      <c r="I1266" s="2" t="str">
        <f>IF(U1266="","              in.",ROUND(U1266,2)&amp;" in.")</f>
        <v xml:space="preserve">              in.</v>
      </c>
      <c r="J1266" s="67"/>
      <c r="K1266" s="85"/>
      <c r="L1266" s="981" t="s">
        <v>533</v>
      </c>
      <c r="M1266" s="395" t="s">
        <v>294</v>
      </c>
      <c r="N1266" s="4"/>
      <c r="O1266" s="4"/>
      <c r="P1266" s="392"/>
      <c r="Q1266" s="43" t="s">
        <v>735</v>
      </c>
      <c r="R1266" s="1117" t="str">
        <f>IF(Q1263="","",Q1263)</f>
        <v/>
      </c>
      <c r="S1266" s="3"/>
      <c r="T1266" s="43" t="s">
        <v>295</v>
      </c>
      <c r="U1266" s="1116" t="str">
        <f>IF(Q1264="","",Q1264)</f>
        <v/>
      </c>
      <c r="V1266" s="62" t="s">
        <v>283</v>
      </c>
      <c r="W1266" s="45"/>
      <c r="X1266" s="962" t="s">
        <v>533</v>
      </c>
    </row>
    <row r="1267" spans="1:24" ht="11.25" customHeight="1">
      <c r="A1267" s="878">
        <v>13</v>
      </c>
      <c r="B1267" s="159"/>
      <c r="C1267" s="3"/>
      <c r="D1267" s="3"/>
      <c r="E1267" s="43" t="s">
        <v>739</v>
      </c>
      <c r="F1267" s="2" t="str">
        <f>IF(R1267="","",R1267)</f>
        <v xml:space="preserve"> cm</v>
      </c>
      <c r="G1267" s="3"/>
      <c r="H1267" s="43" t="s">
        <v>669</v>
      </c>
      <c r="I1267" s="12" t="str">
        <f>IF(U1267="","",U1267)</f>
        <v>DR/</v>
      </c>
      <c r="J1267" s="67"/>
      <c r="K1267" s="85"/>
      <c r="L1267" s="981" t="s">
        <v>533</v>
      </c>
      <c r="M1267" s="159"/>
      <c r="N1267" s="3"/>
      <c r="O1267" s="3"/>
      <c r="P1267" s="3"/>
      <c r="Q1267" s="43" t="s">
        <v>739</v>
      </c>
      <c r="R1267" s="1116" t="str">
        <f>IF(Q1261="","",Q1261)</f>
        <v xml:space="preserve"> cm</v>
      </c>
      <c r="S1267" s="3"/>
      <c r="T1267" s="43" t="s">
        <v>669</v>
      </c>
      <c r="U1267" s="1118" t="str">
        <f>IF($T$32="","",$T$32&amp;"/"&amp;$T$33)</f>
        <v>DR/</v>
      </c>
      <c r="V1267" s="4"/>
      <c r="W1267" s="85"/>
      <c r="X1267" s="962" t="s">
        <v>533</v>
      </c>
    </row>
    <row r="1268" spans="1:24" ht="11.25" customHeight="1">
      <c r="A1268" s="878">
        <v>14</v>
      </c>
      <c r="B1268" s="278" t="s">
        <v>296</v>
      </c>
      <c r="C1268" s="280" t="s">
        <v>297</v>
      </c>
      <c r="D1268" s="280"/>
      <c r="E1268" s="280" t="s">
        <v>298</v>
      </c>
      <c r="F1268" s="280"/>
      <c r="G1268" s="280" t="s">
        <v>299</v>
      </c>
      <c r="H1268" s="280"/>
      <c r="I1268" s="3"/>
      <c r="J1268" s="3"/>
      <c r="K1268" s="85"/>
      <c r="L1268" s="981" t="s">
        <v>533</v>
      </c>
      <c r="M1268" s="278"/>
      <c r="N1268" s="60" t="s">
        <v>296</v>
      </c>
      <c r="O1268" s="280" t="s">
        <v>297</v>
      </c>
      <c r="P1268" s="280"/>
      <c r="Q1268" s="280" t="s">
        <v>298</v>
      </c>
      <c r="R1268" s="280"/>
      <c r="S1268" s="280" t="s">
        <v>299</v>
      </c>
      <c r="T1268" s="280"/>
      <c r="U1268" s="3"/>
      <c r="V1268" s="3"/>
      <c r="W1268" s="45"/>
      <c r="X1268" s="962" t="s">
        <v>533</v>
      </c>
    </row>
    <row r="1269" spans="1:24" ht="11.25" customHeight="1" thickBot="1">
      <c r="A1269" s="878">
        <v>15</v>
      </c>
      <c r="B1269" s="56"/>
      <c r="C1269" s="7" t="s">
        <v>361</v>
      </c>
      <c r="D1269" s="26" t="str">
        <f>Time_mAs</f>
        <v>mAs</v>
      </c>
      <c r="E1269" s="8" t="s">
        <v>361</v>
      </c>
      <c r="F1269" s="26" t="str">
        <f>Time_mAs</f>
        <v>mAs</v>
      </c>
      <c r="G1269" s="8" t="s">
        <v>361</v>
      </c>
      <c r="H1269" s="31" t="str">
        <f>Time_mAs</f>
        <v>mAs</v>
      </c>
      <c r="I1269" s="3"/>
      <c r="J1269" s="3"/>
      <c r="K1269" s="85"/>
      <c r="L1269" s="981" t="s">
        <v>533</v>
      </c>
      <c r="M1269" s="56"/>
      <c r="N1269" s="67"/>
      <c r="O1269" s="8" t="s">
        <v>361</v>
      </c>
      <c r="P1269" s="26" t="str">
        <f>IF(Time_mAs="","Blank",Time_mAs)</f>
        <v>mAs</v>
      </c>
      <c r="Q1269" s="8" t="s">
        <v>361</v>
      </c>
      <c r="R1269" s="26" t="str">
        <f>IF(Time_mAs="","Blank",Time_mAs)</f>
        <v>mAs</v>
      </c>
      <c r="S1269" s="8" t="s">
        <v>361</v>
      </c>
      <c r="T1269" s="26" t="str">
        <f>IF(Time_mAs="","Blank",Time_mAs)</f>
        <v>mAs</v>
      </c>
      <c r="U1269" s="3"/>
      <c r="V1269" s="3"/>
      <c r="W1269" s="45"/>
      <c r="X1269" s="962" t="s">
        <v>533</v>
      </c>
    </row>
    <row r="1270" spans="1:24" ht="11.25" customHeight="1">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533</v>
      </c>
      <c r="M1270" s="56"/>
      <c r="N1270" s="67"/>
      <c r="O1270" s="1338"/>
      <c r="P1270" s="1342"/>
      <c r="Q1270" s="1338" t="str">
        <f>IF(W1261="","",W1261)</f>
        <v/>
      </c>
      <c r="R1270" s="1342" t="str">
        <f>IF(U1261="","",U1261)</f>
        <v/>
      </c>
      <c r="S1270" s="1338"/>
      <c r="T1270" s="1342"/>
      <c r="U1270" s="3"/>
      <c r="V1270" s="3"/>
      <c r="W1270" s="45"/>
      <c r="X1270" s="962" t="s">
        <v>533</v>
      </c>
    </row>
    <row r="1271" spans="1:24" ht="11.25" customHeight="1">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533</v>
      </c>
      <c r="M1271" s="56"/>
      <c r="N1271" s="67"/>
      <c r="O1271" s="1338"/>
      <c r="P1271" s="1342"/>
      <c r="Q1271" s="1338"/>
      <c r="R1271" s="1342"/>
      <c r="S1271" s="1338"/>
      <c r="T1271" s="1342"/>
      <c r="U1271" s="3"/>
      <c r="V1271" s="3"/>
      <c r="W1271" s="45"/>
      <c r="X1271" s="962" t="s">
        <v>533</v>
      </c>
    </row>
    <row r="1272" spans="1:24" ht="11.25" customHeight="1">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533</v>
      </c>
      <c r="M1272" s="56"/>
      <c r="N1272" s="67"/>
      <c r="O1272" s="1338"/>
      <c r="P1272" s="1342"/>
      <c r="Q1272" s="1338"/>
      <c r="R1272" s="1342"/>
      <c r="S1272" s="1338"/>
      <c r="T1272" s="1342"/>
      <c r="U1272" s="3"/>
      <c r="V1272" s="3"/>
      <c r="W1272" s="45"/>
      <c r="X1272" s="962" t="s">
        <v>533</v>
      </c>
    </row>
    <row r="1273" spans="1:24" ht="11.25" customHeight="1">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533</v>
      </c>
      <c r="M1273" s="56"/>
      <c r="N1273" s="67"/>
      <c r="O1273" s="1338"/>
      <c r="P1273" s="1342"/>
      <c r="Q1273" s="1338"/>
      <c r="R1273" s="1342"/>
      <c r="S1273" s="1338"/>
      <c r="T1273" s="1342"/>
      <c r="U1273" s="3"/>
      <c r="V1273" s="3"/>
      <c r="W1273" s="45"/>
      <c r="X1273" s="962" t="s">
        <v>533</v>
      </c>
    </row>
    <row r="1274" spans="1:24" ht="11.25" customHeight="1">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533</v>
      </c>
      <c r="M1274" s="56"/>
      <c r="N1274" s="67"/>
      <c r="O1274" s="1338"/>
      <c r="P1274" s="1342"/>
      <c r="Q1274" s="1338"/>
      <c r="R1274" s="1342"/>
      <c r="S1274" s="1338"/>
      <c r="T1274" s="1342"/>
      <c r="U1274" s="3"/>
      <c r="V1274" s="3"/>
      <c r="W1274" s="45"/>
      <c r="X1274" s="962" t="s">
        <v>533</v>
      </c>
    </row>
    <row r="1275" spans="1:24" ht="11.25" customHeight="1">
      <c r="A1275" s="878">
        <v>21</v>
      </c>
      <c r="B1275" s="159"/>
      <c r="C1275" s="67"/>
      <c r="D1275" s="67"/>
      <c r="E1275" s="67"/>
      <c r="F1275" s="67"/>
      <c r="G1275" s="67"/>
      <c r="H1275" s="67"/>
      <c r="I1275" s="67"/>
      <c r="J1275" s="67"/>
      <c r="K1275" s="85"/>
      <c r="L1275" s="981" t="s">
        <v>533</v>
      </c>
      <c r="M1275" s="159"/>
      <c r="N1275" s="67"/>
      <c r="O1275" s="67"/>
      <c r="P1275" s="67"/>
      <c r="Q1275" s="67"/>
      <c r="R1275" s="67"/>
      <c r="S1275" s="67"/>
      <c r="T1275" s="67"/>
      <c r="U1275" s="67"/>
      <c r="V1275" s="67"/>
      <c r="W1275" s="85"/>
      <c r="X1275" s="962" t="s">
        <v>533</v>
      </c>
    </row>
    <row r="1276" spans="1:24" ht="11.25" customHeight="1">
      <c r="A1276" s="878">
        <v>22</v>
      </c>
      <c r="B1276" s="393" t="s">
        <v>152</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300</v>
      </c>
      <c r="K1276" s="340"/>
      <c r="L1276" s="981" t="s">
        <v>533</v>
      </c>
      <c r="M1276" s="56"/>
      <c r="N1276" s="563" t="s">
        <v>152</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300</v>
      </c>
      <c r="W1276" s="340"/>
      <c r="X1276" s="962" t="s">
        <v>533</v>
      </c>
    </row>
    <row r="1277" spans="1:24" ht="11.25" customHeight="1">
      <c r="A1277" s="878">
        <v>23</v>
      </c>
      <c r="B1277" s="278" t="s">
        <v>301</v>
      </c>
      <c r="C1277" s="25" t="str">
        <f t="shared" si="178"/>
        <v/>
      </c>
      <c r="D1277" s="28" t="str">
        <f t="shared" si="178"/>
        <v/>
      </c>
      <c r="E1277" s="27" t="str">
        <f t="shared" si="178"/>
        <v/>
      </c>
      <c r="F1277" s="28" t="str">
        <f t="shared" si="178"/>
        <v/>
      </c>
      <c r="G1277" s="27" t="str">
        <f t="shared" si="178"/>
        <v/>
      </c>
      <c r="H1277" s="25" t="str">
        <f t="shared" si="178"/>
        <v/>
      </c>
      <c r="I1277" s="67"/>
      <c r="J1277" s="23" t="s">
        <v>365</v>
      </c>
      <c r="K1277" s="608" t="s">
        <v>366</v>
      </c>
      <c r="L1277" s="981" t="s">
        <v>533</v>
      </c>
      <c r="M1277" s="56"/>
      <c r="N1277" s="564" t="s">
        <v>301</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365</v>
      </c>
      <c r="W1277" s="608" t="s">
        <v>366</v>
      </c>
      <c r="X1277" s="962" t="s">
        <v>533</v>
      </c>
    </row>
    <row r="1278" spans="1:24" ht="11.25" customHeight="1" thickBot="1">
      <c r="A1278" s="878">
        <v>24</v>
      </c>
      <c r="B1278" s="278" t="s">
        <v>303</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533</v>
      </c>
      <c r="M1278" s="396"/>
      <c r="N1278" s="564" t="s">
        <v>303</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533</v>
      </c>
    </row>
    <row r="1279" spans="1:24" ht="11.25" customHeight="1" thickBot="1">
      <c r="A1279" s="878">
        <v>25</v>
      </c>
      <c r="B1279" s="382" t="s">
        <v>698</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698</v>
      </c>
      <c r="J1279" s="435" t="str">
        <f t="shared" si="181"/>
        <v>TBD</v>
      </c>
      <c r="K1279" s="100"/>
      <c r="L1279" s="981" t="s">
        <v>533</v>
      </c>
      <c r="M1279" s="56"/>
      <c r="N1279" s="1108" t="s">
        <v>698</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698</v>
      </c>
      <c r="V1279" s="1056" t="str">
        <f>IF(V1278="TBD","TBD",IF(AND(O1276="",Q1276="",S1276=""),IF(ROUND(100*(MAX(P1276,R1276,T1276)-MIN(P1276,R1276,T1276))/AVERAGE(P1276,R1276,T1276),2)&lt;=35,"YES","NO"),IF(AND($W$1278&lt;=$V$1281,ROUND(100*(MAX(O1276,Q1276,S1276)-MIN(O1276,Q1276,S1276))/AVERAGE(O1276,Q1276,S1276),2)&lt;=35),"YES","NO")))</f>
        <v>TBD</v>
      </c>
      <c r="W1279" s="45"/>
      <c r="X1279" s="962" t="s">
        <v>533</v>
      </c>
    </row>
    <row r="1280" spans="1:24" ht="11.25" customHeight="1" thickBot="1">
      <c r="A1280" s="878">
        <v>26</v>
      </c>
      <c r="B1280" s="159"/>
      <c r="C1280" s="67"/>
      <c r="D1280" s="67"/>
      <c r="E1280" s="67"/>
      <c r="F1280" s="67"/>
      <c r="G1280" s="67"/>
      <c r="H1280" s="67"/>
      <c r="I1280" s="67"/>
      <c r="J1280" s="628" t="str">
        <f t="shared" si="181"/>
        <v>NOTE: Density step 1 produced a TBD % change</v>
      </c>
      <c r="K1280" s="85"/>
      <c r="L1280" s="981" t="s">
        <v>533</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533</v>
      </c>
    </row>
    <row r="1281" spans="1:31" ht="11.25" customHeight="1" thickBot="1">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533</v>
      </c>
      <c r="M1281" s="159"/>
      <c r="N1281" s="67"/>
      <c r="O1281" s="166"/>
      <c r="P1281" s="166"/>
      <c r="Q1281" s="67"/>
      <c r="R1281" s="67"/>
      <c r="S1281" s="67"/>
      <c r="T1281" s="67"/>
      <c r="U1281" s="166" t="s">
        <v>1187</v>
      </c>
      <c r="V1281" s="1458">
        <v>50</v>
      </c>
      <c r="W1281" s="85"/>
      <c r="X1281" s="962" t="s">
        <v>533</v>
      </c>
    </row>
    <row r="1282" spans="1:31" ht="11.25" customHeight="1">
      <c r="A1282" s="878">
        <v>28</v>
      </c>
      <c r="B1282" s="159"/>
      <c r="C1282" s="67"/>
      <c r="D1282" s="464">
        <f>$P$1282</f>
        <v>0</v>
      </c>
      <c r="E1282" s="119">
        <f>$Q$1282</f>
        <v>0</v>
      </c>
      <c r="F1282" s="67"/>
      <c r="G1282" s="67"/>
      <c r="H1282" s="67"/>
      <c r="I1282" s="67"/>
      <c r="J1282" s="67"/>
      <c r="K1282" s="85"/>
      <c r="L1282" s="981" t="s">
        <v>533</v>
      </c>
      <c r="M1282" s="159"/>
      <c r="N1282" s="67"/>
      <c r="O1282" s="67"/>
      <c r="P1282" s="464"/>
      <c r="Q1282" s="119"/>
      <c r="R1282" s="67"/>
      <c r="S1282" s="67"/>
      <c r="T1282" s="67"/>
      <c r="U1282" s="166" t="s">
        <v>1188</v>
      </c>
      <c r="V1282" s="67"/>
      <c r="W1282" s="45"/>
      <c r="X1282" s="962" t="s">
        <v>533</v>
      </c>
    </row>
    <row r="1283" spans="1:31" ht="11.25" customHeight="1">
      <c r="A1283" s="878">
        <v>29</v>
      </c>
      <c r="B1283" s="159"/>
      <c r="C1283" s="67"/>
      <c r="D1283" s="67"/>
      <c r="E1283" s="464"/>
      <c r="F1283" s="119"/>
      <c r="G1283" s="67"/>
      <c r="H1283" s="67"/>
      <c r="I1283" s="67"/>
      <c r="J1283" s="67"/>
      <c r="K1283" s="85"/>
      <c r="L1283" s="981" t="s">
        <v>533</v>
      </c>
      <c r="M1283" s="159"/>
      <c r="N1283" s="67"/>
      <c r="O1283" s="67"/>
      <c r="P1283" s="67"/>
      <c r="Q1283" s="67"/>
      <c r="R1283" s="67"/>
      <c r="S1283" s="67"/>
      <c r="T1283" s="67"/>
      <c r="U1283" s="67"/>
      <c r="V1283" s="67"/>
      <c r="W1283" s="45"/>
      <c r="X1283" s="962" t="s">
        <v>533</v>
      </c>
    </row>
    <row r="1284" spans="1:31" ht="11.25" customHeight="1">
      <c r="A1284" s="878">
        <v>30</v>
      </c>
      <c r="B1284" s="277" t="s">
        <v>307</v>
      </c>
      <c r="C1284" s="3"/>
      <c r="D1284" s="3"/>
      <c r="E1284" s="3"/>
      <c r="F1284" s="3"/>
      <c r="G1284" s="3"/>
      <c r="H1284" s="3"/>
      <c r="I1284" s="3"/>
      <c r="J1284" s="3"/>
      <c r="K1284" s="85"/>
      <c r="L1284" s="981" t="s">
        <v>533</v>
      </c>
      <c r="M1284" s="159"/>
      <c r="N1284" s="504" t="s">
        <v>307</v>
      </c>
      <c r="O1284" s="3"/>
      <c r="P1284" s="3"/>
      <c r="Q1284" s="3"/>
      <c r="R1284" s="511"/>
      <c r="S1284" s="3"/>
      <c r="T1284" s="3"/>
      <c r="U1284" s="3"/>
      <c r="V1284" s="3"/>
      <c r="W1284" s="45"/>
      <c r="X1284" s="962" t="s">
        <v>533</v>
      </c>
    </row>
    <row r="1285" spans="1:31" ht="11.25" customHeight="1">
      <c r="A1285" s="878">
        <v>31</v>
      </c>
      <c r="B1285" s="56"/>
      <c r="C1285" s="43" t="s">
        <v>739</v>
      </c>
      <c r="D1285" s="2" t="str">
        <f>IF(P1285="","",P1285)</f>
        <v xml:space="preserve"> cm</v>
      </c>
      <c r="E1285" s="3"/>
      <c r="F1285" s="43" t="s">
        <v>308</v>
      </c>
      <c r="G1285" s="2" t="str">
        <f>IF(S1285="","",S1285)</f>
        <v/>
      </c>
      <c r="H1285" s="3"/>
      <c r="I1285" s="43" t="s">
        <v>309</v>
      </c>
      <c r="J1285" s="2" t="str">
        <f>IF(V1285="","",V1285)</f>
        <v/>
      </c>
      <c r="K1285" s="85"/>
      <c r="L1285" s="981" t="s">
        <v>533</v>
      </c>
      <c r="M1285" s="159"/>
      <c r="N1285" s="3"/>
      <c r="O1285" s="43" t="s">
        <v>739</v>
      </c>
      <c r="P1285" s="1116" t="str">
        <f>IF($Q$1261="","",$Q$1261)</f>
        <v xml:space="preserve"> cm</v>
      </c>
      <c r="Q1285" s="3"/>
      <c r="R1285" s="43" t="s">
        <v>308</v>
      </c>
      <c r="S1285" s="1116" t="str">
        <f>IF($Q$1262="","",$Q$1262)</f>
        <v/>
      </c>
      <c r="T1285" s="3"/>
      <c r="U1285" s="43" t="s">
        <v>309</v>
      </c>
      <c r="V1285" s="1117" t="str">
        <f>IF($O$1225="","",$O$1225)</f>
        <v/>
      </c>
      <c r="W1285" s="45"/>
      <c r="X1285" s="962" t="s">
        <v>533</v>
      </c>
      <c r="AC1285"/>
      <c r="AD1285"/>
      <c r="AE1285"/>
    </row>
    <row r="1286" spans="1:31" ht="11.25" customHeight="1">
      <c r="A1286" s="878">
        <v>32</v>
      </c>
      <c r="B1286" s="56" t="s">
        <v>310</v>
      </c>
      <c r="C1286" s="35" t="s">
        <v>311</v>
      </c>
      <c r="D1286" s="576">
        <f>IF(P1286="","",P1286)</f>
        <v>60</v>
      </c>
      <c r="E1286" s="35" t="s">
        <v>312</v>
      </c>
      <c r="F1286" s="576">
        <f>IF(R1286="","",R1286)</f>
        <v>80</v>
      </c>
      <c r="G1286" s="35" t="s">
        <v>313</v>
      </c>
      <c r="H1286" s="576">
        <f>IF(T1286="","",T1286)</f>
        <v>100</v>
      </c>
      <c r="I1286" s="35" t="s">
        <v>314</v>
      </c>
      <c r="J1286" s="577">
        <f>IF(V1286="","",V1286)</f>
        <v>120</v>
      </c>
      <c r="K1286" s="85"/>
      <c r="L1286" s="981" t="s">
        <v>533</v>
      </c>
      <c r="M1286" s="159"/>
      <c r="N1286" s="5" t="s">
        <v>310</v>
      </c>
      <c r="O1286" s="35" t="s">
        <v>311</v>
      </c>
      <c r="P1286" s="1119">
        <f>$Q$694</f>
        <v>60</v>
      </c>
      <c r="Q1286" s="1042" t="s">
        <v>312</v>
      </c>
      <c r="R1286" s="1119">
        <f>$Q$695</f>
        <v>80</v>
      </c>
      <c r="S1286" s="1042" t="s">
        <v>313</v>
      </c>
      <c r="T1286" s="1119">
        <f>$Q$696</f>
        <v>100</v>
      </c>
      <c r="U1286" s="1042" t="s">
        <v>314</v>
      </c>
      <c r="V1286" s="1119">
        <f>$Q$697</f>
        <v>120</v>
      </c>
      <c r="W1286" s="45"/>
      <c r="X1286" s="962" t="s">
        <v>533</v>
      </c>
      <c r="AC1286"/>
      <c r="AD1286"/>
      <c r="AE1286"/>
    </row>
    <row r="1287" spans="1:31" ht="11.25" customHeight="1" thickBot="1">
      <c r="A1287" s="878">
        <v>33</v>
      </c>
      <c r="B1287" s="8" t="s">
        <v>315</v>
      </c>
      <c r="C1287" s="8" t="s">
        <v>361</v>
      </c>
      <c r="D1287" s="26" t="str">
        <f>Time_mAs</f>
        <v>mAs</v>
      </c>
      <c r="E1287" s="8" t="s">
        <v>361</v>
      </c>
      <c r="F1287" s="7" t="str">
        <f>Time_mAs</f>
        <v>mAs</v>
      </c>
      <c r="G1287" s="8" t="s">
        <v>361</v>
      </c>
      <c r="H1287" s="7" t="str">
        <f>Time_mAs</f>
        <v>mAs</v>
      </c>
      <c r="I1287" s="8" t="s">
        <v>361</v>
      </c>
      <c r="J1287" s="31" t="str">
        <f>Time_mAs</f>
        <v>mAs</v>
      </c>
      <c r="K1287" s="85"/>
      <c r="L1287" s="981" t="s">
        <v>533</v>
      </c>
      <c r="M1287" s="159"/>
      <c r="N1287" s="7" t="s">
        <v>316</v>
      </c>
      <c r="O1287" s="8" t="s">
        <v>361</v>
      </c>
      <c r="P1287" s="7" t="str">
        <f>Time_mAs</f>
        <v>mAs</v>
      </c>
      <c r="Q1287" s="8" t="s">
        <v>361</v>
      </c>
      <c r="R1287" s="7" t="str">
        <f>Time_mAs</f>
        <v>mAs</v>
      </c>
      <c r="S1287" s="8" t="s">
        <v>361</v>
      </c>
      <c r="T1287" s="7" t="str">
        <f>Time_mAs</f>
        <v>mAs</v>
      </c>
      <c r="U1287" s="8" t="s">
        <v>361</v>
      </c>
      <c r="V1287" s="31" t="str">
        <f>Time_mAs</f>
        <v>mAs</v>
      </c>
      <c r="W1287" s="45"/>
      <c r="X1287" s="962" t="s">
        <v>533</v>
      </c>
      <c r="AC1287"/>
      <c r="AD1287"/>
      <c r="AE1287"/>
    </row>
    <row r="1288" spans="1:31" ht="11.25" customHeight="1">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533</v>
      </c>
      <c r="M1288" s="159"/>
      <c r="N1288" s="503">
        <v>6</v>
      </c>
      <c r="O1288" s="1334"/>
      <c r="P1288" s="1339"/>
      <c r="Q1288" s="1334"/>
      <c r="R1288" s="1339"/>
      <c r="S1288" s="1334"/>
      <c r="T1288" s="1339"/>
      <c r="U1288" s="1335"/>
      <c r="V1288" s="1340"/>
      <c r="W1288" s="85"/>
      <c r="X1288" s="962" t="s">
        <v>533</v>
      </c>
      <c r="AC1288"/>
      <c r="AD1288"/>
      <c r="AE1288"/>
    </row>
    <row r="1289" spans="1:31" ht="11.25" customHeight="1">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533</v>
      </c>
      <c r="M1289" s="56"/>
      <c r="N1289" s="503">
        <v>8</v>
      </c>
      <c r="O1289" s="1334"/>
      <c r="P1289" s="1339"/>
      <c r="Q1289" s="1334"/>
      <c r="R1289" s="1339"/>
      <c r="S1289" s="1334"/>
      <c r="T1289" s="1339"/>
      <c r="U1289" s="1334"/>
      <c r="V1289" s="1339"/>
      <c r="W1289" s="45"/>
      <c r="X1289" s="962" t="s">
        <v>533</v>
      </c>
      <c r="AC1289"/>
      <c r="AD1289"/>
      <c r="AE1289"/>
    </row>
    <row r="1290" spans="1:31" ht="11.25" customHeight="1">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533</v>
      </c>
      <c r="M1290" s="56"/>
      <c r="N1290" s="503">
        <v>10</v>
      </c>
      <c r="O1290" s="1334"/>
      <c r="P1290" s="1339"/>
      <c r="Q1290" s="1334" t="str">
        <f>IF(Q1276="","",Q1276)</f>
        <v/>
      </c>
      <c r="R1290" s="1339" t="str">
        <f>IF(R1276="","",R1276)</f>
        <v/>
      </c>
      <c r="S1290" s="1334"/>
      <c r="T1290" s="1339"/>
      <c r="U1290" s="1334"/>
      <c r="V1290" s="1339"/>
      <c r="W1290" s="45"/>
      <c r="X1290" s="962" t="s">
        <v>533</v>
      </c>
      <c r="AC1290"/>
      <c r="AD1290"/>
      <c r="AE1290"/>
    </row>
    <row r="1291" spans="1:31" ht="11.25" customHeight="1" thickBot="1">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533</v>
      </c>
      <c r="M1291" s="56"/>
      <c r="N1291" s="503">
        <v>12</v>
      </c>
      <c r="O1291" s="1335"/>
      <c r="P1291" s="1340"/>
      <c r="Q1291" s="1334"/>
      <c r="R1291" s="1339"/>
      <c r="S1291" s="1334"/>
      <c r="T1291" s="1339"/>
      <c r="U1291" s="1334"/>
      <c r="V1291" s="1339"/>
      <c r="W1291" s="45"/>
      <c r="X1291" s="962" t="s">
        <v>533</v>
      </c>
      <c r="AC1291"/>
      <c r="AD1291"/>
      <c r="AE1291"/>
    </row>
    <row r="1292" spans="1:31" ht="11.25" customHeight="1" thickTop="1" thickBot="1">
      <c r="A1292" s="878">
        <v>38</v>
      </c>
      <c r="B1292" s="159"/>
      <c r="C1292" s="67"/>
      <c r="D1292" s="67"/>
      <c r="E1292" s="67"/>
      <c r="F1292" s="67"/>
      <c r="G1292" s="67"/>
      <c r="H1292" s="67"/>
      <c r="I1292" s="67"/>
      <c r="J1292" s="67"/>
      <c r="K1292" s="85"/>
      <c r="L1292" s="981" t="s">
        <v>533</v>
      </c>
      <c r="M1292" s="864" t="s">
        <v>727</v>
      </c>
      <c r="N1292" s="3"/>
      <c r="O1292" s="3"/>
      <c r="P1292" s="3"/>
      <c r="Q1292" s="3"/>
      <c r="R1292" s="3"/>
      <c r="S1292" s="3"/>
      <c r="T1292" s="3"/>
      <c r="U1292" s="3"/>
      <c r="V1292" s="3"/>
      <c r="W1292" s="45"/>
      <c r="X1292" s="962" t="s">
        <v>533</v>
      </c>
      <c r="AC1292"/>
      <c r="AD1292"/>
      <c r="AE1292"/>
    </row>
    <row r="1293" spans="1:31" ht="11.25" customHeight="1" thickBot="1">
      <c r="A1293" s="878">
        <v>39</v>
      </c>
      <c r="B1293" s="393" t="s">
        <v>317</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533</v>
      </c>
      <c r="M1293" s="865" t="s">
        <v>318</v>
      </c>
      <c r="N1293" s="563" t="s">
        <v>317</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533</v>
      </c>
      <c r="AC1293"/>
      <c r="AD1293"/>
      <c r="AE1293"/>
    </row>
    <row r="1294" spans="1:31" ht="11.25" customHeight="1" thickBot="1">
      <c r="A1294" s="878">
        <v>40</v>
      </c>
      <c r="B1294" s="382" t="s">
        <v>698</v>
      </c>
      <c r="C1294" s="648" t="str">
        <f t="shared" si="183"/>
        <v>TBD</v>
      </c>
      <c r="D1294" s="53"/>
      <c r="E1294" s="648" t="str">
        <f t="shared" si="183"/>
        <v>TBD</v>
      </c>
      <c r="F1294" s="53"/>
      <c r="G1294" s="648" t="str">
        <f t="shared" si="183"/>
        <v>TBD</v>
      </c>
      <c r="H1294" s="53"/>
      <c r="I1294" s="648" t="str">
        <f t="shared" si="183"/>
        <v>TBD</v>
      </c>
      <c r="J1294" s="1248"/>
      <c r="K1294" s="85"/>
      <c r="L1294" s="981" t="s">
        <v>533</v>
      </c>
      <c r="M1294" s="159"/>
      <c r="N1294" s="1108" t="s">
        <v>698</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533</v>
      </c>
      <c r="AC1294"/>
      <c r="AD1294"/>
      <c r="AE1294"/>
    </row>
    <row r="1295" spans="1:31" ht="11.25" customHeight="1" thickBot="1">
      <c r="A1295" s="878">
        <v>41</v>
      </c>
      <c r="B1295" s="278" t="s">
        <v>319</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533</v>
      </c>
      <c r="M1295" s="159"/>
      <c r="N1295" s="564" t="s">
        <v>319</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533</v>
      </c>
      <c r="AC1295"/>
      <c r="AD1295"/>
      <c r="AE1295"/>
    </row>
    <row r="1296" spans="1:31" ht="11.25" customHeight="1" thickBot="1">
      <c r="A1296" s="878">
        <v>42</v>
      </c>
      <c r="B1296" s="382" t="s">
        <v>698</v>
      </c>
      <c r="C1296" s="648" t="str">
        <f t="shared" si="183"/>
        <v>TBD</v>
      </c>
      <c r="D1296" s="53"/>
      <c r="E1296" s="648" t="str">
        <f t="shared" si="183"/>
        <v>TBD</v>
      </c>
      <c r="F1296" s="53"/>
      <c r="G1296" s="648" t="str">
        <f t="shared" si="183"/>
        <v>TBD</v>
      </c>
      <c r="H1296" s="53"/>
      <c r="I1296" s="648" t="str">
        <f t="shared" si="183"/>
        <v>TBD</v>
      </c>
      <c r="J1296" s="1248"/>
      <c r="K1296" s="85"/>
      <c r="L1296" s="981" t="s">
        <v>533</v>
      </c>
      <c r="M1296" s="159"/>
      <c r="N1296" s="1108" t="s">
        <v>698</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533</v>
      </c>
      <c r="AC1296"/>
      <c r="AD1296"/>
      <c r="AE1296"/>
    </row>
    <row r="1297" spans="1:24" ht="11.25" customHeight="1" thickBot="1">
      <c r="A1297" s="878">
        <v>43</v>
      </c>
      <c r="B1297" s="159"/>
      <c r="C1297" s="67"/>
      <c r="D1297" s="67"/>
      <c r="E1297" s="180"/>
      <c r="F1297" s="181" t="s">
        <v>320</v>
      </c>
      <c r="G1297" s="182" t="str">
        <f t="shared" si="183"/>
        <v/>
      </c>
      <c r="H1297" s="178" t="s">
        <v>698</v>
      </c>
      <c r="I1297" s="179" t="str">
        <f t="shared" si="183"/>
        <v>TBD</v>
      </c>
      <c r="J1297" s="67"/>
      <c r="K1297" s="85"/>
      <c r="L1297" s="981" t="s">
        <v>533</v>
      </c>
      <c r="M1297" s="159"/>
      <c r="N1297" s="67"/>
      <c r="O1297" s="4"/>
      <c r="P1297" s="67"/>
      <c r="Q1297" s="180"/>
      <c r="R1297" s="181" t="s">
        <v>320</v>
      </c>
      <c r="S1297" s="1480" t="str">
        <f>IF(AND(P1293="",R1293="",T1293="",V1293="",P1295="",R1295="",T1295="",V1295=""),"",ROUND(Q1308/AVERAGE(O1288:O1291,Q1288:Q1291,S1288:S1291,U1288:U1291),2))</f>
        <v/>
      </c>
      <c r="T1297" s="1076" t="s">
        <v>698</v>
      </c>
      <c r="U1297" s="1056" t="str">
        <f>IF(AND(O1294="TBD",Q1294="TBD",S1294="TBD",U1294="TBD",O1296="TBD",Q1296="TBD",S1296="TBD",U1296="TBD"),"TBD",IF(S1297&lt;=0.35,"YES","NO"))</f>
        <v>TBD</v>
      </c>
      <c r="V1297" s="67"/>
      <c r="W1297" s="85"/>
      <c r="X1297" s="962" t="s">
        <v>533</v>
      </c>
    </row>
    <row r="1298" spans="1:24" ht="11.25" customHeight="1">
      <c r="A1298" s="878">
        <v>44</v>
      </c>
      <c r="B1298" s="159"/>
      <c r="C1298" s="4"/>
      <c r="D1298" s="4"/>
      <c r="E1298" s="67"/>
      <c r="F1298" s="67"/>
      <c r="G1298" s="67"/>
      <c r="H1298" s="67"/>
      <c r="I1298" s="628" t="str">
        <f>U1298</f>
        <v>NOTE: Density step 1 produced a TBD % change</v>
      </c>
      <c r="J1298" s="67"/>
      <c r="K1298" s="85"/>
      <c r="L1298" s="981" t="s">
        <v>533</v>
      </c>
      <c r="M1298" s="159"/>
      <c r="N1298" s="67"/>
      <c r="O1298" s="4"/>
      <c r="P1298" s="4"/>
      <c r="Q1298" s="67"/>
      <c r="R1298" s="67"/>
      <c r="S1298" s="67"/>
      <c r="T1298" s="67"/>
      <c r="U1298" s="1246" t="str">
        <f>V1280</f>
        <v>NOTE: Density step 1 produced a TBD % change</v>
      </c>
      <c r="V1298" s="67"/>
      <c r="W1298" s="85"/>
      <c r="X1298" s="962" t="s">
        <v>533</v>
      </c>
    </row>
    <row r="1299" spans="1:24" ht="11.25" customHeight="1">
      <c r="A1299" s="878">
        <v>45</v>
      </c>
      <c r="B1299" s="159"/>
      <c r="C1299" s="166" t="str">
        <f>$O$1299</f>
        <v>Criteria:</v>
      </c>
      <c r="D1299" s="246" t="str">
        <f>$P$1299</f>
        <v>Max. Variation 30% for individual kV or thickness; 35% overall</v>
      </c>
      <c r="E1299" s="67"/>
      <c r="F1299" s="67"/>
      <c r="G1299" s="67"/>
      <c r="H1299" s="67"/>
      <c r="I1299" s="67"/>
      <c r="J1299" s="67"/>
      <c r="K1299" s="85"/>
      <c r="L1299" s="981" t="s">
        <v>533</v>
      </c>
      <c r="M1299" s="159"/>
      <c r="N1299" s="67"/>
      <c r="O1299" s="166" t="s">
        <v>699</v>
      </c>
      <c r="P1299" s="470" t="s">
        <v>378</v>
      </c>
      <c r="Q1299" s="67"/>
      <c r="R1299" s="67"/>
      <c r="S1299" s="67"/>
      <c r="T1299" s="67"/>
      <c r="U1299" s="67"/>
      <c r="V1299" s="67"/>
      <c r="W1299" s="85"/>
      <c r="X1299" s="962" t="s">
        <v>533</v>
      </c>
    </row>
    <row r="1300" spans="1:24" ht="11.25" customHeight="1">
      <c r="A1300" s="878">
        <v>46</v>
      </c>
      <c r="B1300" s="159"/>
      <c r="C1300" s="67"/>
      <c r="D1300" s="470"/>
      <c r="E1300" s="67"/>
      <c r="F1300" s="67"/>
      <c r="G1300" s="67"/>
      <c r="H1300" s="67"/>
      <c r="I1300" s="67"/>
      <c r="J1300" s="67"/>
      <c r="K1300" s="85"/>
      <c r="L1300" s="981" t="s">
        <v>533</v>
      </c>
      <c r="M1300" s="159"/>
      <c r="N1300" s="67"/>
      <c r="O1300" s="67"/>
      <c r="P1300" s="470"/>
      <c r="Q1300" s="67"/>
      <c r="R1300" s="67"/>
      <c r="S1300" s="67"/>
      <c r="T1300" s="67"/>
      <c r="U1300" s="67"/>
      <c r="V1300" s="67"/>
      <c r="W1300" s="85"/>
      <c r="X1300" s="962" t="s">
        <v>533</v>
      </c>
    </row>
    <row r="1301" spans="1:24" ht="11.25" customHeight="1">
      <c r="A1301" s="878">
        <v>47</v>
      </c>
      <c r="B1301" s="124" t="s">
        <v>681</v>
      </c>
      <c r="C1301" s="1290" t="str">
        <f>IF(O1301="","",IF(LEN(O1301)&lt;=135,O1301,IF(LEN(O1301)&lt;=260,LEFT(O1301,SEARCH(" ",O1301,125)),LEFT(O1301,SEARCH(" ",O1301,130)))))</f>
        <v/>
      </c>
      <c r="D1301" s="2"/>
      <c r="E1301" s="2"/>
      <c r="F1301" s="2"/>
      <c r="G1301" s="2"/>
      <c r="H1301" s="2"/>
      <c r="I1301" s="2"/>
      <c r="J1301" s="2"/>
      <c r="K1301" s="85"/>
      <c r="L1301" s="981" t="s">
        <v>533</v>
      </c>
      <c r="M1301" s="159"/>
      <c r="N1301" s="830" t="s">
        <v>681</v>
      </c>
      <c r="O1301" s="1025" t="str">
        <f>IF(O1303&lt;&gt;"",O1303,IF(OR(AB453=0,AB453=""),"",AB453))</f>
        <v/>
      </c>
      <c r="P1301" s="59"/>
      <c r="Q1301" s="2"/>
      <c r="R1301" s="2"/>
      <c r="S1301" s="2"/>
      <c r="T1301" s="2"/>
      <c r="U1301" s="2"/>
      <c r="V1301" s="2"/>
      <c r="W1301" s="36"/>
      <c r="X1301" s="962" t="s">
        <v>533</v>
      </c>
    </row>
    <row r="1302" spans="1:24" ht="11.25" customHeight="1">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533</v>
      </c>
      <c r="M1302" s="125"/>
      <c r="N1302" s="876" t="s">
        <v>373</v>
      </c>
      <c r="O1302" s="128"/>
      <c r="P1302" s="1289">
        <f>LEN(O1301)</f>
        <v>0</v>
      </c>
      <c r="Q1302" s="12"/>
      <c r="R1302" s="12"/>
      <c r="S1302" s="12"/>
      <c r="T1302" s="12"/>
      <c r="U1302" s="12"/>
      <c r="V1302" s="12"/>
      <c r="W1302" s="279"/>
      <c r="X1302" s="962" t="s">
        <v>533</v>
      </c>
    </row>
    <row r="1303" spans="1:24" ht="11.25" customHeight="1">
      <c r="A1303" s="878">
        <v>49</v>
      </c>
      <c r="B1303" s="56"/>
      <c r="C1303" s="1290" t="str">
        <f>IF(LEN(O1301)&lt;=265,"",RIGHT(O1301,LEN(O1301)-SEARCH(" ",O1301,255)))</f>
        <v/>
      </c>
      <c r="D1303" s="2"/>
      <c r="E1303" s="2"/>
      <c r="F1303" s="2"/>
      <c r="G1303" s="2"/>
      <c r="H1303" s="2"/>
      <c r="I1303" s="2"/>
      <c r="J1303" s="2"/>
      <c r="K1303" s="85"/>
      <c r="L1303" s="981" t="s">
        <v>533</v>
      </c>
      <c r="M1303" s="150"/>
      <c r="N1303" s="1447" t="s">
        <v>748</v>
      </c>
      <c r="O1303" s="1449"/>
      <c r="P1303" s="2"/>
      <c r="Q1303" s="2"/>
      <c r="R1303" s="2"/>
      <c r="S1303" s="2"/>
      <c r="T1303" s="2"/>
      <c r="U1303" s="2"/>
      <c r="V1303" s="2"/>
      <c r="W1303" s="36"/>
      <c r="X1303" s="962" t="s">
        <v>533</v>
      </c>
    </row>
    <row r="1304" spans="1:24" ht="11.25" customHeight="1" thickBot="1">
      <c r="A1304" s="878">
        <v>50</v>
      </c>
      <c r="B1304" s="159"/>
      <c r="C1304" s="67"/>
      <c r="D1304" s="67"/>
      <c r="E1304" s="67"/>
      <c r="F1304" s="67"/>
      <c r="G1304" s="67"/>
      <c r="H1304" s="67"/>
      <c r="I1304" s="67"/>
      <c r="J1304" s="67"/>
      <c r="K1304" s="85"/>
      <c r="L1304" s="981" t="s">
        <v>533</v>
      </c>
      <c r="M1304" s="159"/>
      <c r="N1304" s="67"/>
      <c r="O1304" s="67"/>
      <c r="P1304" s="67"/>
      <c r="Q1304" s="67"/>
      <c r="R1304" s="67"/>
      <c r="S1304" s="67"/>
      <c r="T1304" s="67"/>
      <c r="U1304" s="67"/>
      <c r="V1304" s="67"/>
      <c r="W1304" s="85"/>
      <c r="X1304" s="962" t="s">
        <v>533</v>
      </c>
    </row>
    <row r="1305" spans="1:24" ht="11.25" customHeight="1">
      <c r="A1305" s="878">
        <v>51</v>
      </c>
      <c r="B1305" s="56"/>
      <c r="C1305" s="3"/>
      <c r="D1305" s="3"/>
      <c r="E1305" s="3"/>
      <c r="F1305" s="3"/>
      <c r="G1305" s="3"/>
      <c r="H1305" s="3"/>
      <c r="I1305" s="3"/>
      <c r="J1305" s="3"/>
      <c r="K1305" s="85"/>
      <c r="L1305" s="981" t="s">
        <v>533</v>
      </c>
      <c r="M1305" s="56"/>
      <c r="N1305" s="1325" t="s">
        <v>210</v>
      </c>
      <c r="O1305" s="1326"/>
      <c r="P1305" s="1326"/>
      <c r="Q1305" s="1326"/>
      <c r="R1305" s="1326"/>
      <c r="S1305" s="1326"/>
      <c r="T1305" s="1326"/>
      <c r="U1305" s="1327"/>
      <c r="V1305" s="3"/>
      <c r="W1305" s="45"/>
      <c r="X1305" s="962" t="s">
        <v>533</v>
      </c>
    </row>
    <row r="1306" spans="1:24" ht="11.25" customHeight="1">
      <c r="A1306" s="878">
        <v>52</v>
      </c>
      <c r="B1306" s="56"/>
      <c r="C1306" s="3"/>
      <c r="D1306" s="3"/>
      <c r="E1306" s="3"/>
      <c r="F1306" s="3"/>
      <c r="G1306" s="3"/>
      <c r="H1306" s="3"/>
      <c r="I1306" s="3"/>
      <c r="J1306" s="3"/>
      <c r="K1306" s="85"/>
      <c r="L1306" s="981" t="s">
        <v>533</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533</v>
      </c>
    </row>
    <row r="1307" spans="1:24" ht="11.25" customHeight="1">
      <c r="A1307" s="878">
        <v>53</v>
      </c>
      <c r="B1307" s="56"/>
      <c r="C1307" s="3"/>
      <c r="D1307" s="3"/>
      <c r="E1307" s="3"/>
      <c r="F1307" s="3"/>
      <c r="G1307" s="3"/>
      <c r="H1307" s="3"/>
      <c r="I1307" s="3"/>
      <c r="J1307" s="3"/>
      <c r="K1307" s="85"/>
      <c r="L1307" s="981" t="s">
        <v>533</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533</v>
      </c>
    </row>
    <row r="1308" spans="1:24" ht="11.25" customHeight="1" thickBot="1">
      <c r="A1308" s="878">
        <v>54</v>
      </c>
      <c r="B1308" s="56"/>
      <c r="C1308" s="3"/>
      <c r="D1308" s="3"/>
      <c r="E1308" s="3"/>
      <c r="F1308" s="3"/>
      <c r="G1308" s="3"/>
      <c r="H1308" s="3"/>
      <c r="I1308" s="3"/>
      <c r="J1308" s="3"/>
      <c r="K1308" s="85"/>
      <c r="L1308" s="981" t="s">
        <v>533</v>
      </c>
      <c r="M1308" s="56"/>
      <c r="N1308" s="400"/>
      <c r="O1308" s="6"/>
      <c r="P1308" s="1332" t="s">
        <v>209</v>
      </c>
      <c r="Q1308" s="1333">
        <f>MAX(O1288:O1291,Q1288:Q1291,S1288:S1291,U1288:U1291)-MIN(O1288:O1291,Q1288:Q1291,S1288:S1291,U1288:U1291)</f>
        <v>0</v>
      </c>
      <c r="R1308" s="6"/>
      <c r="S1308" s="6"/>
      <c r="T1308" s="6"/>
      <c r="U1308" s="1254"/>
      <c r="V1308" s="3"/>
      <c r="W1308" s="45"/>
      <c r="X1308" s="962" t="s">
        <v>533</v>
      </c>
    </row>
    <row r="1309" spans="1:24" ht="11.25" customHeight="1">
      <c r="A1309" s="878">
        <v>55</v>
      </c>
      <c r="B1309" s="56"/>
      <c r="C1309" s="3"/>
      <c r="D1309" s="3"/>
      <c r="E1309" s="3"/>
      <c r="F1309" s="3"/>
      <c r="G1309" s="3"/>
      <c r="H1309" s="3"/>
      <c r="I1309" s="3"/>
      <c r="J1309" s="3"/>
      <c r="K1309" s="85"/>
      <c r="L1309" s="981" t="s">
        <v>533</v>
      </c>
      <c r="M1309" s="56"/>
      <c r="N1309" s="3"/>
      <c r="O1309" s="3"/>
      <c r="P1309" s="3"/>
      <c r="Q1309" s="3"/>
      <c r="R1309" s="3"/>
      <c r="S1309" s="3"/>
      <c r="T1309" s="3"/>
      <c r="U1309" s="3"/>
      <c r="V1309" s="3"/>
      <c r="W1309" s="45"/>
      <c r="X1309" s="962" t="s">
        <v>533</v>
      </c>
    </row>
    <row r="1310" spans="1:24" ht="11.25" customHeight="1">
      <c r="A1310" s="878">
        <v>56</v>
      </c>
      <c r="B1310" s="56"/>
      <c r="C1310" s="3"/>
      <c r="D1310" s="3"/>
      <c r="E1310" s="3"/>
      <c r="F1310" s="3"/>
      <c r="G1310" s="3"/>
      <c r="H1310" s="3"/>
      <c r="I1310" s="3"/>
      <c r="J1310" s="3"/>
      <c r="K1310" s="85"/>
      <c r="L1310" s="981" t="s">
        <v>533</v>
      </c>
      <c r="M1310" s="56"/>
      <c r="N1310" s="3"/>
      <c r="O1310" s="3"/>
      <c r="P1310" s="3"/>
      <c r="Q1310" s="3"/>
      <c r="R1310" s="3"/>
      <c r="S1310" s="3"/>
      <c r="T1310" s="3"/>
      <c r="U1310" s="3"/>
      <c r="V1310" s="3"/>
      <c r="W1310" s="45"/>
      <c r="X1310" s="962" t="s">
        <v>533</v>
      </c>
    </row>
    <row r="1311" spans="1:24" ht="11.25" customHeight="1">
      <c r="A1311" s="878">
        <v>57</v>
      </c>
      <c r="B1311" s="159"/>
      <c r="C1311" s="67"/>
      <c r="D1311" s="67"/>
      <c r="E1311" s="67"/>
      <c r="F1311" s="67"/>
      <c r="G1311" s="67"/>
      <c r="H1311" s="67"/>
      <c r="I1311" s="67"/>
      <c r="J1311" s="67"/>
      <c r="K1311" s="85"/>
      <c r="L1311" s="981" t="s">
        <v>533</v>
      </c>
      <c r="M1311" s="159"/>
      <c r="N1311" s="67"/>
      <c r="O1311" s="67"/>
      <c r="P1311" s="67"/>
      <c r="Q1311" s="67"/>
      <c r="R1311" s="67"/>
      <c r="S1311" s="67"/>
      <c r="T1311" s="67"/>
      <c r="U1311" s="67"/>
      <c r="V1311" s="67"/>
      <c r="W1311" s="85"/>
      <c r="X1311" s="962" t="s">
        <v>533</v>
      </c>
    </row>
    <row r="1312" spans="1:24" ht="11.25" customHeight="1">
      <c r="A1312" s="878">
        <v>58</v>
      </c>
      <c r="B1312" s="159"/>
      <c r="C1312" s="67"/>
      <c r="D1312" s="67"/>
      <c r="E1312" s="67"/>
      <c r="F1312" s="67"/>
      <c r="G1312" s="67"/>
      <c r="H1312" s="67"/>
      <c r="I1312" s="67"/>
      <c r="J1312" s="67"/>
      <c r="K1312" s="85"/>
      <c r="L1312" s="981" t="s">
        <v>533</v>
      </c>
      <c r="M1312" s="159"/>
      <c r="N1312" s="67"/>
      <c r="O1312" s="67"/>
      <c r="P1312" s="67"/>
      <c r="Q1312" s="67"/>
      <c r="R1312" s="67"/>
      <c r="S1312" s="67"/>
      <c r="T1312" s="67"/>
      <c r="U1312" s="67"/>
      <c r="V1312" s="67"/>
      <c r="W1312" s="85"/>
      <c r="X1312" s="962" t="s">
        <v>533</v>
      </c>
    </row>
    <row r="1313" spans="1:24" ht="11.25" customHeight="1">
      <c r="A1313" s="878">
        <v>59</v>
      </c>
      <c r="B1313" s="159"/>
      <c r="C1313" s="67"/>
      <c r="D1313" s="67"/>
      <c r="E1313" s="67"/>
      <c r="F1313" s="67"/>
      <c r="G1313" s="67"/>
      <c r="H1313" s="67"/>
      <c r="I1313" s="67"/>
      <c r="J1313" s="67"/>
      <c r="K1313" s="85"/>
      <c r="L1313" s="981" t="s">
        <v>533</v>
      </c>
      <c r="M1313" s="159"/>
      <c r="N1313" s="67"/>
      <c r="O1313" s="67"/>
      <c r="P1313" s="67"/>
      <c r="Q1313" s="67"/>
      <c r="R1313" s="67"/>
      <c r="S1313" s="67"/>
      <c r="T1313" s="67"/>
      <c r="U1313" s="67"/>
      <c r="V1313" s="67"/>
      <c r="W1313" s="85"/>
      <c r="X1313" s="962" t="s">
        <v>533</v>
      </c>
    </row>
    <row r="1314" spans="1:24" ht="11.25" customHeight="1">
      <c r="A1314" s="878">
        <v>60</v>
      </c>
      <c r="B1314" s="159"/>
      <c r="C1314" s="67"/>
      <c r="D1314" s="67"/>
      <c r="E1314" s="67"/>
      <c r="F1314" s="67"/>
      <c r="G1314" s="67"/>
      <c r="H1314" s="67"/>
      <c r="I1314" s="67"/>
      <c r="J1314" s="67"/>
      <c r="K1314" s="85"/>
      <c r="L1314" s="981" t="s">
        <v>533</v>
      </c>
      <c r="M1314" s="159"/>
      <c r="N1314" s="67"/>
      <c r="O1314" s="67"/>
      <c r="P1314" s="67"/>
      <c r="Q1314" s="67"/>
      <c r="R1314" s="67"/>
      <c r="S1314" s="67"/>
      <c r="T1314" s="67"/>
      <c r="U1314" s="67"/>
      <c r="V1314" s="67"/>
      <c r="W1314" s="85"/>
      <c r="X1314" s="962" t="s">
        <v>533</v>
      </c>
    </row>
    <row r="1315" spans="1:24" ht="11.25" customHeight="1">
      <c r="A1315" s="878">
        <v>61</v>
      </c>
      <c r="B1315" s="159"/>
      <c r="C1315" s="67"/>
      <c r="D1315" s="67"/>
      <c r="E1315" s="67"/>
      <c r="F1315" s="67"/>
      <c r="G1315" s="67"/>
      <c r="H1315" s="67"/>
      <c r="I1315" s="67"/>
      <c r="J1315" s="67"/>
      <c r="K1315" s="85"/>
      <c r="L1315" s="981" t="s">
        <v>533</v>
      </c>
      <c r="M1315" s="159"/>
      <c r="N1315" s="67"/>
      <c r="O1315" s="67"/>
      <c r="P1315" s="67"/>
      <c r="Q1315" s="67"/>
      <c r="R1315" s="67"/>
      <c r="S1315" s="67"/>
      <c r="T1315" s="67"/>
      <c r="U1315" s="67"/>
      <c r="V1315" s="67"/>
      <c r="W1315" s="85"/>
      <c r="X1315" s="962" t="s">
        <v>533</v>
      </c>
    </row>
    <row r="1316" spans="1:24" ht="11.25" customHeight="1">
      <c r="A1316" s="878">
        <v>62</v>
      </c>
      <c r="B1316" s="159"/>
      <c r="C1316" s="67"/>
      <c r="D1316" s="67"/>
      <c r="E1316" s="67"/>
      <c r="F1316" s="67"/>
      <c r="G1316" s="67"/>
      <c r="H1316" s="67"/>
      <c r="I1316" s="67"/>
      <c r="J1316" s="67"/>
      <c r="K1316" s="85"/>
      <c r="L1316" s="981" t="s">
        <v>533</v>
      </c>
      <c r="M1316" s="159"/>
      <c r="N1316" s="67"/>
      <c r="O1316" s="67"/>
      <c r="P1316" s="67"/>
      <c r="Q1316" s="67"/>
      <c r="R1316" s="67"/>
      <c r="S1316" s="67"/>
      <c r="T1316" s="67"/>
      <c r="U1316" s="67"/>
      <c r="V1316" s="67"/>
      <c r="W1316" s="85"/>
      <c r="X1316" s="962" t="s">
        <v>533</v>
      </c>
    </row>
    <row r="1317" spans="1:24" ht="11.25" customHeight="1">
      <c r="A1317" s="878">
        <v>63</v>
      </c>
      <c r="B1317" s="159"/>
      <c r="C1317" s="67"/>
      <c r="D1317" s="67"/>
      <c r="E1317" s="67"/>
      <c r="F1317" s="67"/>
      <c r="G1317" s="67"/>
      <c r="H1317" s="67"/>
      <c r="I1317" s="67"/>
      <c r="J1317" s="67"/>
      <c r="K1317" s="85"/>
      <c r="L1317" s="981" t="s">
        <v>533</v>
      </c>
      <c r="M1317" s="159"/>
      <c r="N1317" s="67"/>
      <c r="O1317" s="67"/>
      <c r="P1317" s="67"/>
      <c r="Q1317" s="67"/>
      <c r="R1317" s="67"/>
      <c r="S1317" s="67"/>
      <c r="T1317" s="67"/>
      <c r="U1317" s="67"/>
      <c r="V1317" s="67"/>
      <c r="W1317" s="85"/>
      <c r="X1317" s="962" t="s">
        <v>533</v>
      </c>
    </row>
    <row r="1318" spans="1:24" ht="11.25" customHeight="1" thickBot="1">
      <c r="A1318" s="878">
        <v>64</v>
      </c>
      <c r="B1318" s="116"/>
      <c r="C1318" s="98"/>
      <c r="D1318" s="98"/>
      <c r="E1318" s="98"/>
      <c r="F1318" s="98"/>
      <c r="G1318" s="98"/>
      <c r="H1318" s="98"/>
      <c r="I1318" s="98"/>
      <c r="J1318" s="98"/>
      <c r="K1318" s="103"/>
      <c r="L1318" s="981" t="s">
        <v>533</v>
      </c>
      <c r="M1318" s="116"/>
      <c r="N1318" s="98"/>
      <c r="O1318" s="98"/>
      <c r="P1318" s="98"/>
      <c r="Q1318" s="98"/>
      <c r="R1318" s="98"/>
      <c r="S1318" s="98"/>
      <c r="T1318" s="98"/>
      <c r="U1318" s="98"/>
      <c r="V1318" s="98"/>
      <c r="W1318" s="103"/>
      <c r="X1318" s="962" t="s">
        <v>533</v>
      </c>
    </row>
    <row r="1319" spans="1:24" ht="11.25" customHeight="1" thickTop="1">
      <c r="A1319" s="878">
        <v>65</v>
      </c>
      <c r="B1319" s="64" t="str">
        <f t="array" ref="B1319:C1320">$B$65:$C$66</f>
        <v>Date:</v>
      </c>
      <c r="C1319" s="1467">
        <v>43039</v>
      </c>
      <c r="D1319" s="140"/>
      <c r="E1319" s="63"/>
      <c r="F1319" s="63"/>
      <c r="G1319" s="63"/>
      <c r="H1319" s="63"/>
      <c r="I1319" s="64" t="str">
        <f t="array" ref="I1319:J1320">$I$65:$J$66</f>
        <v>Inspector:</v>
      </c>
      <c r="J1319" s="565" t="str">
        <v>Eugene Mah</v>
      </c>
      <c r="L1319" s="981" t="s">
        <v>533</v>
      </c>
      <c r="X1319" s="962" t="s">
        <v>533</v>
      </c>
    </row>
    <row r="1320" spans="1:24" ht="11.25" customHeight="1">
      <c r="A1320" s="878">
        <v>66</v>
      </c>
      <c r="B1320" s="64" t="str">
        <v>Room Number:</v>
      </c>
      <c r="C1320" s="508" t="str">
        <v>Room 04 RT 127M - Tube 1</v>
      </c>
      <c r="D1320" s="67"/>
      <c r="E1320" s="63"/>
      <c r="F1320" s="63"/>
      <c r="G1320" s="63"/>
      <c r="H1320" s="63"/>
      <c r="I1320" s="64" t="str">
        <v>Survey ID:</v>
      </c>
      <c r="J1320" s="1475">
        <v>1976</v>
      </c>
      <c r="L1320" s="981" t="s">
        <v>533</v>
      </c>
      <c r="X1320" s="962" t="s">
        <v>533</v>
      </c>
    </row>
    <row r="1321" spans="1:24" ht="11.25" customHeight="1">
      <c r="A1321" s="878">
        <v>1</v>
      </c>
      <c r="B1321" s="1"/>
      <c r="C1321" s="1"/>
      <c r="D1321" s="1"/>
      <c r="E1321" s="1"/>
      <c r="H1321" s="1"/>
      <c r="I1321" s="1"/>
      <c r="J1321" s="1"/>
      <c r="K1321" s="165" t="str">
        <f>$F$2</f>
        <v>Medical University of South Carolina</v>
      </c>
      <c r="L1321" s="981" t="s">
        <v>533</v>
      </c>
      <c r="M1321" s="1"/>
      <c r="N1321" s="1"/>
      <c r="O1321" s="1"/>
      <c r="P1321" s="1"/>
      <c r="Q1321" s="1"/>
      <c r="S1321" s="1"/>
      <c r="T1321" s="1"/>
      <c r="U1321" s="1"/>
      <c r="V1321" s="1"/>
      <c r="W1321" s="165" t="str">
        <f>$F$2</f>
        <v>Medical University of South Carolina</v>
      </c>
      <c r="X1321" s="962" t="s">
        <v>533</v>
      </c>
    </row>
    <row r="1322" spans="1:24" ht="11.25" customHeight="1" thickBot="1">
      <c r="A1322" s="878">
        <v>2</v>
      </c>
      <c r="F1322" s="344" t="str">
        <f>$F$464</f>
        <v>Measurement Data</v>
      </c>
      <c r="K1322" s="166" t="str">
        <f>$F$5</f>
        <v>Radiographic System Compliance Inspection</v>
      </c>
      <c r="L1322" s="981" t="s">
        <v>533</v>
      </c>
      <c r="Q1322" s="344" t="str">
        <f>$F$464</f>
        <v>Measurement Data</v>
      </c>
      <c r="R1322" s="55"/>
      <c r="W1322" s="166" t="str">
        <f>$F$5</f>
        <v>Radiographic System Compliance Inspection</v>
      </c>
      <c r="X1322" s="962" t="s">
        <v>533</v>
      </c>
    </row>
    <row r="1323" spans="1:24" ht="11.25" customHeight="1" thickTop="1" thickBot="1">
      <c r="A1323" s="878">
        <v>3</v>
      </c>
      <c r="F1323" s="54"/>
      <c r="L1323" s="981" t="s">
        <v>533</v>
      </c>
      <c r="M1323" s="93"/>
      <c r="N1323" s="76"/>
      <c r="O1323" s="76"/>
      <c r="P1323" s="76"/>
      <c r="Q1323" s="1278" t="s">
        <v>371</v>
      </c>
      <c r="R1323" s="1279"/>
      <c r="S1323" s="76"/>
      <c r="T1323" s="76"/>
      <c r="U1323" s="76"/>
      <c r="V1323" s="76"/>
      <c r="W1323" s="94"/>
      <c r="X1323" s="962" t="s">
        <v>533</v>
      </c>
    </row>
    <row r="1324" spans="1:24" ht="11.25" customHeight="1" thickTop="1">
      <c r="A1324" s="878">
        <v>4</v>
      </c>
      <c r="B1324" s="93"/>
      <c r="C1324" s="76"/>
      <c r="D1324" s="76"/>
      <c r="E1324" s="76"/>
      <c r="F1324" s="76"/>
      <c r="G1324" s="76"/>
      <c r="H1324" s="76"/>
      <c r="I1324" s="76"/>
      <c r="J1324" s="76"/>
      <c r="K1324" s="94"/>
      <c r="L1324" s="981" t="s">
        <v>533</v>
      </c>
      <c r="M1324" s="159"/>
      <c r="N1324" s="67"/>
      <c r="O1324" s="67"/>
      <c r="P1324" s="67"/>
      <c r="Q1324" s="67"/>
      <c r="R1324" s="1264" t="s">
        <v>448</v>
      </c>
      <c r="S1324" s="1264" t="s">
        <v>748</v>
      </c>
      <c r="T1324" s="67"/>
      <c r="U1324" s="67"/>
      <c r="V1324" s="67"/>
      <c r="W1324" s="85"/>
      <c r="X1324" s="962" t="s">
        <v>533</v>
      </c>
    </row>
    <row r="1325" spans="1:24" ht="11.25" customHeight="1">
      <c r="A1325" s="878">
        <v>5</v>
      </c>
      <c r="B1325" s="277"/>
      <c r="C1325" s="67"/>
      <c r="D1325" s="67"/>
      <c r="E1325" s="67"/>
      <c r="F1325" s="389" t="str">
        <f>$Q$1323</f>
        <v>PHOTOTIMING WALL BUCKY - COMPUTED RADIOGRAPHY</v>
      </c>
      <c r="G1325" s="67"/>
      <c r="H1325" s="67"/>
      <c r="I1325" s="67"/>
      <c r="J1325" s="67"/>
      <c r="K1325" s="85"/>
      <c r="L1325" s="981" t="s">
        <v>533</v>
      </c>
      <c r="M1325" s="466" t="s">
        <v>364</v>
      </c>
      <c r="N1325" s="65"/>
      <c r="O1325" s="67"/>
      <c r="P1325" s="67"/>
      <c r="Q1325" s="1277" t="s">
        <v>739</v>
      </c>
      <c r="R1325" s="1265" t="str">
        <f>IF(S1325&lt;&gt;"",S1325&amp;" "&amp;WBCM_IN,IF(OR(AB555=0,AB555=""),M1201&amp;" "&amp;WBCM_IN,AB555))</f>
        <v xml:space="preserve"> cm</v>
      </c>
      <c r="S1325" s="1266"/>
      <c r="T1325" s="67"/>
      <c r="U1325" s="67"/>
      <c r="V1325" s="67"/>
      <c r="W1325" s="85"/>
      <c r="X1325" s="962" t="s">
        <v>533</v>
      </c>
    </row>
    <row r="1326" spans="1:24" ht="11.25" customHeight="1">
      <c r="A1326" s="878">
        <v>6</v>
      </c>
      <c r="B1326" s="466" t="s">
        <v>364</v>
      </c>
      <c r="C1326" s="65"/>
      <c r="D1326" s="65"/>
      <c r="E1326" s="67"/>
      <c r="F1326" s="67"/>
      <c r="G1326" s="67"/>
      <c r="H1326" s="67"/>
      <c r="I1326" s="67"/>
      <c r="J1326" s="67"/>
      <c r="K1326" s="85"/>
      <c r="L1326" s="981" t="s">
        <v>533</v>
      </c>
      <c r="M1326" s="264" t="s">
        <v>539</v>
      </c>
      <c r="N1326" s="67"/>
      <c r="O1326" s="65"/>
      <c r="P1326" s="67"/>
      <c r="Q1326" s="43" t="s">
        <v>291</v>
      </c>
      <c r="R1326" s="1269" t="str">
        <f>IF(S1326&lt;&gt;"",S1326,IF(OR(AB556=0,AB556=""),N1201,AB556))</f>
        <v/>
      </c>
      <c r="S1326" s="1270"/>
      <c r="T1326" s="67"/>
      <c r="U1326" s="67"/>
      <c r="V1326" s="1024" t="s">
        <v>495</v>
      </c>
      <c r="W1326" s="1062" t="str">
        <f>IF(OR(AB522=0,AB522=""),"",AB522)</f>
        <v/>
      </c>
      <c r="X1326" s="962" t="s">
        <v>533</v>
      </c>
    </row>
    <row r="1327" spans="1:24" ht="11.25" customHeight="1" thickBot="1">
      <c r="A1327" s="878">
        <v>7</v>
      </c>
      <c r="B1327" s="481" t="s">
        <v>322</v>
      </c>
      <c r="C1327" s="480" t="str">
        <f>IF(M1327=1,N1327&amp;IF(M1328=1,"/"&amp;N1328,""),IF(M1328=1,N1328,""))</f>
        <v/>
      </c>
      <c r="D1327" s="67"/>
      <c r="E1327" s="67"/>
      <c r="F1327" s="67"/>
      <c r="G1327" s="67"/>
      <c r="H1327" s="67"/>
      <c r="I1327" s="67"/>
      <c r="J1327" s="67"/>
      <c r="K1327" s="85"/>
      <c r="L1327" s="981" t="s">
        <v>533</v>
      </c>
      <c r="M1327" s="933"/>
      <c r="N1327" s="246" t="s">
        <v>440</v>
      </c>
      <c r="O1327" s="67"/>
      <c r="P1327" s="67"/>
      <c r="Q1327" s="43" t="s">
        <v>735</v>
      </c>
      <c r="R1327" s="1263" t="str">
        <f>IF(S1327&lt;&gt;"",S1327,IF(OR(AB557=0,AB557=""),M1206,AB557))</f>
        <v/>
      </c>
      <c r="S1327" s="1268"/>
      <c r="T1327" s="187" t="s">
        <v>738</v>
      </c>
      <c r="U1327" s="928"/>
      <c r="V1327" s="1124" t="s">
        <v>362</v>
      </c>
      <c r="W1327" s="1147"/>
      <c r="X1327" s="962" t="s">
        <v>533</v>
      </c>
    </row>
    <row r="1328" spans="1:24" ht="11.25" customHeight="1" thickBot="1">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533</v>
      </c>
      <c r="M1328" s="933"/>
      <c r="N1328" s="246" t="s">
        <v>476</v>
      </c>
      <c r="O1328" s="67"/>
      <c r="P1328" s="67"/>
      <c r="Q1328" s="43" t="s">
        <v>293</v>
      </c>
      <c r="R1328" s="1262" t="str">
        <f>IF(S1328&lt;&gt;"",S1328,IF(OR(AB558=0,AB558=""),N1206,AB558))</f>
        <v/>
      </c>
      <c r="S1328" s="1266"/>
      <c r="T1328" s="1699" t="s">
        <v>699</v>
      </c>
      <c r="U1328" s="1700"/>
      <c r="V1328" s="1076" t="s">
        <v>698</v>
      </c>
      <c r="W1328" s="1060" t="str">
        <f>IF($W$1327="","TBD",IF(AND(M1327=1,M1328&lt;&gt;1),IF(AND($W$1327&gt;=150,$W$1327&lt;=250),"YES","NO"),IF(AND(M1327&lt;&gt;1,M1328=1),IF(AND($W$1327&gt;=75,$W$1327&lt;=125),"YES","NO"),IF(AND($W$1327&gt;=75,$W$1327&lt;=250),"YES","NO"))))</f>
        <v>TBD</v>
      </c>
      <c r="X1328" s="962" t="s">
        <v>533</v>
      </c>
    </row>
    <row r="1329" spans="1:24" ht="11.25" customHeight="1">
      <c r="A1329" s="878">
        <v>9</v>
      </c>
      <c r="B1329" s="159"/>
      <c r="C1329" s="67"/>
      <c r="D1329" s="67"/>
      <c r="E1329" s="67"/>
      <c r="F1329" s="67"/>
      <c r="G1329" s="391" t="str">
        <f>IF(U1327="","mAs:_______","mAs:  "&amp;U1327)</f>
        <v>mAs:_______</v>
      </c>
      <c r="H1329" s="67"/>
      <c r="I1329" s="67"/>
      <c r="J1329" s="67"/>
      <c r="K1329" s="85"/>
      <c r="L1329" s="981" t="s">
        <v>533</v>
      </c>
      <c r="M1329" s="159"/>
      <c r="N1329" s="67"/>
      <c r="O1329" s="67"/>
      <c r="P1329" s="67"/>
      <c r="Q1329" s="67"/>
      <c r="R1329" s="67"/>
      <c r="S1329" s="166"/>
      <c r="T1329" s="702" t="s">
        <v>442</v>
      </c>
      <c r="U1329" s="246" t="s">
        <v>408</v>
      </c>
      <c r="V1329" s="67"/>
      <c r="W1329" s="85"/>
      <c r="X1329" s="962" t="s">
        <v>533</v>
      </c>
    </row>
    <row r="1330" spans="1:24" ht="11.25" customHeight="1">
      <c r="A1330" s="878">
        <v>10</v>
      </c>
      <c r="B1330" s="159"/>
      <c r="C1330" s="166"/>
      <c r="D1330" s="702" t="s">
        <v>411</v>
      </c>
      <c r="E1330" s="246" t="str">
        <f>U1329</f>
        <v>150&lt;=Sensitivity&lt;=250</v>
      </c>
      <c r="F1330" s="67"/>
      <c r="G1330" s="67"/>
      <c r="H1330" s="67"/>
      <c r="I1330" s="67"/>
      <c r="J1330" s="67"/>
      <c r="K1330" s="85"/>
      <c r="L1330" s="981" t="s">
        <v>533</v>
      </c>
      <c r="M1330" s="159"/>
      <c r="N1330" s="67"/>
      <c r="O1330" s="67"/>
      <c r="P1330" s="67"/>
      <c r="Q1330" s="3"/>
      <c r="R1330" s="67"/>
      <c r="S1330" s="67"/>
      <c r="T1330" s="702" t="s">
        <v>409</v>
      </c>
      <c r="U1330" s="246" t="s">
        <v>478</v>
      </c>
      <c r="V1330" s="67"/>
      <c r="W1330" s="85"/>
      <c r="X1330" s="962" t="s">
        <v>533</v>
      </c>
    </row>
    <row r="1331" spans="1:24" ht="11.25" customHeight="1">
      <c r="A1331" s="878">
        <v>11</v>
      </c>
      <c r="B1331" s="159"/>
      <c r="C1331" s="67"/>
      <c r="D1331" s="702" t="s">
        <v>409</v>
      </c>
      <c r="E1331" s="246" t="str">
        <f>U1330</f>
        <v xml:space="preserve"> 75&lt;=Sensitivity&lt;=125</v>
      </c>
      <c r="F1331" s="67"/>
      <c r="G1331" s="67"/>
      <c r="H1331" s="67"/>
      <c r="I1331" s="67"/>
      <c r="J1331" s="67"/>
      <c r="K1331" s="85"/>
      <c r="L1331" s="981" t="s">
        <v>533</v>
      </c>
      <c r="M1331" s="159"/>
      <c r="N1331" s="67"/>
      <c r="O1331" s="67"/>
      <c r="P1331" s="67"/>
      <c r="Q1331" s="67"/>
      <c r="R1331" s="67"/>
      <c r="S1331" s="67"/>
      <c r="T1331" s="67"/>
      <c r="U1331" s="67"/>
      <c r="V1331" s="67"/>
      <c r="W1331" s="85"/>
      <c r="X1331" s="962" t="s">
        <v>533</v>
      </c>
    </row>
    <row r="1332" spans="1:24" ht="11.25" customHeight="1">
      <c r="A1332" s="878">
        <v>12</v>
      </c>
      <c r="B1332" s="395" t="s">
        <v>294</v>
      </c>
      <c r="C1332" s="280"/>
      <c r="D1332" s="280"/>
      <c r="E1332" s="43" t="s">
        <v>735</v>
      </c>
      <c r="F1332" s="41" t="str">
        <f>IF(R1332="","",R1332)</f>
        <v/>
      </c>
      <c r="G1332" s="3"/>
      <c r="H1332" s="43" t="s">
        <v>295</v>
      </c>
      <c r="I1332" s="2" t="str">
        <f>IF(U1332="","              in.",ROUND(U1332,2)&amp;" in.")</f>
        <v xml:space="preserve">              in.</v>
      </c>
      <c r="J1332" s="67"/>
      <c r="K1332" s="85"/>
      <c r="L1332" s="981" t="s">
        <v>533</v>
      </c>
      <c r="M1332" s="395" t="s">
        <v>294</v>
      </c>
      <c r="N1332" s="4"/>
      <c r="O1332" s="4"/>
      <c r="P1332" s="392"/>
      <c r="Q1332" s="43" t="s">
        <v>735</v>
      </c>
      <c r="R1332" s="1117" t="str">
        <f>IF(R1327="","",R1327)</f>
        <v/>
      </c>
      <c r="S1332" s="3"/>
      <c r="T1332" s="43" t="s">
        <v>295</v>
      </c>
      <c r="U1332" s="1116" t="str">
        <f>IF(R1328="","",R1328)</f>
        <v/>
      </c>
      <c r="V1332" s="62" t="s">
        <v>283</v>
      </c>
      <c r="W1332" s="45"/>
      <c r="X1332" s="962" t="s">
        <v>533</v>
      </c>
    </row>
    <row r="1333" spans="1:24" ht="11.25" customHeight="1">
      <c r="A1333" s="878">
        <v>13</v>
      </c>
      <c r="B1333" s="159"/>
      <c r="C1333" s="3"/>
      <c r="D1333" s="3"/>
      <c r="E1333" s="43" t="s">
        <v>739</v>
      </c>
      <c r="F1333" s="2" t="str">
        <f>IF(R1333="","",R1333)</f>
        <v xml:space="preserve"> cm</v>
      </c>
      <c r="G1333" s="3"/>
      <c r="H1333" s="43" t="s">
        <v>669</v>
      </c>
      <c r="I1333" s="12" t="str">
        <f>IF(U1333="","",U1333)</f>
        <v>DR/</v>
      </c>
      <c r="J1333" s="67"/>
      <c r="K1333" s="85"/>
      <c r="L1333" s="981" t="s">
        <v>533</v>
      </c>
      <c r="M1333" s="159"/>
      <c r="N1333" s="3"/>
      <c r="O1333" s="3"/>
      <c r="P1333" s="3"/>
      <c r="Q1333" s="43" t="s">
        <v>739</v>
      </c>
      <c r="R1333" s="1122" t="str">
        <f>IF(R1325="","",R1325)</f>
        <v xml:space="preserve"> cm</v>
      </c>
      <c r="S1333" s="3"/>
      <c r="T1333" s="43" t="s">
        <v>669</v>
      </c>
      <c r="U1333" s="1123" t="str">
        <f>IF($T$32="","",$T$32&amp;"/"&amp;$T$33)</f>
        <v>DR/</v>
      </c>
      <c r="V1333" s="4"/>
      <c r="W1333" s="85"/>
      <c r="X1333" s="962" t="s">
        <v>533</v>
      </c>
    </row>
    <row r="1334" spans="1:24" ht="11.25" customHeight="1">
      <c r="A1334" s="878">
        <v>14</v>
      </c>
      <c r="B1334" s="278" t="s">
        <v>296</v>
      </c>
      <c r="C1334" s="280" t="s">
        <v>297</v>
      </c>
      <c r="D1334" s="280"/>
      <c r="E1334" s="280" t="s">
        <v>298</v>
      </c>
      <c r="F1334" s="280"/>
      <c r="G1334" s="280" t="s">
        <v>299</v>
      </c>
      <c r="H1334" s="280"/>
      <c r="I1334" s="3"/>
      <c r="J1334" s="3"/>
      <c r="K1334" s="85"/>
      <c r="L1334" s="981" t="s">
        <v>533</v>
      </c>
      <c r="M1334" s="278"/>
      <c r="N1334" s="60" t="s">
        <v>296</v>
      </c>
      <c r="O1334" s="280" t="s">
        <v>297</v>
      </c>
      <c r="P1334" s="280"/>
      <c r="Q1334" s="280" t="s">
        <v>298</v>
      </c>
      <c r="R1334" s="280"/>
      <c r="S1334" s="280" t="s">
        <v>299</v>
      </c>
      <c r="T1334" s="280"/>
      <c r="U1334" s="3"/>
      <c r="V1334" s="3"/>
      <c r="W1334" s="45"/>
      <c r="X1334" s="962" t="s">
        <v>533</v>
      </c>
    </row>
    <row r="1335" spans="1:24" ht="11.25" customHeight="1" thickBot="1">
      <c r="A1335" s="878">
        <v>15</v>
      </c>
      <c r="B1335" s="56"/>
      <c r="C1335" s="7" t="s">
        <v>361</v>
      </c>
      <c r="D1335" s="26" t="str">
        <f>Time_mAs</f>
        <v>mAs</v>
      </c>
      <c r="E1335" s="8" t="s">
        <v>361</v>
      </c>
      <c r="F1335" s="26" t="str">
        <f>Time_mAs</f>
        <v>mAs</v>
      </c>
      <c r="G1335" s="8" t="s">
        <v>361</v>
      </c>
      <c r="H1335" s="31" t="str">
        <f>Time_mAs</f>
        <v>mAs</v>
      </c>
      <c r="I1335" s="3"/>
      <c r="J1335" s="3"/>
      <c r="K1335" s="85"/>
      <c r="L1335" s="981" t="s">
        <v>533</v>
      </c>
      <c r="M1335" s="56"/>
      <c r="N1335" s="67"/>
      <c r="O1335" s="8" t="s">
        <v>361</v>
      </c>
      <c r="P1335" s="26" t="str">
        <f>IF(Time_mAs="","Blank",Time_mAs)</f>
        <v>mAs</v>
      </c>
      <c r="Q1335" s="8" t="s">
        <v>361</v>
      </c>
      <c r="R1335" s="26" t="str">
        <f>IF(Time_mAs="","Blank",Time_mAs)</f>
        <v>mAs</v>
      </c>
      <c r="S1335" s="8" t="s">
        <v>361</v>
      </c>
      <c r="T1335" s="26" t="str">
        <f>IF(Time_mAs="","Blank",Time_mAs)</f>
        <v>mAs</v>
      </c>
      <c r="U1335" s="3"/>
      <c r="V1335" s="3"/>
      <c r="W1335" s="45"/>
      <c r="X1335" s="962" t="s">
        <v>533</v>
      </c>
    </row>
    <row r="1336" spans="1:24" ht="11.25" customHeight="1">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533</v>
      </c>
      <c r="M1336" s="56"/>
      <c r="N1336" s="67"/>
      <c r="O1336" s="1338"/>
      <c r="P1336" s="1342"/>
      <c r="Q1336" s="1338" t="str">
        <f>IF(W1327="","",W1327)</f>
        <v/>
      </c>
      <c r="R1336" s="1342" t="str">
        <f>IF(U1327="","",U1327)</f>
        <v/>
      </c>
      <c r="S1336" s="1338"/>
      <c r="T1336" s="1342"/>
      <c r="U1336" s="3"/>
      <c r="V1336" s="3"/>
      <c r="W1336" s="45"/>
      <c r="X1336" s="962" t="s">
        <v>533</v>
      </c>
    </row>
    <row r="1337" spans="1:24" ht="11.25" customHeight="1">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533</v>
      </c>
      <c r="M1337" s="56"/>
      <c r="N1337" s="67"/>
      <c r="O1337" s="1338"/>
      <c r="P1337" s="1342"/>
      <c r="Q1337" s="1338"/>
      <c r="R1337" s="1342"/>
      <c r="S1337" s="1338"/>
      <c r="T1337" s="1342"/>
      <c r="U1337" s="3"/>
      <c r="V1337" s="3"/>
      <c r="W1337" s="45"/>
      <c r="X1337" s="962" t="s">
        <v>533</v>
      </c>
    </row>
    <row r="1338" spans="1:24" ht="11.25" customHeight="1">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533</v>
      </c>
      <c r="M1338" s="56"/>
      <c r="N1338" s="67"/>
      <c r="O1338" s="1338"/>
      <c r="P1338" s="1342"/>
      <c r="Q1338" s="1338"/>
      <c r="R1338" s="1342"/>
      <c r="S1338" s="1338"/>
      <c r="T1338" s="1342"/>
      <c r="U1338" s="3"/>
      <c r="V1338" s="3"/>
      <c r="W1338" s="45"/>
      <c r="X1338" s="962" t="s">
        <v>533</v>
      </c>
    </row>
    <row r="1339" spans="1:24" ht="11.25" customHeight="1">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533</v>
      </c>
      <c r="M1339" s="56"/>
      <c r="N1339" s="67"/>
      <c r="O1339" s="1338"/>
      <c r="P1339" s="1342"/>
      <c r="Q1339" s="1338"/>
      <c r="R1339" s="1342"/>
      <c r="S1339" s="1338"/>
      <c r="T1339" s="1342"/>
      <c r="U1339" s="3"/>
      <c r="V1339" s="3"/>
      <c r="W1339" s="45"/>
      <c r="X1339" s="962" t="s">
        <v>533</v>
      </c>
    </row>
    <row r="1340" spans="1:24" ht="11.25" customHeight="1">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533</v>
      </c>
      <c r="M1340" s="56"/>
      <c r="N1340" s="67"/>
      <c r="O1340" s="1338"/>
      <c r="P1340" s="1342"/>
      <c r="Q1340" s="1338"/>
      <c r="R1340" s="1342"/>
      <c r="S1340" s="1338"/>
      <c r="T1340" s="1342"/>
      <c r="U1340" s="3"/>
      <c r="V1340" s="3"/>
      <c r="W1340" s="45"/>
      <c r="X1340" s="962" t="s">
        <v>533</v>
      </c>
    </row>
    <row r="1341" spans="1:24" ht="11.25" customHeight="1">
      <c r="A1341" s="878">
        <v>21</v>
      </c>
      <c r="B1341" s="159"/>
      <c r="C1341" s="67"/>
      <c r="D1341" s="67"/>
      <c r="E1341" s="67"/>
      <c r="F1341" s="67"/>
      <c r="G1341" s="67"/>
      <c r="H1341" s="67"/>
      <c r="I1341" s="67"/>
      <c r="J1341" s="67"/>
      <c r="K1341" s="85"/>
      <c r="L1341" s="981" t="s">
        <v>533</v>
      </c>
      <c r="M1341" s="159"/>
      <c r="N1341" s="67"/>
      <c r="O1341" s="67"/>
      <c r="P1341" s="67"/>
      <c r="Q1341" s="67"/>
      <c r="R1341" s="67"/>
      <c r="S1341" s="67"/>
      <c r="T1341" s="67"/>
      <c r="U1341" s="67"/>
      <c r="V1341" s="67"/>
      <c r="W1341" s="85"/>
      <c r="X1341" s="962" t="s">
        <v>533</v>
      </c>
    </row>
    <row r="1342" spans="1:24" ht="11.25" customHeight="1">
      <c r="A1342" s="878">
        <v>22</v>
      </c>
      <c r="B1342" s="393" t="s">
        <v>152</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300</v>
      </c>
      <c r="K1342" s="340"/>
      <c r="L1342" s="981" t="s">
        <v>533</v>
      </c>
      <c r="M1342" s="56"/>
      <c r="N1342" s="563" t="s">
        <v>152</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300</v>
      </c>
      <c r="W1342" s="340"/>
      <c r="X1342" s="962" t="s">
        <v>533</v>
      </c>
    </row>
    <row r="1343" spans="1:24" ht="11.25" customHeight="1">
      <c r="A1343" s="878">
        <v>23</v>
      </c>
      <c r="B1343" s="278" t="s">
        <v>301</v>
      </c>
      <c r="C1343" s="25" t="str">
        <f t="shared" si="185"/>
        <v/>
      </c>
      <c r="D1343" s="28" t="str">
        <f t="shared" si="185"/>
        <v/>
      </c>
      <c r="E1343" s="27" t="str">
        <f t="shared" si="185"/>
        <v/>
      </c>
      <c r="F1343" s="28" t="str">
        <f t="shared" si="185"/>
        <v/>
      </c>
      <c r="G1343" s="27" t="str">
        <f t="shared" si="185"/>
        <v/>
      </c>
      <c r="H1343" s="25" t="str">
        <f t="shared" si="185"/>
        <v/>
      </c>
      <c r="I1343" s="67"/>
      <c r="J1343" s="23" t="s">
        <v>365</v>
      </c>
      <c r="K1343" s="608" t="s">
        <v>366</v>
      </c>
      <c r="L1343" s="981" t="s">
        <v>533</v>
      </c>
      <c r="M1343" s="56"/>
      <c r="N1343" s="564" t="s">
        <v>301</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365</v>
      </c>
      <c r="W1343" s="608" t="s">
        <v>366</v>
      </c>
      <c r="X1343" s="962" t="s">
        <v>533</v>
      </c>
    </row>
    <row r="1344" spans="1:24" ht="11.25" customHeight="1" thickBot="1">
      <c r="A1344" s="878">
        <v>24</v>
      </c>
      <c r="B1344" s="278" t="s">
        <v>303</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533</v>
      </c>
      <c r="M1344" s="396"/>
      <c r="N1344" s="564" t="s">
        <v>303</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533</v>
      </c>
    </row>
    <row r="1345" spans="1:29" ht="11.25" customHeight="1" thickBot="1">
      <c r="A1345" s="878">
        <v>25</v>
      </c>
      <c r="B1345" s="382" t="s">
        <v>698</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698</v>
      </c>
      <c r="J1345" s="435" t="str">
        <f t="shared" si="188"/>
        <v>TBD</v>
      </c>
      <c r="K1345" s="100"/>
      <c r="L1345" s="981" t="s">
        <v>533</v>
      </c>
      <c r="M1345" s="56"/>
      <c r="N1345" s="1108" t="s">
        <v>698</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698</v>
      </c>
      <c r="V1345" s="1056" t="str">
        <f>IF(V1344="TBD","TBD",IF(AND(O1342="",Q1342="",S1342=""),IF(ROUND(100*(MAX(P1342,R1342,T1342)-MIN(P1342,R1342,T1342))/AVERAGE(P1342,R1342,T1342),2)&lt;=35,"YES","NO"),IF(AND($W$1344&lt;=$V$1347,ROUND(100*(MAX(O1342,Q1342,S1342)-MIN(O1342,Q1342,S1342))/AVERAGE(O1342,Q1342,S1342),2)&lt;=35),"YES","NO")))</f>
        <v>TBD</v>
      </c>
      <c r="W1345" s="45"/>
      <c r="X1345" s="962" t="s">
        <v>533</v>
      </c>
    </row>
    <row r="1346" spans="1:29" ht="11.25" customHeight="1" thickBot="1">
      <c r="A1346" s="878">
        <v>26</v>
      </c>
      <c r="B1346" s="159"/>
      <c r="C1346" s="67"/>
      <c r="D1346" s="67"/>
      <c r="E1346" s="67"/>
      <c r="F1346" s="67"/>
      <c r="G1346" s="67"/>
      <c r="H1346" s="67"/>
      <c r="I1346" s="67"/>
      <c r="J1346" s="628" t="str">
        <f t="shared" si="188"/>
        <v>NOTE: Density step 1 produced a TBD % change</v>
      </c>
      <c r="K1346" s="85"/>
      <c r="L1346" s="981" t="s">
        <v>533</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533</v>
      </c>
    </row>
    <row r="1347" spans="1:29" ht="11.25" customHeight="1" thickBot="1">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533</v>
      </c>
      <c r="M1347" s="159"/>
      <c r="N1347" s="67"/>
      <c r="O1347" s="166"/>
      <c r="P1347" s="166"/>
      <c r="Q1347" s="67"/>
      <c r="R1347" s="67"/>
      <c r="S1347" s="67"/>
      <c r="T1347" s="67"/>
      <c r="U1347" s="166" t="s">
        <v>1187</v>
      </c>
      <c r="V1347" s="1458">
        <v>50</v>
      </c>
      <c r="W1347" s="45"/>
      <c r="X1347" s="962" t="s">
        <v>533</v>
      </c>
    </row>
    <row r="1348" spans="1:29" ht="11.25" customHeight="1">
      <c r="A1348" s="878">
        <v>28</v>
      </c>
      <c r="B1348" s="159"/>
      <c r="C1348" s="67"/>
      <c r="D1348" s="464">
        <f>$P$1348</f>
        <v>0</v>
      </c>
      <c r="E1348" s="119">
        <f>$Q$1348</f>
        <v>0</v>
      </c>
      <c r="F1348" s="67"/>
      <c r="G1348" s="67"/>
      <c r="H1348" s="67"/>
      <c r="I1348" s="67"/>
      <c r="J1348" s="67"/>
      <c r="K1348" s="85"/>
      <c r="L1348" s="981" t="s">
        <v>533</v>
      </c>
      <c r="M1348" s="159"/>
      <c r="N1348" s="67"/>
      <c r="O1348" s="67"/>
      <c r="P1348" s="464"/>
      <c r="Q1348" s="119"/>
      <c r="R1348" s="67"/>
      <c r="S1348" s="67"/>
      <c r="T1348" s="67"/>
      <c r="U1348" s="166" t="s">
        <v>1188</v>
      </c>
      <c r="V1348" s="67"/>
      <c r="W1348" s="45"/>
      <c r="X1348" s="962" t="s">
        <v>533</v>
      </c>
    </row>
    <row r="1349" spans="1:29" ht="11.25" customHeight="1">
      <c r="A1349" s="878">
        <v>29</v>
      </c>
      <c r="B1349" s="159"/>
      <c r="C1349" s="67"/>
      <c r="D1349" s="67"/>
      <c r="E1349" s="464"/>
      <c r="F1349" s="119"/>
      <c r="G1349" s="67"/>
      <c r="H1349" s="67"/>
      <c r="I1349" s="67"/>
      <c r="J1349" s="67"/>
      <c r="K1349" s="85"/>
      <c r="L1349" s="981" t="s">
        <v>533</v>
      </c>
      <c r="M1349" s="159"/>
      <c r="N1349" s="67"/>
      <c r="O1349" s="67"/>
      <c r="P1349" s="67"/>
      <c r="Q1349" s="67"/>
      <c r="R1349" s="67"/>
      <c r="S1349" s="67"/>
      <c r="T1349" s="67"/>
      <c r="U1349" s="67"/>
      <c r="V1349" s="67"/>
      <c r="W1349" s="45"/>
      <c r="X1349" s="962" t="s">
        <v>533</v>
      </c>
    </row>
    <row r="1350" spans="1:29" ht="11.25" customHeight="1">
      <c r="A1350" s="878">
        <v>30</v>
      </c>
      <c r="B1350" s="277" t="s">
        <v>307</v>
      </c>
      <c r="C1350" s="3"/>
      <c r="D1350" s="3"/>
      <c r="E1350" s="3"/>
      <c r="F1350" s="3"/>
      <c r="G1350" s="3"/>
      <c r="H1350" s="3"/>
      <c r="I1350" s="3"/>
      <c r="J1350" s="3"/>
      <c r="K1350" s="85"/>
      <c r="L1350" s="981" t="s">
        <v>533</v>
      </c>
      <c r="M1350" s="159"/>
      <c r="N1350" s="504" t="s">
        <v>307</v>
      </c>
      <c r="O1350" s="3"/>
      <c r="P1350" s="3"/>
      <c r="Q1350" s="3"/>
      <c r="R1350" s="511"/>
      <c r="S1350" s="3"/>
      <c r="T1350" s="3"/>
      <c r="U1350" s="3"/>
      <c r="V1350" s="3"/>
      <c r="W1350" s="45"/>
      <c r="X1350" s="962" t="s">
        <v>533</v>
      </c>
    </row>
    <row r="1351" spans="1:29" ht="11.25" customHeight="1">
      <c r="A1351" s="878">
        <v>31</v>
      </c>
      <c r="B1351" s="56"/>
      <c r="C1351" s="43" t="s">
        <v>739</v>
      </c>
      <c r="D1351" s="2" t="str">
        <f>IF(P1351="","",P1351)</f>
        <v xml:space="preserve"> cm</v>
      </c>
      <c r="E1351" s="3"/>
      <c r="F1351" s="43" t="s">
        <v>308</v>
      </c>
      <c r="G1351" s="2" t="str">
        <f>IF(S1351="","",S1351)</f>
        <v/>
      </c>
      <c r="H1351" s="3"/>
      <c r="I1351" s="43" t="s">
        <v>309</v>
      </c>
      <c r="J1351" s="2" t="str">
        <f>IF(V1351="","",V1351)</f>
        <v/>
      </c>
      <c r="K1351" s="85"/>
      <c r="L1351" s="981" t="s">
        <v>533</v>
      </c>
      <c r="M1351" s="159"/>
      <c r="N1351" s="3"/>
      <c r="O1351" s="43" t="s">
        <v>739</v>
      </c>
      <c r="P1351" s="1116" t="str">
        <f>$R$1325</f>
        <v xml:space="preserve"> cm</v>
      </c>
      <c r="Q1351" s="3"/>
      <c r="R1351" s="43" t="s">
        <v>308</v>
      </c>
      <c r="S1351" s="1116" t="str">
        <f>$R$1326</f>
        <v/>
      </c>
      <c r="T1351" s="3"/>
      <c r="U1351" s="43" t="s">
        <v>309</v>
      </c>
      <c r="V1351" s="1117" t="str">
        <f>IF($O$1225="","",$O$1225)</f>
        <v/>
      </c>
      <c r="W1351" s="45"/>
      <c r="X1351" s="962" t="s">
        <v>533</v>
      </c>
      <c r="AC1351"/>
    </row>
    <row r="1352" spans="1:29" ht="11.25" customHeight="1">
      <c r="A1352" s="878">
        <v>32</v>
      </c>
      <c r="B1352" s="56" t="s">
        <v>310</v>
      </c>
      <c r="C1352" s="35" t="s">
        <v>311</v>
      </c>
      <c r="D1352" s="576">
        <f>IF(P1352="","",P1352)</f>
        <v>60</v>
      </c>
      <c r="E1352" s="35" t="s">
        <v>312</v>
      </c>
      <c r="F1352" s="576">
        <f>IF(R1352="","",R1352)</f>
        <v>80</v>
      </c>
      <c r="G1352" s="35" t="s">
        <v>313</v>
      </c>
      <c r="H1352" s="576">
        <f>IF(T1352="","",T1352)</f>
        <v>100</v>
      </c>
      <c r="I1352" s="35" t="s">
        <v>314</v>
      </c>
      <c r="J1352" s="577">
        <f>IF(V1352="","",V1352)</f>
        <v>120</v>
      </c>
      <c r="K1352" s="85"/>
      <c r="L1352" s="981" t="s">
        <v>533</v>
      </c>
      <c r="M1352" s="159"/>
      <c r="N1352" s="5" t="s">
        <v>310</v>
      </c>
      <c r="O1352" s="35" t="s">
        <v>311</v>
      </c>
      <c r="P1352" s="1121">
        <f>$Q$694</f>
        <v>60</v>
      </c>
      <c r="Q1352" s="1042" t="s">
        <v>312</v>
      </c>
      <c r="R1352" s="1121">
        <f>$Q$695</f>
        <v>80</v>
      </c>
      <c r="S1352" s="1042" t="s">
        <v>313</v>
      </c>
      <c r="T1352" s="1121">
        <f>$Q$696</f>
        <v>100</v>
      </c>
      <c r="U1352" s="1042" t="s">
        <v>314</v>
      </c>
      <c r="V1352" s="1121">
        <f>$Q$697</f>
        <v>120</v>
      </c>
      <c r="W1352" s="45"/>
      <c r="X1352" s="962" t="s">
        <v>533</v>
      </c>
      <c r="AC1352"/>
    </row>
    <row r="1353" spans="1:29" ht="11.25" customHeight="1" thickBot="1">
      <c r="A1353" s="878">
        <v>33</v>
      </c>
      <c r="B1353" s="8" t="s">
        <v>315</v>
      </c>
      <c r="C1353" s="8" t="s">
        <v>361</v>
      </c>
      <c r="D1353" s="26" t="str">
        <f>Time_mAs</f>
        <v>mAs</v>
      </c>
      <c r="E1353" s="8" t="s">
        <v>361</v>
      </c>
      <c r="F1353" s="7" t="str">
        <f>Time_mAs</f>
        <v>mAs</v>
      </c>
      <c r="G1353" s="8" t="s">
        <v>361</v>
      </c>
      <c r="H1353" s="7" t="str">
        <f>Time_mAs</f>
        <v>mAs</v>
      </c>
      <c r="I1353" s="8" t="s">
        <v>361</v>
      </c>
      <c r="J1353" s="31" t="str">
        <f>Time_mAs</f>
        <v>mAs</v>
      </c>
      <c r="K1353" s="85"/>
      <c r="L1353" s="981" t="s">
        <v>533</v>
      </c>
      <c r="M1353" s="159"/>
      <c r="N1353" s="7" t="s">
        <v>316</v>
      </c>
      <c r="O1353" s="8" t="s">
        <v>361</v>
      </c>
      <c r="P1353" s="7" t="str">
        <f>Time_mAs</f>
        <v>mAs</v>
      </c>
      <c r="Q1353" s="8" t="s">
        <v>361</v>
      </c>
      <c r="R1353" s="7" t="str">
        <f>Time_mAs</f>
        <v>mAs</v>
      </c>
      <c r="S1353" s="8" t="s">
        <v>361</v>
      </c>
      <c r="T1353" s="7" t="str">
        <f>Time_mAs</f>
        <v>mAs</v>
      </c>
      <c r="U1353" s="8" t="s">
        <v>361</v>
      </c>
      <c r="V1353" s="31" t="str">
        <f>Time_mAs</f>
        <v>mAs</v>
      </c>
      <c r="W1353" s="45"/>
      <c r="X1353" s="962" t="s">
        <v>533</v>
      </c>
      <c r="AC1353"/>
    </row>
    <row r="1354" spans="1:29" ht="11.25" customHeight="1">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533</v>
      </c>
      <c r="M1354" s="159"/>
      <c r="N1354" s="503">
        <v>6</v>
      </c>
      <c r="O1354" s="1334"/>
      <c r="P1354" s="1339"/>
      <c r="Q1354" s="1334"/>
      <c r="R1354" s="1339"/>
      <c r="S1354" s="1334"/>
      <c r="T1354" s="1339"/>
      <c r="U1354" s="1335"/>
      <c r="V1354" s="1340"/>
      <c r="W1354" s="85"/>
      <c r="X1354" s="962" t="s">
        <v>533</v>
      </c>
      <c r="AC1354"/>
    </row>
    <row r="1355" spans="1:29" ht="11.25" customHeight="1">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533</v>
      </c>
      <c r="M1355" s="56"/>
      <c r="N1355" s="503">
        <v>8</v>
      </c>
      <c r="O1355" s="1334"/>
      <c r="P1355" s="1339"/>
      <c r="Q1355" s="1334"/>
      <c r="R1355" s="1339"/>
      <c r="S1355" s="1334"/>
      <c r="T1355" s="1339"/>
      <c r="U1355" s="1334"/>
      <c r="V1355" s="1339"/>
      <c r="W1355" s="45"/>
      <c r="X1355" s="962" t="s">
        <v>533</v>
      </c>
      <c r="AC1355"/>
    </row>
    <row r="1356" spans="1:29" ht="11.25" customHeight="1">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533</v>
      </c>
      <c r="M1356" s="56"/>
      <c r="N1356" s="503">
        <v>10</v>
      </c>
      <c r="O1356" s="1334"/>
      <c r="P1356" s="1339"/>
      <c r="Q1356" s="1334" t="str">
        <f>IF(Q1342="","",Q1342)</f>
        <v/>
      </c>
      <c r="R1356" s="1339" t="str">
        <f>IF(R1342="","",R1342)</f>
        <v/>
      </c>
      <c r="S1356" s="1334"/>
      <c r="T1356" s="1339"/>
      <c r="U1356" s="1334"/>
      <c r="V1356" s="1339"/>
      <c r="W1356" s="45"/>
      <c r="X1356" s="962" t="s">
        <v>533</v>
      </c>
      <c r="AC1356"/>
    </row>
    <row r="1357" spans="1:29" ht="11.25" customHeight="1" thickBot="1">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533</v>
      </c>
      <c r="M1357" s="56"/>
      <c r="N1357" s="503">
        <v>12</v>
      </c>
      <c r="O1357" s="1335"/>
      <c r="P1357" s="1340"/>
      <c r="Q1357" s="1334"/>
      <c r="R1357" s="1339"/>
      <c r="S1357" s="1334"/>
      <c r="T1357" s="1339"/>
      <c r="U1357" s="1334"/>
      <c r="V1357" s="1339"/>
      <c r="W1357" s="45"/>
      <c r="X1357" s="962" t="s">
        <v>533</v>
      </c>
      <c r="AC1357"/>
    </row>
    <row r="1358" spans="1:29" ht="11.25" customHeight="1" thickTop="1">
      <c r="A1358" s="878">
        <v>38</v>
      </c>
      <c r="B1358" s="159"/>
      <c r="C1358" s="67"/>
      <c r="D1358" s="67"/>
      <c r="E1358" s="67"/>
      <c r="F1358" s="67"/>
      <c r="G1358" s="67"/>
      <c r="H1358" s="67"/>
      <c r="I1358" s="67"/>
      <c r="J1358" s="67"/>
      <c r="K1358" s="85"/>
      <c r="L1358" s="981" t="s">
        <v>533</v>
      </c>
      <c r="M1358" s="864" t="s">
        <v>727</v>
      </c>
      <c r="N1358" s="3"/>
      <c r="O1358" s="3"/>
      <c r="P1358" s="3"/>
      <c r="Q1358" s="3"/>
      <c r="R1358" s="3"/>
      <c r="S1358" s="3"/>
      <c r="T1358" s="3"/>
      <c r="U1358" s="3"/>
      <c r="V1358" s="3"/>
      <c r="W1358" s="45"/>
      <c r="X1358" s="962" t="s">
        <v>533</v>
      </c>
      <c r="AC1358"/>
    </row>
    <row r="1359" spans="1:29" ht="11.25" customHeight="1" thickBot="1">
      <c r="A1359" s="878">
        <v>39</v>
      </c>
      <c r="B1359" s="393" t="s">
        <v>317</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533</v>
      </c>
      <c r="M1359" s="865" t="s">
        <v>323</v>
      </c>
      <c r="N1359" s="563" t="s">
        <v>317</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533</v>
      </c>
      <c r="AC1359"/>
    </row>
    <row r="1360" spans="1:29" ht="11.25" customHeight="1" thickTop="1" thickBot="1">
      <c r="A1360" s="878">
        <v>40</v>
      </c>
      <c r="B1360" s="382" t="s">
        <v>698</v>
      </c>
      <c r="C1360" s="648" t="str">
        <f>IF(O1360="","",O1360)</f>
        <v>TBD</v>
      </c>
      <c r="D1360" s="53"/>
      <c r="E1360" s="648" t="str">
        <f>IF(Q1360="","",Q1360)</f>
        <v>TBD</v>
      </c>
      <c r="F1360" s="53"/>
      <c r="G1360" s="648" t="str">
        <f>IF(S1360="","",S1360)</f>
        <v>TBD</v>
      </c>
      <c r="H1360" s="53"/>
      <c r="I1360" s="648" t="str">
        <f>IF(U1360="","",U1360)</f>
        <v>TBD</v>
      </c>
      <c r="J1360" s="53"/>
      <c r="K1360" s="85"/>
      <c r="L1360" s="981" t="s">
        <v>533</v>
      </c>
      <c r="M1360" s="159"/>
      <c r="N1360" s="1108" t="s">
        <v>698</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533</v>
      </c>
      <c r="AC1360"/>
    </row>
    <row r="1361" spans="1:29" ht="11.25" customHeight="1" thickBot="1">
      <c r="A1361" s="878">
        <v>41</v>
      </c>
      <c r="B1361" s="278" t="s">
        <v>319</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533</v>
      </c>
      <c r="M1361" s="159"/>
      <c r="N1361" s="564" t="s">
        <v>319</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533</v>
      </c>
      <c r="AC1361"/>
    </row>
    <row r="1362" spans="1:29" ht="11.25" customHeight="1" thickBot="1">
      <c r="A1362" s="878">
        <v>42</v>
      </c>
      <c r="B1362" s="382" t="s">
        <v>698</v>
      </c>
      <c r="C1362" s="648" t="str">
        <f>IF(O1362="","",O1362)</f>
        <v>TBD</v>
      </c>
      <c r="D1362" s="53"/>
      <c r="E1362" s="648" t="str">
        <f>IF(Q1362="","",Q1362)</f>
        <v>TBD</v>
      </c>
      <c r="F1362" s="53"/>
      <c r="G1362" s="648" t="str">
        <f>IF(S1362="","",S1362)</f>
        <v>TBD</v>
      </c>
      <c r="H1362" s="53"/>
      <c r="I1362" s="648" t="str">
        <f>IF(U1362="","",U1362)</f>
        <v>TBD</v>
      </c>
      <c r="J1362" s="53"/>
      <c r="K1362" s="85"/>
      <c r="L1362" s="981" t="s">
        <v>533</v>
      </c>
      <c r="M1362" s="159"/>
      <c r="N1362" s="1108" t="s">
        <v>698</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533</v>
      </c>
    </row>
    <row r="1363" spans="1:29" ht="11.25" customHeight="1" thickBot="1">
      <c r="A1363" s="878">
        <v>43</v>
      </c>
      <c r="B1363" s="159"/>
      <c r="C1363" s="67"/>
      <c r="D1363" s="67"/>
      <c r="E1363" s="180"/>
      <c r="F1363" s="181" t="s">
        <v>320</v>
      </c>
      <c r="G1363" s="182" t="str">
        <f>IF(S1363="","",S1363)</f>
        <v/>
      </c>
      <c r="H1363" s="178" t="s">
        <v>698</v>
      </c>
      <c r="I1363" s="179" t="str">
        <f>IF(U1363="","",U1363)</f>
        <v>TBD</v>
      </c>
      <c r="J1363" s="67"/>
      <c r="K1363" s="85"/>
      <c r="L1363" s="981" t="s">
        <v>533</v>
      </c>
      <c r="M1363" s="159"/>
      <c r="N1363" s="67"/>
      <c r="O1363" s="67"/>
      <c r="P1363" s="67"/>
      <c r="Q1363" s="180"/>
      <c r="R1363" s="181" t="s">
        <v>320</v>
      </c>
      <c r="S1363" s="1480" t="str">
        <f>IF(AND(P1359="",R1359="",T1359="",V1359="",P1361="",R1361="",T1361="",V1361=""),"",ROUND(Q1374/AVERAGE(O1354:O1357,Q1354:Q1357,S1354:S1357,U1354:U1357),2))</f>
        <v/>
      </c>
      <c r="T1363" s="1076" t="s">
        <v>698</v>
      </c>
      <c r="U1363" s="1056" t="str">
        <f>IF(AND(O1360="TBD",Q1360="TBD",S1360="TBD",U1360="TBD",O1362="TBD",Q1362="TBD",S1362="TBD",U1362="TBD"),"TBD",IF(S1363&lt;=0.35,"YES","NO"))</f>
        <v>TBD</v>
      </c>
      <c r="V1363" s="67"/>
      <c r="W1363" s="85"/>
      <c r="X1363" s="962" t="s">
        <v>533</v>
      </c>
    </row>
    <row r="1364" spans="1:29" ht="11.25" customHeight="1">
      <c r="A1364" s="878">
        <v>44</v>
      </c>
      <c r="B1364" s="159"/>
      <c r="C1364" s="4"/>
      <c r="D1364" s="4"/>
      <c r="E1364" s="67"/>
      <c r="F1364" s="67"/>
      <c r="G1364" s="67"/>
      <c r="H1364" s="67"/>
      <c r="I1364" s="628" t="str">
        <f>U1364</f>
        <v>NOTE: Density step 1 produced a TBD % change</v>
      </c>
      <c r="J1364" s="67"/>
      <c r="K1364" s="85"/>
      <c r="L1364" s="981" t="s">
        <v>533</v>
      </c>
      <c r="M1364" s="159"/>
      <c r="N1364" s="67"/>
      <c r="O1364" s="4"/>
      <c r="P1364" s="4"/>
      <c r="Q1364" s="67"/>
      <c r="R1364" s="67"/>
      <c r="S1364" s="67"/>
      <c r="T1364" s="67"/>
      <c r="U1364" s="1246" t="str">
        <f>V1346</f>
        <v>NOTE: Density step 1 produced a TBD % change</v>
      </c>
      <c r="V1364" s="67"/>
      <c r="W1364" s="85"/>
      <c r="X1364" s="962" t="s">
        <v>533</v>
      </c>
    </row>
    <row r="1365" spans="1:29" ht="11.25" customHeight="1">
      <c r="A1365" s="878">
        <v>45</v>
      </c>
      <c r="B1365" s="159"/>
      <c r="C1365" s="166" t="str">
        <f>$O$1365</f>
        <v>Criteria:</v>
      </c>
      <c r="D1365" s="246" t="str">
        <f>$P$1365</f>
        <v>Max. Variation 30% for individual kV or thickness; 35% overall</v>
      </c>
      <c r="E1365" s="67"/>
      <c r="F1365" s="67"/>
      <c r="G1365" s="67"/>
      <c r="H1365" s="67"/>
      <c r="I1365" s="67"/>
      <c r="J1365" s="67"/>
      <c r="K1365" s="85"/>
      <c r="L1365" s="981" t="s">
        <v>533</v>
      </c>
      <c r="M1365" s="159"/>
      <c r="N1365" s="67"/>
      <c r="O1365" s="166" t="s">
        <v>699</v>
      </c>
      <c r="P1365" s="470" t="s">
        <v>378</v>
      </c>
      <c r="Q1365" s="67"/>
      <c r="R1365" s="67"/>
      <c r="S1365" s="67"/>
      <c r="T1365" s="67"/>
      <c r="U1365" s="67"/>
      <c r="V1365" s="67"/>
      <c r="W1365" s="85"/>
      <c r="X1365" s="962" t="s">
        <v>533</v>
      </c>
    </row>
    <row r="1366" spans="1:29" ht="11.25" customHeight="1">
      <c r="A1366" s="878">
        <v>46</v>
      </c>
      <c r="B1366" s="159"/>
      <c r="C1366" s="67"/>
      <c r="D1366" s="470"/>
      <c r="E1366" s="67"/>
      <c r="F1366" s="67"/>
      <c r="G1366" s="67"/>
      <c r="H1366" s="67"/>
      <c r="I1366" s="67"/>
      <c r="J1366" s="67"/>
      <c r="K1366" s="85"/>
      <c r="L1366" s="981" t="s">
        <v>533</v>
      </c>
      <c r="M1366" s="159"/>
      <c r="N1366" s="67"/>
      <c r="O1366" s="67"/>
      <c r="P1366" s="470"/>
      <c r="Q1366" s="67"/>
      <c r="R1366" s="67"/>
      <c r="S1366" s="67"/>
      <c r="T1366" s="67"/>
      <c r="U1366" s="67"/>
      <c r="V1366" s="67"/>
      <c r="W1366" s="85"/>
      <c r="X1366" s="962" t="s">
        <v>533</v>
      </c>
    </row>
    <row r="1367" spans="1:29" ht="11.25" customHeight="1">
      <c r="A1367" s="878">
        <v>47</v>
      </c>
      <c r="B1367" s="124" t="s">
        <v>681</v>
      </c>
      <c r="C1367" s="1290" t="str">
        <f>IF(O1367="","",IF(LEN(O1367)&lt;=135,O1367,IF(LEN(O1367)&lt;=260,LEFT(O1367,SEARCH(" ",O1367,125)),LEFT(O1367,SEARCH(" ",O1367,130)))))</f>
        <v/>
      </c>
      <c r="D1367" s="2"/>
      <c r="E1367" s="2"/>
      <c r="F1367" s="2"/>
      <c r="G1367" s="2"/>
      <c r="H1367" s="2"/>
      <c r="I1367" s="2"/>
      <c r="J1367" s="2"/>
      <c r="K1367" s="85"/>
      <c r="L1367" s="981" t="s">
        <v>533</v>
      </c>
      <c r="M1367" s="159"/>
      <c r="N1367" s="830" t="s">
        <v>681</v>
      </c>
      <c r="O1367" s="1025" t="str">
        <f>IF(O1369&lt;&gt;"",O1369,IF(OR(AB454=0,AB454=""),"",AB454))</f>
        <v/>
      </c>
      <c r="P1367" s="59"/>
      <c r="Q1367" s="2"/>
      <c r="R1367" s="2"/>
      <c r="S1367" s="2"/>
      <c r="T1367" s="2"/>
      <c r="U1367" s="2"/>
      <c r="V1367" s="2"/>
      <c r="W1367" s="36"/>
      <c r="X1367" s="962" t="s">
        <v>533</v>
      </c>
    </row>
    <row r="1368" spans="1:29" ht="11.25" customHeight="1">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533</v>
      </c>
      <c r="M1368" s="125"/>
      <c r="N1368" s="876" t="s">
        <v>373</v>
      </c>
      <c r="O1368" s="128"/>
      <c r="P1368" s="1289">
        <f>LEN(O1367)</f>
        <v>0</v>
      </c>
      <c r="Q1368" s="12"/>
      <c r="R1368" s="12"/>
      <c r="S1368" s="12"/>
      <c r="T1368" s="12"/>
      <c r="U1368" s="12"/>
      <c r="V1368" s="12"/>
      <c r="W1368" s="279"/>
      <c r="X1368" s="962" t="s">
        <v>533</v>
      </c>
    </row>
    <row r="1369" spans="1:29" ht="11.25" customHeight="1">
      <c r="A1369" s="878">
        <v>49</v>
      </c>
      <c r="B1369" s="56"/>
      <c r="C1369" s="1290" t="str">
        <f>IF(LEN(O1367)&lt;=265,"",RIGHT(O1367,LEN(O1367)-SEARCH(" ",O1367,255)))</f>
        <v/>
      </c>
      <c r="D1369" s="2"/>
      <c r="E1369" s="2"/>
      <c r="F1369" s="2"/>
      <c r="G1369" s="2"/>
      <c r="H1369" s="2"/>
      <c r="I1369" s="2"/>
      <c r="J1369" s="2"/>
      <c r="K1369" s="85"/>
      <c r="L1369" s="981" t="s">
        <v>533</v>
      </c>
      <c r="M1369" s="150"/>
      <c r="N1369" s="1447" t="s">
        <v>748</v>
      </c>
      <c r="O1369" s="1449"/>
      <c r="P1369" s="2"/>
      <c r="Q1369" s="2"/>
      <c r="R1369" s="2"/>
      <c r="S1369" s="2"/>
      <c r="T1369" s="2"/>
      <c r="U1369" s="2"/>
      <c r="V1369" s="2"/>
      <c r="W1369" s="36"/>
      <c r="X1369" s="962" t="s">
        <v>533</v>
      </c>
    </row>
    <row r="1370" spans="1:29" ht="11.25" customHeight="1" thickBot="1">
      <c r="A1370" s="878">
        <v>50</v>
      </c>
      <c r="B1370" s="159"/>
      <c r="C1370" s="67"/>
      <c r="D1370" s="67"/>
      <c r="E1370" s="67"/>
      <c r="F1370" s="67"/>
      <c r="G1370" s="67"/>
      <c r="H1370" s="67"/>
      <c r="I1370" s="67"/>
      <c r="J1370" s="67"/>
      <c r="K1370" s="85"/>
      <c r="L1370" s="981" t="s">
        <v>533</v>
      </c>
      <c r="M1370" s="159"/>
      <c r="N1370" s="67"/>
      <c r="O1370" s="67"/>
      <c r="P1370" s="67"/>
      <c r="Q1370" s="67"/>
      <c r="R1370" s="67"/>
      <c r="S1370" s="67"/>
      <c r="T1370" s="67"/>
      <c r="U1370" s="67"/>
      <c r="V1370" s="67"/>
      <c r="W1370" s="85"/>
      <c r="X1370" s="962" t="s">
        <v>533</v>
      </c>
    </row>
    <row r="1371" spans="1:29" ht="11.25" customHeight="1">
      <c r="A1371" s="878">
        <v>51</v>
      </c>
      <c r="B1371" s="56"/>
      <c r="C1371" s="3"/>
      <c r="D1371" s="3"/>
      <c r="E1371" s="3"/>
      <c r="F1371" s="3"/>
      <c r="G1371" s="3"/>
      <c r="H1371" s="3"/>
      <c r="I1371" s="3"/>
      <c r="J1371" s="3"/>
      <c r="K1371" s="85"/>
      <c r="L1371" s="981" t="s">
        <v>533</v>
      </c>
      <c r="M1371" s="56"/>
      <c r="N1371" s="1325" t="s">
        <v>210</v>
      </c>
      <c r="O1371" s="1326"/>
      <c r="P1371" s="1326"/>
      <c r="Q1371" s="1326"/>
      <c r="R1371" s="1326"/>
      <c r="S1371" s="1326"/>
      <c r="T1371" s="1326"/>
      <c r="U1371" s="1327"/>
      <c r="V1371" s="3"/>
      <c r="W1371" s="45"/>
      <c r="X1371" s="962" t="s">
        <v>533</v>
      </c>
    </row>
    <row r="1372" spans="1:29" ht="11.25" customHeight="1">
      <c r="A1372" s="878">
        <v>52</v>
      </c>
      <c r="B1372" s="56"/>
      <c r="C1372" s="3"/>
      <c r="D1372" s="3"/>
      <c r="E1372" s="3"/>
      <c r="F1372" s="3"/>
      <c r="G1372" s="3"/>
      <c r="H1372" s="3"/>
      <c r="I1372" s="3"/>
      <c r="J1372" s="3"/>
      <c r="K1372" s="85"/>
      <c r="L1372" s="981" t="s">
        <v>533</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533</v>
      </c>
    </row>
    <row r="1373" spans="1:29" ht="11.25" customHeight="1">
      <c r="A1373" s="878">
        <v>53</v>
      </c>
      <c r="B1373" s="56"/>
      <c r="C1373" s="3"/>
      <c r="D1373" s="3"/>
      <c r="E1373" s="3"/>
      <c r="F1373" s="3"/>
      <c r="G1373" s="3"/>
      <c r="H1373" s="3"/>
      <c r="I1373" s="3"/>
      <c r="J1373" s="3"/>
      <c r="K1373" s="85"/>
      <c r="L1373" s="981" t="s">
        <v>533</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533</v>
      </c>
    </row>
    <row r="1374" spans="1:29" ht="11.25" customHeight="1" thickBot="1">
      <c r="A1374" s="878">
        <v>54</v>
      </c>
      <c r="B1374" s="56"/>
      <c r="C1374" s="3"/>
      <c r="D1374" s="3"/>
      <c r="E1374" s="3"/>
      <c r="F1374" s="3"/>
      <c r="G1374" s="3"/>
      <c r="H1374" s="3"/>
      <c r="I1374" s="3"/>
      <c r="J1374" s="3"/>
      <c r="K1374" s="85"/>
      <c r="L1374" s="981" t="s">
        <v>533</v>
      </c>
      <c r="M1374" s="56"/>
      <c r="N1374" s="400"/>
      <c r="O1374" s="6"/>
      <c r="P1374" s="1332" t="s">
        <v>209</v>
      </c>
      <c r="Q1374" s="1333">
        <f>MAX(O1354:O1357,Q1354:Q1357,S1354:S1357,U1354:U1357)-MIN(O1354:O1357,Q1354:Q1357,S1354:S1357,U1354:U1357)</f>
        <v>0</v>
      </c>
      <c r="R1374" s="6"/>
      <c r="S1374" s="6"/>
      <c r="T1374" s="6"/>
      <c r="U1374" s="1254"/>
      <c r="V1374" s="3"/>
      <c r="W1374" s="45"/>
      <c r="X1374" s="962" t="s">
        <v>533</v>
      </c>
    </row>
    <row r="1375" spans="1:29" ht="11.25" customHeight="1">
      <c r="A1375" s="878">
        <v>55</v>
      </c>
      <c r="B1375" s="56"/>
      <c r="C1375" s="3"/>
      <c r="D1375" s="3"/>
      <c r="E1375" s="3"/>
      <c r="F1375" s="3"/>
      <c r="G1375" s="3"/>
      <c r="H1375" s="3"/>
      <c r="I1375" s="3"/>
      <c r="J1375" s="3"/>
      <c r="K1375" s="85"/>
      <c r="L1375" s="981" t="s">
        <v>533</v>
      </c>
      <c r="M1375" s="56"/>
      <c r="N1375" s="3"/>
      <c r="O1375" s="3"/>
      <c r="P1375" s="3"/>
      <c r="Q1375" s="3"/>
      <c r="R1375" s="3"/>
      <c r="S1375" s="3"/>
      <c r="T1375" s="3"/>
      <c r="U1375" s="3"/>
      <c r="V1375" s="3"/>
      <c r="W1375" s="45"/>
      <c r="X1375" s="962" t="s">
        <v>533</v>
      </c>
    </row>
    <row r="1376" spans="1:29" ht="11.25" customHeight="1">
      <c r="A1376" s="878">
        <v>56</v>
      </c>
      <c r="B1376" s="56"/>
      <c r="C1376" s="3"/>
      <c r="D1376" s="3"/>
      <c r="E1376" s="3"/>
      <c r="F1376" s="3"/>
      <c r="G1376" s="3"/>
      <c r="H1376" s="3"/>
      <c r="I1376" s="3"/>
      <c r="J1376" s="3"/>
      <c r="K1376" s="85"/>
      <c r="L1376" s="981" t="s">
        <v>533</v>
      </c>
      <c r="M1376" s="56"/>
      <c r="N1376" s="3"/>
      <c r="O1376" s="3"/>
      <c r="P1376" s="3"/>
      <c r="Q1376" s="3"/>
      <c r="R1376" s="3"/>
      <c r="S1376" s="3"/>
      <c r="T1376" s="3"/>
      <c r="U1376" s="3"/>
      <c r="V1376" s="3"/>
      <c r="W1376" s="45"/>
      <c r="X1376" s="962" t="s">
        <v>533</v>
      </c>
    </row>
    <row r="1377" spans="1:35" ht="11.25" customHeight="1">
      <c r="A1377" s="878">
        <v>57</v>
      </c>
      <c r="B1377" s="159"/>
      <c r="C1377" s="67"/>
      <c r="D1377" s="67"/>
      <c r="E1377" s="67"/>
      <c r="F1377" s="67"/>
      <c r="G1377" s="67"/>
      <c r="H1377" s="67"/>
      <c r="I1377" s="67"/>
      <c r="J1377" s="67"/>
      <c r="K1377" s="85"/>
      <c r="L1377" s="981" t="s">
        <v>533</v>
      </c>
      <c r="M1377" s="159"/>
      <c r="N1377" s="67"/>
      <c r="O1377" s="67"/>
      <c r="P1377" s="67"/>
      <c r="Q1377" s="67"/>
      <c r="R1377" s="67"/>
      <c r="S1377" s="67"/>
      <c r="T1377" s="67"/>
      <c r="U1377" s="67"/>
      <c r="V1377" s="67"/>
      <c r="W1377" s="85"/>
      <c r="X1377" s="962" t="s">
        <v>533</v>
      </c>
    </row>
    <row r="1378" spans="1:35" ht="11.25" customHeight="1">
      <c r="A1378" s="878">
        <v>58</v>
      </c>
      <c r="B1378" s="159"/>
      <c r="C1378" s="67"/>
      <c r="D1378" s="67"/>
      <c r="E1378" s="67"/>
      <c r="F1378" s="67"/>
      <c r="G1378" s="67"/>
      <c r="H1378" s="67"/>
      <c r="I1378" s="67"/>
      <c r="J1378" s="67"/>
      <c r="K1378" s="85"/>
      <c r="L1378" s="981" t="s">
        <v>533</v>
      </c>
      <c r="M1378" s="159"/>
      <c r="N1378" s="67"/>
      <c r="O1378" s="67"/>
      <c r="P1378" s="67"/>
      <c r="Q1378" s="67"/>
      <c r="R1378" s="67"/>
      <c r="S1378" s="67"/>
      <c r="T1378" s="67"/>
      <c r="U1378" s="67"/>
      <c r="V1378" s="67"/>
      <c r="W1378" s="85"/>
      <c r="X1378" s="962" t="s">
        <v>533</v>
      </c>
    </row>
    <row r="1379" spans="1:35" ht="11.25" customHeight="1">
      <c r="A1379" s="878">
        <v>59</v>
      </c>
      <c r="B1379" s="159"/>
      <c r="C1379" s="67"/>
      <c r="D1379" s="67"/>
      <c r="E1379" s="67"/>
      <c r="F1379" s="67"/>
      <c r="G1379" s="67"/>
      <c r="H1379" s="67"/>
      <c r="I1379" s="67"/>
      <c r="J1379" s="67"/>
      <c r="K1379" s="85"/>
      <c r="L1379" s="981" t="s">
        <v>533</v>
      </c>
      <c r="M1379" s="159"/>
      <c r="N1379" s="67"/>
      <c r="O1379" s="67"/>
      <c r="P1379" s="67"/>
      <c r="Q1379" s="67"/>
      <c r="R1379" s="67"/>
      <c r="S1379" s="67"/>
      <c r="T1379" s="67"/>
      <c r="U1379" s="67"/>
      <c r="V1379" s="67"/>
      <c r="W1379" s="85"/>
      <c r="X1379" s="962" t="s">
        <v>533</v>
      </c>
    </row>
    <row r="1380" spans="1:35" ht="11.25" customHeight="1">
      <c r="A1380" s="878">
        <v>60</v>
      </c>
      <c r="B1380" s="159"/>
      <c r="C1380" s="67"/>
      <c r="D1380" s="67"/>
      <c r="E1380" s="67"/>
      <c r="F1380" s="67"/>
      <c r="G1380" s="67"/>
      <c r="H1380" s="67"/>
      <c r="I1380" s="67"/>
      <c r="J1380" s="67"/>
      <c r="K1380" s="85"/>
      <c r="L1380" s="981" t="s">
        <v>533</v>
      </c>
      <c r="M1380" s="159"/>
      <c r="N1380" s="67"/>
      <c r="O1380" s="67"/>
      <c r="P1380" s="67"/>
      <c r="Q1380" s="67"/>
      <c r="R1380" s="67"/>
      <c r="S1380" s="67"/>
      <c r="T1380" s="67"/>
      <c r="U1380" s="67"/>
      <c r="V1380" s="67"/>
      <c r="W1380" s="85"/>
      <c r="X1380" s="962" t="s">
        <v>533</v>
      </c>
    </row>
    <row r="1381" spans="1:35" ht="11.25" customHeight="1">
      <c r="A1381" s="878">
        <v>61</v>
      </c>
      <c r="B1381" s="159"/>
      <c r="C1381" s="67"/>
      <c r="D1381" s="67"/>
      <c r="E1381" s="67"/>
      <c r="F1381" s="67"/>
      <c r="G1381" s="67"/>
      <c r="H1381" s="67"/>
      <c r="I1381" s="67"/>
      <c r="J1381" s="67"/>
      <c r="K1381" s="85"/>
      <c r="L1381" s="981" t="s">
        <v>533</v>
      </c>
      <c r="M1381" s="159"/>
      <c r="N1381" s="67"/>
      <c r="O1381" s="67"/>
      <c r="P1381" s="67"/>
      <c r="Q1381" s="67"/>
      <c r="R1381" s="67"/>
      <c r="S1381" s="67"/>
      <c r="T1381" s="67"/>
      <c r="U1381" s="67"/>
      <c r="V1381" s="67"/>
      <c r="W1381" s="85"/>
      <c r="X1381" s="962" t="s">
        <v>533</v>
      </c>
    </row>
    <row r="1382" spans="1:35" ht="11.25" customHeight="1">
      <c r="A1382" s="878">
        <v>62</v>
      </c>
      <c r="B1382" s="159"/>
      <c r="C1382" s="67"/>
      <c r="D1382" s="67"/>
      <c r="E1382" s="67"/>
      <c r="F1382" s="67"/>
      <c r="G1382" s="67"/>
      <c r="H1382" s="67"/>
      <c r="I1382" s="67"/>
      <c r="J1382" s="67"/>
      <c r="K1382" s="85"/>
      <c r="L1382" s="981" t="s">
        <v>533</v>
      </c>
      <c r="M1382" s="159"/>
      <c r="N1382" s="67"/>
      <c r="O1382" s="67"/>
      <c r="P1382" s="67"/>
      <c r="Q1382" s="67"/>
      <c r="R1382" s="67"/>
      <c r="S1382" s="67"/>
      <c r="T1382" s="67"/>
      <c r="U1382" s="67"/>
      <c r="V1382" s="67"/>
      <c r="W1382" s="85"/>
      <c r="X1382" s="962" t="s">
        <v>533</v>
      </c>
    </row>
    <row r="1383" spans="1:35" ht="11.25" customHeight="1">
      <c r="A1383" s="878">
        <v>63</v>
      </c>
      <c r="B1383" s="159"/>
      <c r="C1383" s="67"/>
      <c r="D1383" s="67"/>
      <c r="E1383" s="67"/>
      <c r="F1383" s="67"/>
      <c r="G1383" s="67"/>
      <c r="H1383" s="67"/>
      <c r="I1383" s="67"/>
      <c r="J1383" s="67"/>
      <c r="K1383" s="85"/>
      <c r="L1383" s="981" t="s">
        <v>533</v>
      </c>
      <c r="M1383" s="159"/>
      <c r="N1383" s="67"/>
      <c r="O1383" s="67"/>
      <c r="P1383" s="67"/>
      <c r="Q1383" s="67"/>
      <c r="R1383" s="67"/>
      <c r="S1383" s="67"/>
      <c r="T1383" s="67"/>
      <c r="U1383" s="67"/>
      <c r="V1383" s="67"/>
      <c r="W1383" s="85"/>
      <c r="X1383" s="962" t="s">
        <v>533</v>
      </c>
    </row>
    <row r="1384" spans="1:35" ht="11.25" customHeight="1" thickBot="1">
      <c r="A1384" s="878">
        <v>64</v>
      </c>
      <c r="B1384" s="116"/>
      <c r="C1384" s="98"/>
      <c r="D1384" s="98"/>
      <c r="E1384" s="98"/>
      <c r="F1384" s="98"/>
      <c r="G1384" s="98"/>
      <c r="H1384" s="98"/>
      <c r="I1384" s="98"/>
      <c r="J1384" s="98"/>
      <c r="K1384" s="103"/>
      <c r="L1384" s="981" t="s">
        <v>533</v>
      </c>
      <c r="M1384" s="116"/>
      <c r="N1384" s="98"/>
      <c r="O1384" s="98"/>
      <c r="P1384" s="98"/>
      <c r="Q1384" s="98"/>
      <c r="R1384" s="98"/>
      <c r="S1384" s="98"/>
      <c r="T1384" s="98"/>
      <c r="U1384" s="98"/>
      <c r="V1384" s="98"/>
      <c r="W1384" s="103"/>
      <c r="X1384" s="962" t="s">
        <v>533</v>
      </c>
    </row>
    <row r="1385" spans="1:35" ht="11.25" customHeight="1" thickTop="1">
      <c r="A1385" s="878">
        <v>65</v>
      </c>
      <c r="B1385" s="64" t="str">
        <f t="array" ref="B1385:C1386">$B$65:$C$66</f>
        <v>Date:</v>
      </c>
      <c r="C1385" s="1467">
        <v>43039</v>
      </c>
      <c r="D1385" s="140"/>
      <c r="E1385" s="63"/>
      <c r="F1385" s="63"/>
      <c r="G1385" s="63"/>
      <c r="H1385" s="63"/>
      <c r="I1385" s="64" t="str">
        <f t="array" ref="I1385:J1386">$I$65:$J$66</f>
        <v>Inspector:</v>
      </c>
      <c r="J1385" s="565" t="str">
        <v>Eugene Mah</v>
      </c>
      <c r="L1385" s="981" t="s">
        <v>533</v>
      </c>
      <c r="X1385" s="962" t="s">
        <v>533</v>
      </c>
    </row>
    <row r="1386" spans="1:35" ht="11.25" customHeight="1">
      <c r="A1386" s="878">
        <v>66</v>
      </c>
      <c r="B1386" s="64" t="str">
        <v>Room Number:</v>
      </c>
      <c r="C1386" s="508" t="str">
        <v>Room 04 RT 127M - Tube 1</v>
      </c>
      <c r="D1386" s="67"/>
      <c r="E1386" s="63"/>
      <c r="F1386" s="63"/>
      <c r="G1386" s="63"/>
      <c r="H1386" s="63"/>
      <c r="I1386" s="64" t="str">
        <v>Survey ID:</v>
      </c>
      <c r="J1386" s="1475">
        <v>1976</v>
      </c>
      <c r="L1386" s="981" t="s">
        <v>533</v>
      </c>
      <c r="X1386" s="962" t="s">
        <v>533</v>
      </c>
    </row>
    <row r="1387" spans="1:35" ht="11.25" customHeight="1">
      <c r="A1387" s="878">
        <v>1</v>
      </c>
      <c r="B1387" s="1"/>
      <c r="C1387" s="1"/>
      <c r="D1387" s="1"/>
      <c r="E1387" s="1"/>
      <c r="F1387" s="1"/>
      <c r="G1387" s="1"/>
      <c r="H1387" s="1"/>
      <c r="I1387" s="1"/>
      <c r="J1387" s="1"/>
      <c r="K1387" s="165" t="str">
        <f>$F$2</f>
        <v>Medical University of South Carolina</v>
      </c>
      <c r="L1387" s="981" t="s">
        <v>533</v>
      </c>
      <c r="M1387" s="1"/>
      <c r="N1387" s="1"/>
      <c r="O1387" s="1"/>
      <c r="P1387" s="1"/>
      <c r="Q1387" s="1"/>
      <c r="R1387" s="1"/>
      <c r="S1387" s="1"/>
      <c r="T1387" s="1"/>
      <c r="U1387" s="1"/>
      <c r="V1387" s="1"/>
      <c r="W1387" s="165" t="str">
        <f>$F$2</f>
        <v>Medical University of South Carolina</v>
      </c>
      <c r="X1387" s="962" t="s">
        <v>533</v>
      </c>
    </row>
    <row r="1388" spans="1:35" ht="11.25" customHeight="1" thickBot="1">
      <c r="A1388" s="878">
        <v>2</v>
      </c>
      <c r="B1388" s="1"/>
      <c r="C1388" s="1"/>
      <c r="D1388" s="1"/>
      <c r="E1388" s="1"/>
      <c r="F1388" s="344" t="str">
        <f>$F$464</f>
        <v>Measurement Data</v>
      </c>
      <c r="G1388" s="1"/>
      <c r="H1388" s="1"/>
      <c r="I1388" s="1"/>
      <c r="J1388" s="1"/>
      <c r="K1388" s="166" t="str">
        <f>$F$5</f>
        <v>Radiographic System Compliance Inspection</v>
      </c>
      <c r="L1388" s="981" t="s">
        <v>533</v>
      </c>
      <c r="M1388" s="1"/>
      <c r="N1388" s="1"/>
      <c r="O1388" s="1"/>
      <c r="P1388" s="1"/>
      <c r="Q1388" s="344" t="str">
        <f>$F$464</f>
        <v>Measurement Data</v>
      </c>
      <c r="R1388" s="1"/>
      <c r="S1388" s="1"/>
      <c r="T1388" s="1"/>
      <c r="U1388" s="1"/>
      <c r="V1388" s="1"/>
      <c r="W1388" s="166" t="str">
        <f>$F$5</f>
        <v>Radiographic System Compliance Inspection</v>
      </c>
      <c r="X1388" s="962" t="s">
        <v>533</v>
      </c>
    </row>
    <row r="1389" spans="1:35" ht="11.25" customHeight="1" thickTop="1" thickBot="1">
      <c r="A1389" s="878">
        <v>3</v>
      </c>
      <c r="B1389" s="1373" t="s">
        <v>324</v>
      </c>
      <c r="C1389" s="76"/>
      <c r="D1389" s="1374"/>
      <c r="E1389" s="397" t="s">
        <v>327</v>
      </c>
      <c r="F1389" s="397" t="s">
        <v>801</v>
      </c>
      <c r="G1389" s="1374"/>
      <c r="H1389" s="1374"/>
      <c r="I1389" s="76"/>
      <c r="J1389" s="76"/>
      <c r="K1389" s="94"/>
      <c r="L1389" s="981" t="s">
        <v>533</v>
      </c>
      <c r="M1389" s="1"/>
      <c r="N1389" s="1"/>
      <c r="O1389" s="1"/>
      <c r="P1389" s="1"/>
      <c r="Q1389" s="1"/>
      <c r="R1389" s="1"/>
      <c r="S1389" s="1"/>
      <c r="T1389" s="1"/>
      <c r="U1389" s="1"/>
      <c r="V1389" s="1"/>
      <c r="W1389" s="1"/>
      <c r="X1389" s="962" t="s">
        <v>533</v>
      </c>
    </row>
    <row r="1390" spans="1:35" ht="11.25" customHeight="1" thickTop="1">
      <c r="A1390" s="878">
        <v>4</v>
      </c>
      <c r="B1390" s="159"/>
      <c r="C1390" s="67"/>
      <c r="D1390" s="102"/>
      <c r="E1390" s="14" t="s">
        <v>1229</v>
      </c>
      <c r="F1390" s="3" t="s">
        <v>1229</v>
      </c>
      <c r="G1390" s="102"/>
      <c r="H1390" s="102"/>
      <c r="I1390" s="43"/>
      <c r="J1390" s="3"/>
      <c r="K1390" s="85"/>
      <c r="L1390" s="981" t="s">
        <v>533</v>
      </c>
      <c r="M1390" s="93"/>
      <c r="N1390" s="76"/>
      <c r="O1390" s="76"/>
      <c r="P1390" s="76"/>
      <c r="Q1390" s="76"/>
      <c r="R1390" s="76"/>
      <c r="S1390" s="76"/>
      <c r="T1390" s="76"/>
      <c r="U1390" s="76"/>
      <c r="V1390" s="76"/>
      <c r="W1390" s="94"/>
      <c r="X1390" s="962" t="s">
        <v>533</v>
      </c>
    </row>
    <row r="1391" spans="1:35" ht="11.25" customHeight="1">
      <c r="A1391" s="878">
        <v>5</v>
      </c>
      <c r="B1391" s="159"/>
      <c r="C1391" s="67"/>
      <c r="D1391" s="5" t="s">
        <v>327</v>
      </c>
      <c r="E1391" s="403" t="s">
        <v>331</v>
      </c>
      <c r="F1391" s="412" t="s">
        <v>331</v>
      </c>
      <c r="G1391" s="102"/>
      <c r="H1391" s="13"/>
      <c r="I1391" s="67"/>
      <c r="J1391" s="67"/>
      <c r="K1391" s="85"/>
      <c r="L1391" s="981" t="s">
        <v>533</v>
      </c>
      <c r="M1391" s="395" t="s">
        <v>324</v>
      </c>
      <c r="N1391" s="280"/>
      <c r="O1391" s="280"/>
      <c r="P1391" s="67"/>
      <c r="Q1391" s="407"/>
      <c r="R1391" s="67"/>
      <c r="S1391" s="408" t="s">
        <v>325</v>
      </c>
      <c r="T1391" s="67"/>
      <c r="U1391" s="408" t="s">
        <v>326</v>
      </c>
      <c r="V1391" s="67"/>
      <c r="W1391" s="416"/>
      <c r="X1391" s="962" t="s">
        <v>533</v>
      </c>
      <c r="Y1391" s="1134" t="s">
        <v>406</v>
      </c>
      <c r="AI1391" s="1134" t="s">
        <v>406</v>
      </c>
    </row>
    <row r="1392" spans="1:35" ht="11.25" customHeight="1">
      <c r="A1392" s="878">
        <v>6</v>
      </c>
      <c r="B1392" s="159"/>
      <c r="C1392" s="67"/>
      <c r="D1392" s="5" t="s">
        <v>334</v>
      </c>
      <c r="E1392" s="14" t="s">
        <v>590</v>
      </c>
      <c r="F1392" s="3" t="s">
        <v>590</v>
      </c>
      <c r="G1392" s="3" t="s">
        <v>693</v>
      </c>
      <c r="H1392" s="13"/>
      <c r="I1392" s="67"/>
      <c r="J1392" s="67"/>
      <c r="K1392" s="85"/>
      <c r="L1392" s="981" t="s">
        <v>533</v>
      </c>
      <c r="M1392" s="159"/>
      <c r="N1392" s="67"/>
      <c r="O1392" s="67"/>
      <c r="P1392" s="67"/>
      <c r="Q1392" s="67"/>
      <c r="R1392" s="3" t="s">
        <v>327</v>
      </c>
      <c r="S1392" s="409" t="s">
        <v>801</v>
      </c>
      <c r="T1392" s="67"/>
      <c r="U1392" s="409" t="s">
        <v>801</v>
      </c>
      <c r="V1392" s="409" t="s">
        <v>326</v>
      </c>
      <c r="W1392" s="417" t="s">
        <v>326</v>
      </c>
      <c r="X1392" s="962" t="s">
        <v>533</v>
      </c>
      <c r="Y1392" s="409" t="s">
        <v>327</v>
      </c>
      <c r="AH1392" s="417" t="s">
        <v>326</v>
      </c>
      <c r="AI1392" s="409" t="s">
        <v>327</v>
      </c>
    </row>
    <row r="1393" spans="1:35" ht="11.25" customHeight="1" thickBot="1">
      <c r="A1393" s="878">
        <v>7</v>
      </c>
      <c r="B1393" s="159"/>
      <c r="C1393" s="67"/>
      <c r="D1393" s="31" t="s">
        <v>590</v>
      </c>
      <c r="E1393" s="39" t="s">
        <v>338</v>
      </c>
      <c r="F1393" s="39" t="s">
        <v>338</v>
      </c>
      <c r="G1393" s="6" t="s">
        <v>339</v>
      </c>
      <c r="H1393" s="31" t="s">
        <v>761</v>
      </c>
      <c r="I1393" s="67"/>
      <c r="J1393" s="67"/>
      <c r="K1393" s="85"/>
      <c r="L1393" s="981" t="s">
        <v>533</v>
      </c>
      <c r="M1393" s="399" t="s">
        <v>328</v>
      </c>
      <c r="N1393" s="160"/>
      <c r="O1393" s="415"/>
      <c r="P1393" s="219" t="s">
        <v>329</v>
      </c>
      <c r="Q1393" s="160"/>
      <c r="R1393" s="14" t="s">
        <v>1229</v>
      </c>
      <c r="S1393" s="409" t="s">
        <v>1229</v>
      </c>
      <c r="T1393" s="67"/>
      <c r="U1393" s="409" t="s">
        <v>1229</v>
      </c>
      <c r="V1393" s="409" t="s">
        <v>330</v>
      </c>
      <c r="W1393" s="417" t="s">
        <v>327</v>
      </c>
      <c r="X1393" s="962" t="s">
        <v>533</v>
      </c>
      <c r="Y1393" s="409" t="s">
        <v>1229</v>
      </c>
      <c r="AH1393" s="417" t="s">
        <v>327</v>
      </c>
      <c r="AI1393" s="409" t="s">
        <v>1229</v>
      </c>
    </row>
    <row r="1394" spans="1:35" ht="11.25" customHeight="1">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533</v>
      </c>
      <c r="M1394" s="278" t="s">
        <v>332</v>
      </c>
      <c r="N1394" s="1176">
        <f>IF(OR(AB188=0,AB188=""),"",AB188)</f>
        <v>23.622047244094489</v>
      </c>
      <c r="O1394" s="413"/>
      <c r="P1394" s="66" t="str">
        <f>"SDD ("&amp;LFSDD&amp;"):"</f>
        <v>SDD (cm):</v>
      </c>
      <c r="Q1394" s="488">
        <f>IF($N$694="","",$N$694)</f>
        <v>60</v>
      </c>
      <c r="R1394" s="403" t="s">
        <v>331</v>
      </c>
      <c r="S1394" s="410" t="s">
        <v>331</v>
      </c>
      <c r="T1394" s="67"/>
      <c r="U1394" s="409" t="s">
        <v>333</v>
      </c>
      <c r="V1394" s="409" t="s">
        <v>801</v>
      </c>
      <c r="W1394" s="418" t="s">
        <v>696</v>
      </c>
      <c r="X1394" s="962" t="s">
        <v>533</v>
      </c>
      <c r="Y1394" s="964" t="s">
        <v>331</v>
      </c>
      <c r="AH1394" s="418" t="s">
        <v>696</v>
      </c>
      <c r="AI1394" s="964" t="s">
        <v>331</v>
      </c>
    </row>
    <row r="1395" spans="1:35" ht="11.25" customHeight="1">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533</v>
      </c>
      <c r="M1395" s="159"/>
      <c r="N1395" s="3" t="s">
        <v>1229</v>
      </c>
      <c r="O1395" s="413" t="s">
        <v>1229</v>
      </c>
      <c r="P1395" s="33"/>
      <c r="Q1395" s="13" t="s">
        <v>1229</v>
      </c>
      <c r="R1395" s="14" t="s">
        <v>590</v>
      </c>
      <c r="S1395" s="409" t="s">
        <v>335</v>
      </c>
      <c r="T1395" s="67"/>
      <c r="U1395" s="409" t="s">
        <v>336</v>
      </c>
      <c r="V1395" s="409" t="s">
        <v>337</v>
      </c>
      <c r="W1395" s="418" t="s">
        <v>337</v>
      </c>
      <c r="X1395" s="962" t="s">
        <v>533</v>
      </c>
      <c r="Y1395" s="964" t="s">
        <v>590</v>
      </c>
      <c r="AH1395" s="418" t="s">
        <v>337</v>
      </c>
      <c r="AI1395" s="964" t="s">
        <v>590</v>
      </c>
    </row>
    <row r="1396" spans="1:35" ht="11.25" customHeight="1" thickBot="1">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533</v>
      </c>
      <c r="M1396" s="380" t="s">
        <v>590</v>
      </c>
      <c r="N1396" s="39" t="s">
        <v>340</v>
      </c>
      <c r="O1396" s="414" t="s">
        <v>338</v>
      </c>
      <c r="P1396" s="400" t="s">
        <v>132</v>
      </c>
      <c r="Q1396" s="39" t="s">
        <v>340</v>
      </c>
      <c r="R1396" s="39" t="s">
        <v>338</v>
      </c>
      <c r="S1396" s="411" t="s">
        <v>338</v>
      </c>
      <c r="T1396" s="67"/>
      <c r="U1396" s="405" t="s">
        <v>1230</v>
      </c>
      <c r="V1396" s="405" t="s">
        <v>341</v>
      </c>
      <c r="W1396" s="419" t="s">
        <v>341</v>
      </c>
      <c r="X1396" s="962" t="s">
        <v>533</v>
      </c>
      <c r="Y1396" s="405" t="s">
        <v>338</v>
      </c>
      <c r="AH1396" s="417" t="s">
        <v>341</v>
      </c>
      <c r="AI1396" s="409" t="s">
        <v>338</v>
      </c>
    </row>
    <row r="1397" spans="1:35" ht="11.25" customHeight="1">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533</v>
      </c>
      <c r="M1397" s="1177">
        <f t="shared" ref="M1397:M1404" si="196">IF(OR(AB190=0,AB190=""),"",AB190)</f>
        <v>60.248451232910156</v>
      </c>
      <c r="N1397" s="1622">
        <f t="shared" ref="N1397:N1404" si="197">IF(OR(AB199=0,AB199=""),"",AB199)</f>
        <v>2.8826280912302958E-2</v>
      </c>
      <c r="O1397" s="1623">
        <f>IF(OR(M1397=0,M1397="",N1397=0,N1397="",$N$1394=0,$N$1394=""),"",N1397*($N$1394/40)^2)</f>
        <v>1.0053185574536808E-2</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f>IF(O1397="","",LN(O1397))</f>
        <v>-4.5998657221115238</v>
      </c>
      <c r="V1397" s="1131">
        <f>IF(M1397="","",LN(M1397))</f>
        <v>4.0984768663625282</v>
      </c>
      <c r="W1397" s="1132" t="str">
        <f>IF(P1397="","",LN(P1397))</f>
        <v/>
      </c>
      <c r="X1397" s="962" t="s">
        <v>533</v>
      </c>
      <c r="Y1397" s="1130" t="str">
        <f t="shared" ref="Y1397:Y1404" si="198">IF(R1397="","",LN(R1397))</f>
        <v/>
      </c>
      <c r="AH1397" s="1608" t="str">
        <f>W1397</f>
        <v/>
      </c>
      <c r="AI1397" s="1608" t="str">
        <f>Y1397</f>
        <v/>
      </c>
    </row>
    <row r="1398" spans="1:35" ht="11.25" customHeight="1">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533</v>
      </c>
      <c r="M1398" s="1177">
        <f t="shared" si="196"/>
        <v>80.652397155761719</v>
      </c>
      <c r="N1398" s="1622">
        <f t="shared" si="197"/>
        <v>5.0959231385690605E-2</v>
      </c>
      <c r="O1398" s="1624">
        <f>IF(OR(M1398=0,M1398="",N1398=0,N1398="",$N$1394=0,$N$1394=""),O1397,N1398*($N$1394/40)^2)</f>
        <v>1.7772067489894582E-2</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f t="shared" ref="U1398:U1404" si="201">IF(O1398="",U1397,LN(O1398))</f>
        <v>-4.0301272963749151</v>
      </c>
      <c r="V1398" s="1131">
        <f t="shared" ref="V1398:V1404" si="202">IF(M1398="",V1397,LN(M1398))</f>
        <v>4.3901485270775682</v>
      </c>
      <c r="W1398" s="1132" t="str">
        <f t="shared" ref="W1398:W1404" si="203">IF(P1398="",W1397,LN(P1398))</f>
        <v/>
      </c>
      <c r="X1398" s="962" t="s">
        <v>533</v>
      </c>
      <c r="Y1398" s="1130" t="str">
        <f t="shared" si="198"/>
        <v/>
      </c>
      <c r="AH1398" s="1608" t="str">
        <f t="shared" ref="AH1398:AH1404" si="204">W1398</f>
        <v/>
      </c>
      <c r="AI1398" s="1608" t="str">
        <f t="shared" ref="AI1398:AI1404" si="205">Y1398</f>
        <v/>
      </c>
    </row>
    <row r="1399" spans="1:35" ht="11.25" customHeight="1">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533</v>
      </c>
      <c r="M1399" s="1177">
        <f t="shared" si="196"/>
        <v>99.629318237304688</v>
      </c>
      <c r="N1399" s="1622">
        <f t="shared" si="197"/>
        <v>7.6549176368019445E-2</v>
      </c>
      <c r="O1399" s="1624">
        <f t="shared" ref="O1399:O1404" si="206">IF(OR(M1399=0,M1399="",N1399=0,N1399="",$N$1394=0,$N$1394=""),O1398,N1399*($N$1394/40)^2)</f>
        <v>2.6696578651504092E-2</v>
      </c>
      <c r="P1399" s="1129" t="str">
        <f t="shared" si="199"/>
        <v/>
      </c>
      <c r="Q1399" s="1126" t="str">
        <f t="shared" ref="Q1399:Q1404" si="207">IF(OR(AND(LFMAS="",SFMAS=""),R696="",R696=0,W696=""),Q1398,IF(LFMAS="mAs",W696/R696,IF(OR(S696="",S696=0),"",W696/(R696*S696))))</f>
        <v/>
      </c>
      <c r="R1399" s="1127" t="str">
        <f t="shared" si="200"/>
        <v/>
      </c>
      <c r="S1399" s="1128" t="str">
        <v/>
      </c>
      <c r="T1399" s="60"/>
      <c r="U1399" s="1130">
        <f t="shared" si="201"/>
        <v>-3.6232198621797198</v>
      </c>
      <c r="V1399" s="1131">
        <f t="shared" si="202"/>
        <v>4.6014564810874994</v>
      </c>
      <c r="W1399" s="1132" t="str">
        <f t="shared" si="203"/>
        <v/>
      </c>
      <c r="X1399" s="962" t="s">
        <v>533</v>
      </c>
      <c r="Y1399" s="1130" t="str">
        <f t="shared" si="198"/>
        <v/>
      </c>
      <c r="AH1399" s="1608" t="str">
        <f t="shared" si="204"/>
        <v/>
      </c>
      <c r="AI1399" s="1608" t="str">
        <f t="shared" si="205"/>
        <v/>
      </c>
    </row>
    <row r="1400" spans="1:35" ht="11.25" customHeight="1" thickBot="1">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533</v>
      </c>
      <c r="M1400" s="1177">
        <f t="shared" si="196"/>
        <v>120.94502258300781</v>
      </c>
      <c r="N1400" s="1622">
        <f t="shared" si="197"/>
        <v>0.10839928246987895</v>
      </c>
      <c r="O1400" s="1624">
        <f t="shared" si="206"/>
        <v>3.7804325370021034E-2</v>
      </c>
      <c r="P1400" s="1129" t="str">
        <f t="shared" si="199"/>
        <v/>
      </c>
      <c r="Q1400" s="1126" t="str">
        <f t="shared" si="207"/>
        <v/>
      </c>
      <c r="R1400" s="1127" t="str">
        <f t="shared" si="200"/>
        <v/>
      </c>
      <c r="S1400" s="1128" t="str">
        <v/>
      </c>
      <c r="T1400" s="60"/>
      <c r="U1400" s="1130">
        <f t="shared" si="201"/>
        <v>-3.2753317551246197</v>
      </c>
      <c r="V1400" s="1131">
        <f t="shared" si="202"/>
        <v>4.7953360835263794</v>
      </c>
      <c r="W1400" s="1132" t="str">
        <f t="shared" si="203"/>
        <v/>
      </c>
      <c r="X1400" s="962" t="s">
        <v>533</v>
      </c>
      <c r="Y1400" s="1130" t="str">
        <f t="shared" si="198"/>
        <v/>
      </c>
      <c r="AH1400" s="1608" t="str">
        <f t="shared" si="204"/>
        <v/>
      </c>
      <c r="AI1400" s="1608" t="str">
        <f t="shared" si="205"/>
        <v/>
      </c>
    </row>
    <row r="1401" spans="1:35" ht="11.25" customHeight="1" thickBot="1">
      <c r="A1401" s="878">
        <v>15</v>
      </c>
      <c r="B1401" s="159"/>
      <c r="C1401" s="67"/>
      <c r="D1401" s="288" t="str">
        <f t="shared" si="193"/>
        <v/>
      </c>
      <c r="E1401" s="1614" t="str">
        <f t="shared" si="194"/>
        <v/>
      </c>
      <c r="F1401" s="1614" t="str">
        <f t="shared" si="191"/>
        <v/>
      </c>
      <c r="G1401" s="404" t="str">
        <f t="shared" si="192"/>
        <v/>
      </c>
      <c r="H1401" s="146" t="str">
        <f t="shared" si="195"/>
        <v/>
      </c>
      <c r="I1401" s="345" t="s">
        <v>698</v>
      </c>
      <c r="J1401" s="179" t="str">
        <f>V1406</f>
        <v>YES</v>
      </c>
      <c r="K1401" s="85"/>
      <c r="L1401" s="981" t="s">
        <v>533</v>
      </c>
      <c r="M1401" s="1177">
        <f t="shared" si="196"/>
        <v>141.03688049316406</v>
      </c>
      <c r="N1401" s="1622">
        <f t="shared" si="197"/>
        <v>0.14110482766918536</v>
      </c>
      <c r="O1401" s="1624">
        <f t="shared" si="206"/>
        <v>4.9210407070442545E-2</v>
      </c>
      <c r="P1401" s="1129" t="str">
        <f t="shared" si="199"/>
        <v/>
      </c>
      <c r="Q1401" s="1126" t="str">
        <f t="shared" si="207"/>
        <v/>
      </c>
      <c r="R1401" s="1127" t="str">
        <f t="shared" si="200"/>
        <v/>
      </c>
      <c r="S1401" s="1128" t="str">
        <v/>
      </c>
      <c r="T1401" s="60"/>
      <c r="U1401" s="1130">
        <f t="shared" si="201"/>
        <v>-3.0116501520303043</v>
      </c>
      <c r="V1401" s="1131">
        <f t="shared" si="202"/>
        <v>4.9490214199576315</v>
      </c>
      <c r="W1401" s="1132" t="str">
        <f t="shared" si="203"/>
        <v/>
      </c>
      <c r="X1401" s="962" t="s">
        <v>533</v>
      </c>
      <c r="Y1401" s="1130" t="str">
        <f t="shared" si="198"/>
        <v/>
      </c>
      <c r="AH1401" s="1608" t="str">
        <f t="shared" si="204"/>
        <v/>
      </c>
      <c r="AI1401" s="1608" t="str">
        <f t="shared" si="205"/>
        <v/>
      </c>
    </row>
    <row r="1402" spans="1:35" ht="11.25" customHeight="1">
      <c r="A1402" s="878">
        <v>16</v>
      </c>
      <c r="B1402" s="395" t="s">
        <v>343</v>
      </c>
      <c r="C1402" s="67"/>
      <c r="D1402" s="67"/>
      <c r="E1402" s="3" t="s">
        <v>327</v>
      </c>
      <c r="F1402" s="3" t="s">
        <v>801</v>
      </c>
      <c r="G1402" s="67"/>
      <c r="H1402" s="67"/>
      <c r="I1402" s="3"/>
      <c r="J1402" s="67"/>
      <c r="K1402" s="85"/>
      <c r="L1402" s="981" t="s">
        <v>533</v>
      </c>
      <c r="M1402" s="1177">
        <f t="shared" si="196"/>
        <v>141.03688049316406</v>
      </c>
      <c r="N1402" s="1622">
        <f t="shared" si="197"/>
        <v>0.14110482766918536</v>
      </c>
      <c r="O1402" s="1624">
        <f t="shared" si="206"/>
        <v>4.9210407070442545E-2</v>
      </c>
      <c r="P1402" s="1129" t="str">
        <f t="shared" si="199"/>
        <v/>
      </c>
      <c r="Q1402" s="1126" t="str">
        <f t="shared" si="207"/>
        <v/>
      </c>
      <c r="R1402" s="1127" t="str">
        <f t="shared" si="200"/>
        <v/>
      </c>
      <c r="S1402" s="1128" t="str">
        <v/>
      </c>
      <c r="T1402" s="60"/>
      <c r="U1402" s="1130">
        <f t="shared" si="201"/>
        <v>-3.0116501520303043</v>
      </c>
      <c r="V1402" s="1131">
        <f t="shared" si="202"/>
        <v>4.9490214199576315</v>
      </c>
      <c r="W1402" s="1132" t="str">
        <f t="shared" si="203"/>
        <v/>
      </c>
      <c r="X1402" s="962" t="s">
        <v>533</v>
      </c>
      <c r="Y1402" s="1130" t="str">
        <f t="shared" si="198"/>
        <v/>
      </c>
      <c r="AH1402" s="1608" t="str">
        <f t="shared" si="204"/>
        <v/>
      </c>
      <c r="AI1402" s="1608" t="str">
        <f t="shared" si="205"/>
        <v/>
      </c>
    </row>
    <row r="1403" spans="1:35" ht="11.25" customHeight="1">
      <c r="A1403" s="878">
        <v>17</v>
      </c>
      <c r="B1403" s="159"/>
      <c r="C1403" s="67"/>
      <c r="D1403" s="67"/>
      <c r="E1403" s="14" t="s">
        <v>1229</v>
      </c>
      <c r="F1403" s="3" t="s">
        <v>1229</v>
      </c>
      <c r="G1403" s="67"/>
      <c r="H1403" s="67"/>
      <c r="I1403" s="67"/>
      <c r="J1403" s="67"/>
      <c r="K1403" s="85"/>
      <c r="L1403" s="981" t="s">
        <v>533</v>
      </c>
      <c r="M1403" s="1177">
        <f t="shared" si="196"/>
        <v>141.03688049316406</v>
      </c>
      <c r="N1403" s="1622">
        <f t="shared" si="197"/>
        <v>0.14110482766918536</v>
      </c>
      <c r="O1403" s="1624">
        <f t="shared" si="206"/>
        <v>4.9210407070442545E-2</v>
      </c>
      <c r="P1403" s="1129" t="str">
        <f t="shared" si="199"/>
        <v/>
      </c>
      <c r="Q1403" s="1126" t="str">
        <f t="shared" si="207"/>
        <v/>
      </c>
      <c r="R1403" s="1127" t="str">
        <f t="shared" si="200"/>
        <v/>
      </c>
      <c r="S1403" s="1128" t="str">
        <v/>
      </c>
      <c r="T1403" s="60"/>
      <c r="U1403" s="1130">
        <f t="shared" si="201"/>
        <v>-3.0116501520303043</v>
      </c>
      <c r="V1403" s="1131">
        <f t="shared" si="202"/>
        <v>4.9490214199576315</v>
      </c>
      <c r="W1403" s="1132" t="str">
        <f t="shared" si="203"/>
        <v/>
      </c>
      <c r="X1403" s="962" t="s">
        <v>533</v>
      </c>
      <c r="Y1403" s="1130" t="str">
        <f t="shared" si="198"/>
        <v/>
      </c>
      <c r="AH1403" s="1608" t="str">
        <f t="shared" si="204"/>
        <v/>
      </c>
      <c r="AI1403" s="1608" t="str">
        <f t="shared" si="205"/>
        <v/>
      </c>
    </row>
    <row r="1404" spans="1:35" ht="11.25" customHeight="1" thickBot="1">
      <c r="A1404" s="878">
        <v>18</v>
      </c>
      <c r="B1404" s="159"/>
      <c r="C1404" s="67"/>
      <c r="D1404" s="5" t="s">
        <v>327</v>
      </c>
      <c r="E1404" s="403" t="s">
        <v>331</v>
      </c>
      <c r="F1404" s="412" t="s">
        <v>331</v>
      </c>
      <c r="G1404" s="67"/>
      <c r="H1404" s="13"/>
      <c r="I1404" s="67"/>
      <c r="J1404" s="67"/>
      <c r="K1404" s="85"/>
      <c r="L1404" s="981" t="s">
        <v>533</v>
      </c>
      <c r="M1404" s="1432">
        <f t="shared" si="196"/>
        <v>141.03688049316406</v>
      </c>
      <c r="N1404" s="1625">
        <f t="shared" si="197"/>
        <v>0.14110482766918536</v>
      </c>
      <c r="O1404" s="1626">
        <f t="shared" si="206"/>
        <v>4.9210407070442545E-2</v>
      </c>
      <c r="P1404" s="1433" t="str">
        <f t="shared" si="199"/>
        <v/>
      </c>
      <c r="Q1404" s="1434" t="str">
        <f t="shared" si="207"/>
        <v/>
      </c>
      <c r="R1404" s="1435" t="str">
        <f t="shared" si="200"/>
        <v/>
      </c>
      <c r="S1404" s="1436" t="str">
        <v/>
      </c>
      <c r="T1404" s="60"/>
      <c r="U1404" s="1130">
        <f t="shared" si="201"/>
        <v>-3.0116501520303043</v>
      </c>
      <c r="V1404" s="1131">
        <f t="shared" si="202"/>
        <v>4.9490214199576315</v>
      </c>
      <c r="W1404" s="1132" t="str">
        <f t="shared" si="203"/>
        <v/>
      </c>
      <c r="X1404" s="962" t="s">
        <v>533</v>
      </c>
      <c r="Y1404" s="1130" t="str">
        <f t="shared" si="198"/>
        <v/>
      </c>
      <c r="AH1404" s="1608" t="str">
        <f t="shared" si="204"/>
        <v/>
      </c>
      <c r="AI1404" s="1608" t="str">
        <f t="shared" si="205"/>
        <v/>
      </c>
    </row>
    <row r="1405" spans="1:35" ht="11.25" customHeight="1" thickBot="1">
      <c r="A1405" s="878">
        <v>19</v>
      </c>
      <c r="B1405" s="159"/>
      <c r="C1405" s="67"/>
      <c r="D1405" s="5" t="s">
        <v>334</v>
      </c>
      <c r="E1405" s="14" t="s">
        <v>590</v>
      </c>
      <c r="F1405" s="3" t="s">
        <v>590</v>
      </c>
      <c r="G1405" s="3" t="s">
        <v>693</v>
      </c>
      <c r="H1405" s="13"/>
      <c r="I1405" s="67"/>
      <c r="J1405" s="67"/>
      <c r="K1405" s="85"/>
      <c r="L1405" s="981" t="s">
        <v>533</v>
      </c>
      <c r="M1405" s="212" t="s">
        <v>342</v>
      </c>
      <c r="N1405" s="3"/>
      <c r="O1405" s="67"/>
      <c r="P1405" s="1326"/>
      <c r="Q1405" s="1444" t="s">
        <v>1174</v>
      </c>
      <c r="R1405" s="1445" t="s">
        <v>1175</v>
      </c>
      <c r="S1405" s="1446" t="s">
        <v>1176</v>
      </c>
      <c r="U1405" s="67"/>
      <c r="V1405" s="67"/>
      <c r="W1405" s="85"/>
      <c r="X1405" s="962" t="s">
        <v>533</v>
      </c>
      <c r="AH1405" s="1608" t="str">
        <f>W1414</f>
        <v/>
      </c>
      <c r="AI1405" s="1608" t="str">
        <f>Y1414</f>
        <v/>
      </c>
    </row>
    <row r="1406" spans="1:35" ht="11.25" customHeight="1" thickBot="1">
      <c r="A1406" s="878">
        <v>20</v>
      </c>
      <c r="B1406" s="159"/>
      <c r="C1406" s="67"/>
      <c r="D1406" s="31" t="s">
        <v>590</v>
      </c>
      <c r="E1406" s="39" t="s">
        <v>338</v>
      </c>
      <c r="F1406" s="39" t="s">
        <v>338</v>
      </c>
      <c r="G1406" s="6" t="s">
        <v>339</v>
      </c>
      <c r="H1406" s="31" t="s">
        <v>761</v>
      </c>
      <c r="I1406" s="67"/>
      <c r="J1406" s="67"/>
      <c r="K1406" s="85"/>
      <c r="L1406" s="981" t="s">
        <v>533</v>
      </c>
      <c r="M1406" s="159"/>
      <c r="N1406" s="67"/>
      <c r="O1406" s="67"/>
      <c r="P1406" s="67"/>
      <c r="Q1406" s="1439" t="str">
        <f>IF(MAX(G1394:G1401)=0,"NA",MAX(G1394:G1401))</f>
        <v>NA</v>
      </c>
      <c r="R1406" s="1440" t="str">
        <f>IF(MAX(G1394:G1401)=0,"NA",MEDIAN(G1394:G1401))</f>
        <v>NA</v>
      </c>
      <c r="S1406" s="1442" t="str">
        <f>IF(MAX(G1394:G1401)=0,"NA",MIN(G1394:G1401))</f>
        <v>NA</v>
      </c>
      <c r="U1406" s="1427" t="s">
        <v>698</v>
      </c>
      <c r="V1406" s="1056" t="str">
        <f>IF(MIN(N1397:N1404)=0,"NA",IF(H1394="TBD","TBD",IF(OR(H1394="NO",H1395="NO",H1396="NO",H1397="NO",H1398="NO",H1399="NO",H1400="NO",H1401="NO"),"NO","YES")))</f>
        <v>YES</v>
      </c>
      <c r="W1406" s="85"/>
      <c r="X1406" s="962" t="s">
        <v>533</v>
      </c>
      <c r="AH1406" s="1608" t="str">
        <f t="shared" ref="AH1406:AH1410" si="208">W1415</f>
        <v/>
      </c>
      <c r="AI1406" s="1608" t="str">
        <f t="shared" ref="AI1406:AI1410" si="209">Y1415</f>
        <v/>
      </c>
    </row>
    <row r="1407" spans="1:35" ht="11.25" customHeight="1" thickBot="1">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533</v>
      </c>
      <c r="M1407" s="159"/>
      <c r="N1407" s="67"/>
      <c r="O1407" s="406"/>
      <c r="P1407" s="1437" t="s">
        <v>495</v>
      </c>
      <c r="Q1407" s="1438">
        <f>IF(AB225="","",AB225)</f>
        <v>2.3947908059367452E-2</v>
      </c>
      <c r="R1407" s="1441">
        <f>IF(AB226="","",AB226)</f>
        <v>6.8357695581775556E-3</v>
      </c>
      <c r="S1407" s="1443">
        <f>IF(AB227="","",AB227)</f>
        <v>-1.8458107612929799E-2</v>
      </c>
      <c r="T1407" s="67"/>
      <c r="U1407" s="401"/>
      <c r="V1407" s="67"/>
      <c r="W1407" s="85"/>
      <c r="X1407" s="962" t="s">
        <v>533</v>
      </c>
      <c r="AH1407" s="1608" t="str">
        <f t="shared" si="208"/>
        <v/>
      </c>
      <c r="AI1407" s="1608" t="str">
        <f t="shared" si="209"/>
        <v/>
      </c>
    </row>
    <row r="1408" spans="1:35" ht="11.25" customHeight="1">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533</v>
      </c>
      <c r="M1408" s="395" t="s">
        <v>343</v>
      </c>
      <c r="N1408" s="280"/>
      <c r="O1408" s="280"/>
      <c r="P1408" s="60"/>
      <c r="R1408" s="67"/>
      <c r="S1408" s="408" t="s">
        <v>325</v>
      </c>
      <c r="T1408" s="60"/>
      <c r="U1408" s="408" t="s">
        <v>326</v>
      </c>
      <c r="V1408" s="67"/>
      <c r="W1408" s="416"/>
      <c r="X1408" s="962" t="s">
        <v>533</v>
      </c>
      <c r="Y1408" s="1134" t="s">
        <v>406</v>
      </c>
      <c r="AH1408" s="1608" t="str">
        <f t="shared" si="208"/>
        <v/>
      </c>
      <c r="AI1408" s="1608" t="str">
        <f t="shared" si="209"/>
        <v/>
      </c>
    </row>
    <row r="1409" spans="1:35" ht="11.25" customHeight="1">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533</v>
      </c>
      <c r="M1409" s="159"/>
      <c r="N1409" s="67"/>
      <c r="O1409" s="67"/>
      <c r="P1409" s="67"/>
      <c r="R1409" s="3" t="s">
        <v>327</v>
      </c>
      <c r="S1409" s="409" t="s">
        <v>801</v>
      </c>
      <c r="T1409" s="60"/>
      <c r="U1409" s="409" t="s">
        <v>801</v>
      </c>
      <c r="V1409" s="409" t="s">
        <v>326</v>
      </c>
      <c r="W1409" s="417" t="s">
        <v>326</v>
      </c>
      <c r="X1409" s="962" t="s">
        <v>533</v>
      </c>
      <c r="Y1409" s="409" t="s">
        <v>327</v>
      </c>
      <c r="AH1409" s="1608" t="str">
        <f t="shared" si="208"/>
        <v/>
      </c>
      <c r="AI1409" s="1608" t="str">
        <f t="shared" si="209"/>
        <v/>
      </c>
    </row>
    <row r="1410" spans="1:35" ht="11.25" customHeight="1">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533</v>
      </c>
      <c r="M1410" s="399" t="s">
        <v>328</v>
      </c>
      <c r="N1410" s="160"/>
      <c r="O1410" s="65"/>
      <c r="P1410" s="219" t="s">
        <v>329</v>
      </c>
      <c r="Q1410" s="160"/>
      <c r="R1410" s="14" t="s">
        <v>1229</v>
      </c>
      <c r="S1410" s="409" t="s">
        <v>1229</v>
      </c>
      <c r="T1410" s="60"/>
      <c r="U1410" s="409" t="s">
        <v>1229</v>
      </c>
      <c r="V1410" s="409" t="s">
        <v>330</v>
      </c>
      <c r="W1410" s="417" t="s">
        <v>327</v>
      </c>
      <c r="X1410" s="962" t="s">
        <v>533</v>
      </c>
      <c r="Y1410" s="409" t="s">
        <v>1229</v>
      </c>
      <c r="AH1410" s="1608" t="str">
        <f t="shared" si="208"/>
        <v/>
      </c>
      <c r="AI1410" s="1608" t="str">
        <f t="shared" si="209"/>
        <v/>
      </c>
    </row>
    <row r="1411" spans="1:35" ht="11.25" customHeight="1" thickBot="1">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533</v>
      </c>
      <c r="M1411" s="278" t="s">
        <v>332</v>
      </c>
      <c r="N1411" s="1176">
        <f>IF(OR(AB209=0,AB209=""),"",AB209)</f>
        <v>23.622047244094489</v>
      </c>
      <c r="O1411" s="3"/>
      <c r="P1411" s="360" t="str">
        <f>"SDD ("&amp;SFSDD&amp;"):"</f>
        <v>SDD (cm):</v>
      </c>
      <c r="Q1411" s="488">
        <f>IF($N$712="","",$N$712)</f>
        <v>60</v>
      </c>
      <c r="R1411" s="403" t="s">
        <v>331</v>
      </c>
      <c r="S1411" s="410" t="s">
        <v>331</v>
      </c>
      <c r="T1411" s="60"/>
      <c r="U1411" s="409" t="s">
        <v>333</v>
      </c>
      <c r="V1411" s="409" t="s">
        <v>801</v>
      </c>
      <c r="W1411" s="418" t="s">
        <v>696</v>
      </c>
      <c r="X1411" s="962" t="s">
        <v>533</v>
      </c>
      <c r="Y1411" s="964" t="s">
        <v>331</v>
      </c>
    </row>
    <row r="1412" spans="1:35" ht="11.25" customHeight="1" thickBot="1">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698</v>
      </c>
      <c r="J1412" s="179" t="str">
        <f>V1421</f>
        <v>YES</v>
      </c>
      <c r="K1412" s="85"/>
      <c r="L1412" s="981" t="s">
        <v>533</v>
      </c>
      <c r="M1412" s="159"/>
      <c r="N1412" s="3" t="s">
        <v>1229</v>
      </c>
      <c r="O1412" s="3" t="s">
        <v>1229</v>
      </c>
      <c r="P1412" s="33"/>
      <c r="Q1412" s="13" t="s">
        <v>1229</v>
      </c>
      <c r="R1412" s="14" t="s">
        <v>590</v>
      </c>
      <c r="S1412" s="409" t="s">
        <v>335</v>
      </c>
      <c r="T1412" s="60"/>
      <c r="U1412" s="409" t="s">
        <v>336</v>
      </c>
      <c r="V1412" s="409" t="s">
        <v>337</v>
      </c>
      <c r="W1412" s="418" t="s">
        <v>337</v>
      </c>
      <c r="X1412" s="962" t="s">
        <v>533</v>
      </c>
      <c r="Y1412" s="964" t="s">
        <v>590</v>
      </c>
    </row>
    <row r="1413" spans="1:35" ht="11.25" customHeight="1" thickBot="1">
      <c r="A1413" s="878">
        <v>27</v>
      </c>
      <c r="B1413" s="159"/>
      <c r="C1413" s="67"/>
      <c r="D1413" s="67"/>
      <c r="E1413" s="67"/>
      <c r="F1413" s="67"/>
      <c r="G1413" s="67"/>
      <c r="H1413" s="67"/>
      <c r="I1413" s="67"/>
      <c r="J1413" s="67"/>
      <c r="K1413" s="85"/>
      <c r="L1413" s="981" t="s">
        <v>533</v>
      </c>
      <c r="M1413" s="380" t="s">
        <v>590</v>
      </c>
      <c r="N1413" s="39" t="s">
        <v>340</v>
      </c>
      <c r="O1413" s="491" t="s">
        <v>338</v>
      </c>
      <c r="P1413" s="33" t="s">
        <v>132</v>
      </c>
      <c r="Q1413" s="39" t="s">
        <v>340</v>
      </c>
      <c r="R1413" s="39" t="s">
        <v>338</v>
      </c>
      <c r="S1413" s="411" t="s">
        <v>338</v>
      </c>
      <c r="T1413" s="60"/>
      <c r="U1413" s="405" t="s">
        <v>1230</v>
      </c>
      <c r="V1413" s="405" t="s">
        <v>341</v>
      </c>
      <c r="W1413" s="419" t="s">
        <v>341</v>
      </c>
      <c r="X1413" s="962" t="s">
        <v>533</v>
      </c>
      <c r="Y1413" s="405" t="s">
        <v>338</v>
      </c>
    </row>
    <row r="1414" spans="1:35" ht="11.25" customHeight="1">
      <c r="A1414" s="878">
        <v>28</v>
      </c>
      <c r="B1414" s="159"/>
      <c r="C1414" s="166" t="s">
        <v>699</v>
      </c>
      <c r="D1414" s="246" t="s">
        <v>619</v>
      </c>
      <c r="E1414" s="67"/>
      <c r="F1414" s="67"/>
      <c r="G1414" s="67"/>
      <c r="H1414" s="67"/>
      <c r="I1414" s="67"/>
      <c r="J1414" s="67"/>
      <c r="K1414" s="83"/>
      <c r="L1414" s="981" t="s">
        <v>533</v>
      </c>
      <c r="M1414" s="1177">
        <f t="shared" ref="M1414:M1419" si="212">IF(OR(AB211=0,AB211=""),"",AB211)</f>
        <v>49.203357696533203</v>
      </c>
      <c r="N1414" s="1622">
        <f t="shared" ref="N1414:N1419" si="213">IF(OR(AB218=0,AB218=""),"",AB218)</f>
        <v>1.6093626327114051E-2</v>
      </c>
      <c r="O1414" s="1627">
        <f>IF(OR(M1414=0,M1414="",N1414=0,N1414="",$N$1411=0,$N$1411=""),"",N1414*($N$1411/40)^2)</f>
        <v>5.6126634069078403E-3</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f>IF(O1414="","",LN(O1414))</f>
        <v>-5.1827299115210508</v>
      </c>
      <c r="V1414" s="1131">
        <f>IF(M1414="","",LN(M1414))</f>
        <v>3.8959618670341154</v>
      </c>
      <c r="W1414" s="1133" t="str">
        <f>IF(P1414="","",LN(P1414))</f>
        <v/>
      </c>
      <c r="X1414" s="962" t="s">
        <v>533</v>
      </c>
      <c r="Y1414" s="1130" t="str">
        <f t="shared" ref="Y1414:Y1419" si="214">IF(R1414="","",LN(R1414))</f>
        <v/>
      </c>
    </row>
    <row r="1415" spans="1:35" ht="11.25" customHeight="1">
      <c r="A1415" s="878">
        <v>29</v>
      </c>
      <c r="B1415" s="141" t="s">
        <v>681</v>
      </c>
      <c r="C1415" s="1290" t="str">
        <f>IF(O1422="","",IF(LEN(O1422)&lt;=135,O1422,IF(LEN(O1422)&lt;=260,LEFT(O1422,SEARCH(" ",O1422,125)),LEFT(O1422,SEARCH(" ",O1422,130)))))</f>
        <v/>
      </c>
      <c r="D1415" s="2"/>
      <c r="E1415" s="2"/>
      <c r="F1415" s="2"/>
      <c r="G1415" s="2"/>
      <c r="H1415" s="2"/>
      <c r="I1415" s="2"/>
      <c r="J1415" s="2"/>
      <c r="K1415" s="83"/>
      <c r="L1415" s="981" t="s">
        <v>533</v>
      </c>
      <c r="M1415" s="1177">
        <f t="shared" si="212"/>
        <v>70.373207092285156</v>
      </c>
      <c r="N1415" s="1622">
        <f t="shared" si="213"/>
        <v>3.6237211127307357E-2</v>
      </c>
      <c r="O1415" s="1624">
        <f>IF(OR(M1415=0,M1415="",N1415=0,N1415="",$N$1411=0,$N$1411=""),O1414,N1415*($N$1411/40)^2)</f>
        <v>1.2637752656153757E-2</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f>IF(O1415="",U1414,LN(O1415))</f>
        <v>-4.3710667022614098</v>
      </c>
      <c r="V1415" s="1131">
        <f>IF(M1415="",V1414,LN(M1415))</f>
        <v>4.2538126096491444</v>
      </c>
      <c r="W1415" s="1133" t="str">
        <f>IF(P1415="",W1414,LN(P1415))</f>
        <v/>
      </c>
      <c r="X1415" s="962" t="s">
        <v>533</v>
      </c>
      <c r="Y1415" s="1130" t="str">
        <f t="shared" si="214"/>
        <v/>
      </c>
    </row>
    <row r="1416" spans="1:35" ht="11.25" customHeight="1">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533</v>
      </c>
      <c r="M1416" s="1177">
        <f t="shared" si="212"/>
        <v>89.425773620605469</v>
      </c>
      <c r="N1416" s="1622">
        <f t="shared" si="213"/>
        <v>6.0385781549879579E-2</v>
      </c>
      <c r="O1416" s="1624">
        <f>IF(OR(M1416=0,M1416="",N1416=0,N1416="",$N$1411=0,$N$1411=""),O1415,N1416*($N$1411/40)^2)</f>
        <v>2.1059583434687376E-2</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f>IF(O1416="",U1415,LN(O1416))</f>
        <v>-3.8603995524013075</v>
      </c>
      <c r="V1416" s="1131">
        <f>IF(M1416="",V1415,LN(M1416))</f>
        <v>4.4934089361627967</v>
      </c>
      <c r="W1416" s="1133" t="str">
        <f>IF(P1416="",W1415,LN(P1416))</f>
        <v/>
      </c>
      <c r="X1416" s="962" t="s">
        <v>533</v>
      </c>
      <c r="Y1416" s="1130" t="str">
        <f t="shared" si="214"/>
        <v/>
      </c>
    </row>
    <row r="1417" spans="1:35" ht="11.25" customHeight="1">
      <c r="A1417" s="878">
        <v>31</v>
      </c>
      <c r="B1417" s="56"/>
      <c r="C1417" s="1290" t="str">
        <f>IF(LEN(O1422)&lt;=265,"",RIGHT(O1422,LEN(O1422)-SEARCH(" ",O1422,255)))</f>
        <v/>
      </c>
      <c r="D1417" s="2"/>
      <c r="E1417" s="2"/>
      <c r="F1417" s="2"/>
      <c r="G1417" s="2"/>
      <c r="H1417" s="2"/>
      <c r="I1417" s="2"/>
      <c r="J1417" s="2"/>
      <c r="K1417" s="83"/>
      <c r="L1417" s="981" t="s">
        <v>533</v>
      </c>
      <c r="M1417" s="1177">
        <f t="shared" si="212"/>
        <v>108.46017456054688</v>
      </c>
      <c r="N1417" s="1622">
        <f t="shared" si="213"/>
        <v>8.6907075314962889E-2</v>
      </c>
      <c r="O1417" s="1624">
        <f>IF(OR(M1417=0,M1417="",N1417=0,N1417="",$N$1411=0,$N$1411=""),O1416,N1417*($N$1411/40)^2)</f>
        <v>3.0308903133899584E-2</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f>IF(O1417="",U1416,LN(O1417))</f>
        <v>-3.4963137768252506</v>
      </c>
      <c r="V1417" s="1131">
        <f>IF(M1417="",V1416,LN(M1417))</f>
        <v>4.6863830508579305</v>
      </c>
      <c r="W1417" s="1133" t="str">
        <f>IF(P1417="",W1416,LN(P1417))</f>
        <v/>
      </c>
      <c r="X1417" s="962" t="s">
        <v>533</v>
      </c>
      <c r="Y1417" s="1130" t="str">
        <f t="shared" si="214"/>
        <v/>
      </c>
    </row>
    <row r="1418" spans="1:35" ht="11.25" customHeight="1">
      <c r="A1418" s="878">
        <v>32</v>
      </c>
      <c r="B1418" s="159"/>
      <c r="C1418" s="67"/>
      <c r="D1418" s="67"/>
      <c r="E1418" s="67"/>
      <c r="F1418" s="67"/>
      <c r="G1418" s="67"/>
      <c r="H1418" s="67"/>
      <c r="I1418" s="67"/>
      <c r="J1418" s="67"/>
      <c r="K1418" s="83"/>
      <c r="L1418" s="981" t="s">
        <v>533</v>
      </c>
      <c r="M1418" s="1177">
        <f t="shared" si="212"/>
        <v>128.53912353515625</v>
      </c>
      <c r="N1418" s="1622">
        <f t="shared" si="213"/>
        <v>0.11829707339368149</v>
      </c>
      <c r="O1418" s="1624">
        <f>IF(OR(M1418=0,M1418="",N1418=0,N1418="",$N$1411=0,$N$1411=""),O1417,N1418*($N$1411/40)^2)</f>
        <v>4.1256186858420148E-2</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f>IF(O1418="",U1417,LN(O1418))</f>
        <v>-3.1879541930014406</v>
      </c>
      <c r="V1418" s="1131">
        <f>IF(M1418="",V1417,LN(M1418))</f>
        <v>4.8562333213043356</v>
      </c>
      <c r="W1418" s="1133" t="str">
        <f>IF(P1418="",W1417,LN(P1418))</f>
        <v/>
      </c>
      <c r="X1418" s="962" t="s">
        <v>533</v>
      </c>
      <c r="Y1418" s="1130" t="str">
        <f t="shared" si="214"/>
        <v/>
      </c>
    </row>
    <row r="1419" spans="1:35" ht="11.25" customHeight="1" thickBot="1">
      <c r="A1419" s="878">
        <v>33</v>
      </c>
      <c r="B1419" s="159"/>
      <c r="C1419" s="102"/>
      <c r="D1419" s="14" t="s">
        <v>346</v>
      </c>
      <c r="E1419" s="67"/>
      <c r="F1419" s="67"/>
      <c r="G1419" s="67"/>
      <c r="H1419" s="102"/>
      <c r="I1419" s="14" t="s">
        <v>347</v>
      </c>
      <c r="J1419" s="67"/>
      <c r="K1419" s="83"/>
      <c r="L1419" s="981" t="s">
        <v>533</v>
      </c>
      <c r="M1419" s="1177">
        <f t="shared" si="212"/>
        <v>128.53912353515625</v>
      </c>
      <c r="N1419" s="1622">
        <f t="shared" si="213"/>
        <v>0.11829707339368149</v>
      </c>
      <c r="O1419" s="1624">
        <f>IF(OR(M1419=0,M1419="",N1419=0,N1419="",$N$1411=0,$N$1411=""),O1418,N1419*($N$1411/40)^2)</f>
        <v>4.1256186858420148E-2</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f>IF(O1419="",U1418,LN(O1419))</f>
        <v>-3.1879541930014406</v>
      </c>
      <c r="V1419" s="1131">
        <f>IF(M1419="",V1418,LN(M1419))</f>
        <v>4.8562333213043356</v>
      </c>
      <c r="W1419" s="1133" t="str">
        <f>IF(P1419="",W1418,LN(P1419))</f>
        <v/>
      </c>
      <c r="X1419" s="962" t="s">
        <v>533</v>
      </c>
      <c r="Y1419" s="1130" t="str">
        <f t="shared" si="214"/>
        <v/>
      </c>
    </row>
    <row r="1420" spans="1:35" ht="11.25" customHeight="1" thickBot="1">
      <c r="A1420" s="878">
        <v>34</v>
      </c>
      <c r="B1420" s="159"/>
      <c r="C1420" s="3"/>
      <c r="D1420" s="5" t="s">
        <v>327</v>
      </c>
      <c r="E1420" s="67"/>
      <c r="F1420" s="67"/>
      <c r="G1420" s="67"/>
      <c r="H1420" s="3"/>
      <c r="I1420" s="14" t="s">
        <v>327</v>
      </c>
      <c r="J1420" s="60"/>
      <c r="K1420" s="85"/>
      <c r="L1420" s="981" t="s">
        <v>533</v>
      </c>
      <c r="M1420" s="212" t="s">
        <v>342</v>
      </c>
      <c r="N1420" s="67"/>
      <c r="O1420" s="67"/>
      <c r="P1420" s="1326"/>
      <c r="Q1420" s="1444" t="s">
        <v>1174</v>
      </c>
      <c r="R1420" s="1445" t="s">
        <v>1175</v>
      </c>
      <c r="S1420" s="1446" t="s">
        <v>1176</v>
      </c>
      <c r="U1420" s="67"/>
      <c r="V1420" s="67"/>
      <c r="W1420" s="83"/>
      <c r="X1420" s="962" t="s">
        <v>533</v>
      </c>
    </row>
    <row r="1421" spans="1:35" ht="11.25" customHeight="1" thickBot="1">
      <c r="A1421" s="878">
        <v>35</v>
      </c>
      <c r="B1421" s="159"/>
      <c r="C1421" s="3"/>
      <c r="D1421" s="14" t="s">
        <v>1229</v>
      </c>
      <c r="E1421" s="67"/>
      <c r="F1421" s="67"/>
      <c r="G1421" s="67"/>
      <c r="H1421" s="3"/>
      <c r="I1421" s="14" t="s">
        <v>1229</v>
      </c>
      <c r="J1421" s="67"/>
      <c r="K1421" s="85"/>
      <c r="L1421" s="981" t="s">
        <v>533</v>
      </c>
      <c r="M1421" s="159"/>
      <c r="N1421" s="67"/>
      <c r="O1421" s="67"/>
      <c r="P1421" s="67"/>
      <c r="Q1421" s="1439" t="str">
        <f>IF(MAX(G1407:G1412)=0,"NA",MAX(G1407:G1412))</f>
        <v>NA</v>
      </c>
      <c r="R1421" s="1440" t="str">
        <f>IF(MAX(G1407:G1412)=0,"NA",MEDIAN(G1407:G1412))</f>
        <v>NA</v>
      </c>
      <c r="S1421" s="1442" t="str">
        <f>IF(MAX(G1407:G1412)=0,"NA",MIN(G1407:G1412))</f>
        <v>NA</v>
      </c>
      <c r="U1421" s="1427" t="s">
        <v>698</v>
      </c>
      <c r="V1421" s="1056" t="str">
        <f>IF(MIN(N1414:N1419)=0,"NA",IF(H1407="TBD","TBD",IF(OR(H1407="NO",H1408="NO",H1409="NO",H1410="NO",H1411="NO",H1412="NO"),"NO","YES")))</f>
        <v>YES</v>
      </c>
      <c r="W1421" s="85"/>
      <c r="X1421" s="962" t="s">
        <v>533</v>
      </c>
    </row>
    <row r="1422" spans="1:35" ht="11.25" customHeight="1" thickBot="1">
      <c r="A1422" s="878">
        <v>36</v>
      </c>
      <c r="B1422" s="159"/>
      <c r="C1422" s="31" t="s">
        <v>590</v>
      </c>
      <c r="D1422" s="39" t="s">
        <v>338</v>
      </c>
      <c r="E1422" s="67"/>
      <c r="F1422" s="67"/>
      <c r="G1422" s="67"/>
      <c r="H1422" s="31" t="s">
        <v>590</v>
      </c>
      <c r="I1422" s="39" t="s">
        <v>338</v>
      </c>
      <c r="J1422" s="67"/>
      <c r="K1422" s="45"/>
      <c r="L1422" s="981" t="s">
        <v>533</v>
      </c>
      <c r="M1422" s="159"/>
      <c r="N1422" s="187"/>
      <c r="O1422" s="1430" t="str">
        <f>IF(AND(O703="",O719=""),"",IF(AND(O703&lt;&gt;"",O719=""),"Lg. F:  "&amp;O703,IF(AND(O703="",O719&lt;&gt;""),"Sm. F:  "&amp;O719,"Lg. F:  "&amp;O703&amp;";  Sm. F:  "&amp;O719)))</f>
        <v/>
      </c>
      <c r="P1422" s="1437" t="s">
        <v>495</v>
      </c>
      <c r="Q1422" s="1438">
        <f>IF(AB228="","",AB228)</f>
        <v>3.9136493145644435E-2</v>
      </c>
      <c r="R1422" s="1441">
        <f>IF(AB229="","",AB229)</f>
        <v>1.0364414104073221E-2</v>
      </c>
      <c r="S1422" s="1443">
        <f>IF(AB230="","",AB230)</f>
        <v>-6.7419441880275849E-2</v>
      </c>
      <c r="T1422" s="3"/>
      <c r="U1422" s="3"/>
      <c r="V1422" s="3"/>
      <c r="W1422" s="45"/>
      <c r="X1422" s="962" t="s">
        <v>533</v>
      </c>
    </row>
    <row r="1423" spans="1:35" ht="11.25" customHeight="1">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533</v>
      </c>
      <c r="M1423" s="125"/>
      <c r="N1423" s="4"/>
      <c r="O1423" s="4"/>
      <c r="P1423" s="4"/>
      <c r="R1423" s="67"/>
      <c r="S1423" s="4"/>
      <c r="T1423" s="4"/>
      <c r="U1423" s="4"/>
      <c r="V1423" s="4"/>
      <c r="W1423" s="489"/>
      <c r="X1423" s="962" t="s">
        <v>533</v>
      </c>
    </row>
    <row r="1424" spans="1:35" ht="11.25" customHeight="1">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533</v>
      </c>
      <c r="M1424" s="264" t="s">
        <v>539</v>
      </c>
      <c r="N1424" s="67"/>
      <c r="O1424" s="67"/>
      <c r="P1424" s="67"/>
      <c r="Q1424" s="67"/>
      <c r="R1424" s="67"/>
      <c r="S1424" s="67"/>
      <c r="T1424" s="67"/>
      <c r="U1424" s="67"/>
      <c r="V1424" s="67"/>
      <c r="W1424" s="85"/>
      <c r="X1424" s="962" t="s">
        <v>533</v>
      </c>
    </row>
    <row r="1425" spans="1:24" ht="11.25" customHeight="1">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533</v>
      </c>
      <c r="M1425" s="150"/>
      <c r="N1425" s="67"/>
      <c r="O1425" s="67"/>
      <c r="P1425" s="67"/>
      <c r="Q1425" s="121" t="s">
        <v>600</v>
      </c>
      <c r="R1425" s="67"/>
      <c r="S1425" s="67"/>
      <c r="T1425" s="67"/>
      <c r="U1425" s="67"/>
      <c r="V1425" s="67"/>
      <c r="W1425" s="85"/>
      <c r="X1425" s="962" t="s">
        <v>533</v>
      </c>
    </row>
    <row r="1426" spans="1:24" ht="11.25" customHeight="1">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533</v>
      </c>
      <c r="M1426" s="887"/>
      <c r="N1426" s="62"/>
      <c r="O1426" s="122" t="s">
        <v>344</v>
      </c>
      <c r="P1426" s="122"/>
      <c r="Q1426" s="122"/>
      <c r="R1426" s="122"/>
      <c r="S1426" s="122"/>
      <c r="T1426" s="122"/>
      <c r="U1426" s="60"/>
      <c r="V1426" s="60"/>
      <c r="W1426" s="85"/>
      <c r="X1426" s="962" t="s">
        <v>533</v>
      </c>
    </row>
    <row r="1427" spans="1:24" ht="11.25" customHeight="1">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533</v>
      </c>
      <c r="M1427" s="887">
        <v>3</v>
      </c>
      <c r="O1427" s="122" t="s">
        <v>1190</v>
      </c>
      <c r="W1427" s="85"/>
      <c r="X1427" s="962" t="s">
        <v>533</v>
      </c>
    </row>
    <row r="1428" spans="1:24" ht="11.25" customHeight="1">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533</v>
      </c>
      <c r="M1428" s="887">
        <v>3</v>
      </c>
      <c r="O1428" s="122" t="s">
        <v>1191</v>
      </c>
      <c r="W1428" s="85"/>
      <c r="X1428" s="962" t="s">
        <v>533</v>
      </c>
    </row>
    <row r="1429" spans="1:24" ht="11.25" customHeight="1">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533</v>
      </c>
      <c r="M1429" s="887">
        <v>3</v>
      </c>
      <c r="O1429" s="122" t="s">
        <v>1193</v>
      </c>
      <c r="W1429" s="85"/>
      <c r="X1429" s="962" t="s">
        <v>533</v>
      </c>
    </row>
    <row r="1430" spans="1:24" ht="11.25" customHeight="1" thickBot="1">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533</v>
      </c>
      <c r="M1430" s="887"/>
      <c r="N1430" s="62"/>
      <c r="O1430" s="122" t="s">
        <v>604</v>
      </c>
      <c r="P1430" s="123"/>
      <c r="Q1430" s="123"/>
      <c r="R1430" s="123"/>
      <c r="S1430" s="123"/>
      <c r="T1430" s="123"/>
      <c r="U1430" s="60"/>
      <c r="V1430" s="1045" t="s">
        <v>405</v>
      </c>
      <c r="W1430" s="85"/>
      <c r="X1430" s="962" t="s">
        <v>533</v>
      </c>
    </row>
    <row r="1431" spans="1:24" ht="11.25" customHeight="1">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533</v>
      </c>
      <c r="M1431" s="887"/>
      <c r="N1431" s="67"/>
      <c r="O1431" s="62" t="s">
        <v>345</v>
      </c>
      <c r="P1431" s="67"/>
      <c r="Q1431" s="67"/>
      <c r="R1431" s="67"/>
      <c r="S1431" s="67"/>
      <c r="T1431" s="67"/>
      <c r="U1431" s="67"/>
      <c r="V1431" s="1044"/>
      <c r="W1431" s="84" t="str">
        <f>IF(Q52=1,"","Half")</f>
        <v>Half</v>
      </c>
      <c r="X1431" s="962" t="s">
        <v>533</v>
      </c>
    </row>
    <row r="1432" spans="1:24" ht="11.25" customHeight="1">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533</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533</v>
      </c>
    </row>
    <row r="1433" spans="1:24" ht="11.25" customHeight="1">
      <c r="A1433" s="878">
        <v>47</v>
      </c>
      <c r="B1433" s="159"/>
      <c r="C1433" s="67"/>
      <c r="D1433" s="67"/>
      <c r="E1433" s="67"/>
      <c r="F1433" s="67"/>
      <c r="G1433" s="67"/>
      <c r="H1433" s="67"/>
      <c r="I1433" s="412"/>
      <c r="J1433" s="67"/>
      <c r="K1433" s="85"/>
      <c r="L1433" s="981" t="s">
        <v>533</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533</v>
      </c>
    </row>
    <row r="1434" spans="1:24" ht="11.25" customHeight="1">
      <c r="A1434" s="878">
        <v>48</v>
      </c>
      <c r="B1434" s="159"/>
      <c r="C1434" s="67"/>
      <c r="D1434" s="67"/>
      <c r="E1434" s="67"/>
      <c r="F1434" s="67"/>
      <c r="G1434" s="67"/>
      <c r="H1434" s="67"/>
      <c r="I1434" s="432"/>
      <c r="J1434" s="67"/>
      <c r="K1434" s="85"/>
      <c r="L1434" s="981" t="s">
        <v>533</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533</v>
      </c>
    </row>
    <row r="1435" spans="1:24" ht="11.25" customHeight="1">
      <c r="A1435" s="878">
        <v>49</v>
      </c>
      <c r="B1435" s="159"/>
      <c r="C1435" s="67"/>
      <c r="D1435" s="67"/>
      <c r="E1435" s="67"/>
      <c r="F1435" s="67"/>
      <c r="G1435" s="67"/>
      <c r="H1435" s="67"/>
      <c r="I1435" s="432"/>
      <c r="J1435" s="67"/>
      <c r="K1435" s="85"/>
      <c r="L1435" s="981" t="s">
        <v>533</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533</v>
      </c>
    </row>
    <row r="1436" spans="1:24" ht="11.25" customHeight="1">
      <c r="A1436" s="878">
        <v>50</v>
      </c>
      <c r="B1436" s="159"/>
      <c r="C1436" s="67"/>
      <c r="D1436" s="67"/>
      <c r="E1436" s="67"/>
      <c r="F1436" s="67"/>
      <c r="G1436" s="67"/>
      <c r="H1436" s="67"/>
      <c r="I1436" s="432"/>
      <c r="J1436" s="67"/>
      <c r="K1436" s="85"/>
      <c r="L1436" s="981" t="s">
        <v>533</v>
      </c>
      <c r="M1436" s="887"/>
      <c r="N1436" s="67"/>
      <c r="O1436" s="122" t="str">
        <f>IF(M53=1,"","Patient restraint devices available.")</f>
        <v>Patient restraint devices available.</v>
      </c>
      <c r="P1436" s="67"/>
      <c r="Q1436" s="123"/>
      <c r="R1436" s="326"/>
      <c r="S1436" s="323"/>
      <c r="T1436" s="67"/>
      <c r="U1436" s="67"/>
      <c r="V1436" s="60"/>
      <c r="W1436" s="83"/>
      <c r="X1436" s="962" t="s">
        <v>533</v>
      </c>
    </row>
    <row r="1437" spans="1:24" ht="11.25" customHeight="1">
      <c r="A1437" s="878">
        <v>51</v>
      </c>
      <c r="B1437" s="159"/>
      <c r="C1437" s="67"/>
      <c r="D1437" s="67"/>
      <c r="E1437" s="67"/>
      <c r="F1437" s="67"/>
      <c r="G1437" s="67"/>
      <c r="H1437" s="67"/>
      <c r="I1437" s="432"/>
      <c r="J1437" s="67"/>
      <c r="K1437" s="85"/>
      <c r="L1437" s="981" t="s">
        <v>533</v>
      </c>
      <c r="M1437" s="887"/>
      <c r="N1437" s="62"/>
      <c r="O1437" s="122" t="str">
        <f>IF(M53=1,"","Gonadal shielding is present and functional.")</f>
        <v>Gonadal shielding is present and functional.</v>
      </c>
      <c r="P1437" s="123"/>
      <c r="Q1437" s="123"/>
      <c r="R1437" s="123"/>
      <c r="S1437" s="123"/>
      <c r="T1437" s="123"/>
      <c r="U1437" s="60"/>
      <c r="V1437" s="60"/>
      <c r="W1437" s="83"/>
      <c r="X1437" s="962" t="s">
        <v>533</v>
      </c>
    </row>
    <row r="1438" spans="1:24" ht="11.25" customHeight="1">
      <c r="A1438" s="878">
        <v>52</v>
      </c>
      <c r="B1438" s="159"/>
      <c r="C1438" s="67"/>
      <c r="D1438" s="67"/>
      <c r="E1438" s="67"/>
      <c r="F1438" s="67"/>
      <c r="G1438" s="67"/>
      <c r="H1438" s="67"/>
      <c r="I1438" s="432"/>
      <c r="J1438" s="67"/>
      <c r="K1438" s="85"/>
      <c r="L1438" s="981" t="s">
        <v>533</v>
      </c>
      <c r="M1438" s="887"/>
      <c r="N1438" s="62"/>
      <c r="O1438" s="122" t="s">
        <v>616</v>
      </c>
      <c r="P1438" s="123"/>
      <c r="Q1438" s="123"/>
      <c r="R1438" s="123"/>
      <c r="S1438" s="123"/>
      <c r="T1438" s="123"/>
      <c r="U1438" s="60"/>
      <c r="V1438" s="60"/>
      <c r="W1438" s="83"/>
      <c r="X1438" s="962" t="s">
        <v>533</v>
      </c>
    </row>
    <row r="1439" spans="1:24" ht="11.25" customHeight="1">
      <c r="A1439" s="878">
        <v>53</v>
      </c>
      <c r="B1439" s="159"/>
      <c r="C1439" s="67"/>
      <c r="D1439" s="67"/>
      <c r="E1439" s="67"/>
      <c r="F1439" s="67"/>
      <c r="G1439" s="67"/>
      <c r="H1439" s="67"/>
      <c r="I1439" s="432"/>
      <c r="J1439" s="67"/>
      <c r="K1439" s="85"/>
      <c r="L1439" s="981" t="s">
        <v>533</v>
      </c>
      <c r="M1439" s="275"/>
      <c r="T1439" s="67"/>
      <c r="U1439" s="67"/>
      <c r="V1439" s="67"/>
      <c r="W1439" s="85"/>
      <c r="X1439" s="962" t="s">
        <v>533</v>
      </c>
    </row>
    <row r="1440" spans="1:24" ht="11.25" customHeight="1">
      <c r="A1440" s="878">
        <v>54</v>
      </c>
      <c r="B1440" s="159"/>
      <c r="C1440" s="67"/>
      <c r="D1440" s="67"/>
      <c r="E1440" s="67"/>
      <c r="F1440" s="67"/>
      <c r="G1440" s="67"/>
      <c r="H1440" s="67"/>
      <c r="I1440" s="432"/>
      <c r="J1440" s="67"/>
      <c r="K1440" s="85"/>
      <c r="L1440" s="981" t="s">
        <v>533</v>
      </c>
      <c r="M1440" s="275"/>
      <c r="N1440" s="67"/>
      <c r="O1440" s="67"/>
      <c r="P1440" s="67"/>
      <c r="Q1440" s="121" t="s">
        <v>639</v>
      </c>
      <c r="R1440" s="67"/>
      <c r="S1440" s="67"/>
      <c r="T1440" s="123"/>
      <c r="U1440" s="60"/>
      <c r="V1440" s="60"/>
      <c r="W1440" s="83"/>
      <c r="X1440" s="962" t="s">
        <v>533</v>
      </c>
    </row>
    <row r="1441" spans="1:24" ht="11.25" customHeight="1">
      <c r="A1441" s="878">
        <v>55</v>
      </c>
      <c r="B1441" s="159"/>
      <c r="C1441" s="67"/>
      <c r="D1441" s="67"/>
      <c r="E1441" s="67"/>
      <c r="F1441" s="67"/>
      <c r="G1441" s="67"/>
      <c r="H1441" s="67"/>
      <c r="I1441" s="432"/>
      <c r="J1441" s="67"/>
      <c r="K1441" s="85"/>
      <c r="L1441" s="981" t="s">
        <v>533</v>
      </c>
      <c r="M1441" s="887"/>
      <c r="N1441" s="62"/>
      <c r="O1441" s="122" t="s">
        <v>641</v>
      </c>
      <c r="P1441" s="123"/>
      <c r="Q1441" s="123"/>
      <c r="R1441" s="123"/>
      <c r="S1441" s="123"/>
      <c r="T1441" s="123"/>
      <c r="U1441" s="60"/>
      <c r="V1441" s="60"/>
      <c r="W1441" s="83"/>
      <c r="X1441" s="962" t="s">
        <v>533</v>
      </c>
    </row>
    <row r="1442" spans="1:24" ht="11.25" customHeight="1">
      <c r="A1442" s="878">
        <v>56</v>
      </c>
      <c r="B1442" s="159"/>
      <c r="C1442" s="67"/>
      <c r="D1442" s="67"/>
      <c r="E1442" s="67"/>
      <c r="F1442" s="67"/>
      <c r="G1442" s="67"/>
      <c r="H1442" s="67"/>
      <c r="I1442" s="432"/>
      <c r="J1442" s="67"/>
      <c r="K1442" s="85"/>
      <c r="L1442" s="981" t="s">
        <v>533</v>
      </c>
      <c r="M1442" s="887"/>
      <c r="N1442" s="62"/>
      <c r="O1442" s="122" t="s">
        <v>643</v>
      </c>
      <c r="P1442" s="123"/>
      <c r="Q1442" s="123"/>
      <c r="R1442" s="123"/>
      <c r="S1442" s="123"/>
      <c r="T1442" s="123"/>
      <c r="U1442" s="60"/>
      <c r="V1442" s="60"/>
      <c r="W1442" s="83"/>
      <c r="X1442" s="962" t="s">
        <v>533</v>
      </c>
    </row>
    <row r="1443" spans="1:24" ht="11.25" customHeight="1">
      <c r="A1443" s="878">
        <v>57</v>
      </c>
      <c r="B1443" s="159"/>
      <c r="C1443" s="67"/>
      <c r="D1443" s="67"/>
      <c r="E1443" s="67"/>
      <c r="F1443" s="67"/>
      <c r="G1443" s="67"/>
      <c r="H1443" s="67"/>
      <c r="I1443" s="432"/>
      <c r="J1443" s="67"/>
      <c r="K1443" s="85"/>
      <c r="L1443" s="981" t="s">
        <v>533</v>
      </c>
      <c r="M1443" s="887"/>
      <c r="N1443" s="62"/>
      <c r="O1443" s="122" t="s">
        <v>644</v>
      </c>
      <c r="P1443" s="123"/>
      <c r="Q1443" s="123"/>
      <c r="R1443" s="123"/>
      <c r="S1443" s="123"/>
      <c r="T1443" s="62"/>
      <c r="U1443" s="62"/>
      <c r="V1443" s="62"/>
      <c r="W1443" s="84"/>
      <c r="X1443" s="962" t="s">
        <v>533</v>
      </c>
    </row>
    <row r="1444" spans="1:24" ht="11.25" customHeight="1">
      <c r="A1444" s="878">
        <v>58</v>
      </c>
      <c r="B1444" s="159"/>
      <c r="C1444" s="60"/>
      <c r="D1444" s="60"/>
      <c r="E1444" s="67"/>
      <c r="F1444" s="67"/>
      <c r="G1444" s="60"/>
      <c r="H1444" s="432"/>
      <c r="I1444" s="432"/>
      <c r="J1444" s="67"/>
      <c r="K1444" s="85"/>
      <c r="L1444" s="981" t="s">
        <v>533</v>
      </c>
      <c r="M1444" s="887"/>
      <c r="N1444" s="62"/>
      <c r="O1444" s="62" t="s">
        <v>646</v>
      </c>
      <c r="P1444" s="62"/>
      <c r="Q1444" s="62"/>
      <c r="R1444" s="62"/>
      <c r="S1444" s="62"/>
      <c r="T1444" s="62"/>
      <c r="U1444" s="62"/>
      <c r="V1444" s="62"/>
      <c r="W1444" s="84"/>
      <c r="X1444" s="962" t="s">
        <v>533</v>
      </c>
    </row>
    <row r="1445" spans="1:24" ht="11.25" customHeight="1">
      <c r="A1445" s="878">
        <v>59</v>
      </c>
      <c r="B1445" s="159"/>
      <c r="C1445" s="67"/>
      <c r="D1445" s="67"/>
      <c r="E1445" s="67"/>
      <c r="F1445" s="67"/>
      <c r="G1445" s="67"/>
      <c r="H1445" s="67"/>
      <c r="I1445" s="67"/>
      <c r="J1445" s="67"/>
      <c r="K1445" s="85"/>
      <c r="L1445" s="981" t="s">
        <v>533</v>
      </c>
      <c r="M1445" s="887"/>
      <c r="N1445" s="62"/>
      <c r="O1445" s="62" t="s">
        <v>648</v>
      </c>
      <c r="P1445" s="62"/>
      <c r="Q1445" s="62"/>
      <c r="R1445" s="62"/>
      <c r="S1445" s="62"/>
      <c r="T1445" s="62"/>
      <c r="U1445" s="62"/>
      <c r="V1445" s="62"/>
      <c r="W1445" s="84"/>
      <c r="X1445" s="962" t="s">
        <v>533</v>
      </c>
    </row>
    <row r="1446" spans="1:24" ht="11.25" customHeight="1">
      <c r="A1446" s="878">
        <v>60</v>
      </c>
      <c r="B1446" s="159"/>
      <c r="C1446" s="67"/>
      <c r="D1446" s="67"/>
      <c r="E1446" s="67"/>
      <c r="F1446" s="67"/>
      <c r="G1446" s="67"/>
      <c r="H1446" s="67"/>
      <c r="I1446" s="67"/>
      <c r="J1446" s="67"/>
      <c r="K1446" s="85"/>
      <c r="L1446" s="981" t="s">
        <v>533</v>
      </c>
      <c r="M1446" s="887"/>
      <c r="N1446" s="62"/>
      <c r="O1446" s="62" t="s">
        <v>649</v>
      </c>
      <c r="P1446" s="62"/>
      <c r="Q1446" s="62"/>
      <c r="R1446" s="62"/>
      <c r="S1446" s="62"/>
      <c r="T1446" s="62"/>
      <c r="U1446" s="62"/>
      <c r="V1446" s="62"/>
      <c r="W1446" s="84"/>
      <c r="X1446" s="962" t="s">
        <v>533</v>
      </c>
    </row>
    <row r="1447" spans="1:24" ht="11.25" customHeight="1">
      <c r="A1447" s="878">
        <v>61</v>
      </c>
      <c r="B1447" s="159"/>
      <c r="C1447" s="67"/>
      <c r="D1447" s="67"/>
      <c r="E1447" s="67"/>
      <c r="F1447" s="67"/>
      <c r="G1447" s="67"/>
      <c r="H1447" s="67"/>
      <c r="I1447" s="67"/>
      <c r="J1447" s="67"/>
      <c r="K1447" s="85"/>
      <c r="L1447" s="981" t="s">
        <v>533</v>
      </c>
      <c r="M1447" s="887"/>
      <c r="N1447" s="62"/>
      <c r="O1447" s="62" t="s">
        <v>651</v>
      </c>
      <c r="P1447" s="62"/>
      <c r="Q1447" s="62"/>
      <c r="R1447" s="62"/>
      <c r="S1447" s="62"/>
      <c r="T1447" s="62"/>
      <c r="U1447" s="62"/>
      <c r="V1447" s="62"/>
      <c r="W1447" s="84"/>
      <c r="X1447" s="962" t="s">
        <v>533</v>
      </c>
    </row>
    <row r="1448" spans="1:24" ht="11.25" customHeight="1">
      <c r="A1448" s="878">
        <v>62</v>
      </c>
      <c r="B1448" s="159"/>
      <c r="C1448" s="67"/>
      <c r="D1448" s="67"/>
      <c r="E1448" s="67"/>
      <c r="F1448" s="67"/>
      <c r="G1448" s="67"/>
      <c r="H1448" s="67"/>
      <c r="I1448" s="67"/>
      <c r="J1448" s="67"/>
      <c r="K1448" s="85"/>
      <c r="L1448" s="981" t="s">
        <v>533</v>
      </c>
      <c r="M1448" s="887"/>
      <c r="N1448" s="62"/>
      <c r="O1448" s="62" t="s">
        <v>652</v>
      </c>
      <c r="P1448" s="62"/>
      <c r="Q1448" s="62"/>
      <c r="R1448" s="62"/>
      <c r="S1448" s="62"/>
      <c r="T1448" s="123"/>
      <c r="U1448" s="60"/>
      <c r="V1448" s="60"/>
      <c r="W1448" s="83"/>
      <c r="X1448" s="962" t="s">
        <v>533</v>
      </c>
    </row>
    <row r="1449" spans="1:24" ht="11.25" customHeight="1">
      <c r="A1449" s="878">
        <v>63</v>
      </c>
      <c r="B1449" s="159"/>
      <c r="C1449" s="67"/>
      <c r="D1449" s="67"/>
      <c r="E1449" s="67"/>
      <c r="F1449" s="67"/>
      <c r="G1449" s="67"/>
      <c r="H1449" s="67"/>
      <c r="I1449" s="67"/>
      <c r="J1449" s="67"/>
      <c r="K1449" s="85"/>
      <c r="L1449" s="981" t="s">
        <v>533</v>
      </c>
      <c r="M1449" s="887"/>
      <c r="N1449" s="62"/>
      <c r="O1449" s="122" t="s">
        <v>653</v>
      </c>
      <c r="P1449" s="123"/>
      <c r="Q1449" s="123"/>
      <c r="R1449" s="123"/>
      <c r="S1449" s="123"/>
      <c r="T1449" s="67"/>
      <c r="U1449" s="67"/>
      <c r="V1449" s="67"/>
      <c r="W1449" s="85"/>
      <c r="X1449" s="962" t="s">
        <v>533</v>
      </c>
    </row>
    <row r="1450" spans="1:24" ht="11.25" customHeight="1" thickBot="1">
      <c r="A1450" s="878">
        <v>64</v>
      </c>
      <c r="B1450" s="40"/>
      <c r="C1450" s="384"/>
      <c r="D1450" s="384"/>
      <c r="E1450" s="384"/>
      <c r="F1450" s="384"/>
      <c r="G1450" s="384"/>
      <c r="H1450" s="384"/>
      <c r="I1450" s="384"/>
      <c r="J1450" s="384"/>
      <c r="K1450" s="103"/>
      <c r="L1450" s="981" t="s">
        <v>533</v>
      </c>
      <c r="M1450" s="40"/>
      <c r="N1450" s="384"/>
      <c r="O1450" s="384"/>
      <c r="P1450" s="384"/>
      <c r="Q1450" s="384"/>
      <c r="R1450" s="384"/>
      <c r="S1450" s="384"/>
      <c r="T1450" s="384"/>
      <c r="U1450" s="384"/>
      <c r="V1450" s="384"/>
      <c r="W1450" s="385"/>
      <c r="X1450" s="962" t="s">
        <v>533</v>
      </c>
    </row>
    <row r="1451" spans="1:24" ht="11.25" customHeight="1" thickTop="1">
      <c r="A1451" s="878">
        <v>65</v>
      </c>
      <c r="B1451" s="64" t="str">
        <f t="array" ref="B1451:C1452">$B$65:$C$66</f>
        <v>Date:</v>
      </c>
      <c r="C1451" s="1467">
        <v>43039</v>
      </c>
      <c r="E1451" s="63"/>
      <c r="F1451" s="63"/>
      <c r="G1451" s="63"/>
      <c r="H1451" s="63"/>
      <c r="I1451" s="64" t="str">
        <f t="array" ref="I1451:J1452">$I$65:$J$66</f>
        <v>Inspector:</v>
      </c>
      <c r="J1451" s="565" t="str">
        <v>Eugene Mah</v>
      </c>
      <c r="L1451" s="981" t="s">
        <v>533</v>
      </c>
      <c r="M1451" s="1"/>
      <c r="N1451" s="1"/>
      <c r="O1451" s="1"/>
      <c r="P1451" s="1"/>
      <c r="Q1451" s="1"/>
      <c r="R1451" s="1"/>
      <c r="S1451" s="1"/>
      <c r="T1451" s="1"/>
      <c r="U1451" s="1"/>
      <c r="V1451" s="1"/>
      <c r="W1451" s="1"/>
      <c r="X1451" s="962" t="s">
        <v>533</v>
      </c>
    </row>
    <row r="1452" spans="1:24" ht="11.25" customHeight="1">
      <c r="A1452" s="878">
        <v>66</v>
      </c>
      <c r="B1452" s="64" t="str">
        <v>Room Number:</v>
      </c>
      <c r="C1452" s="508" t="str">
        <v>Room 04 RT 127M - Tube 1</v>
      </c>
      <c r="E1452" s="63"/>
      <c r="F1452" s="63"/>
      <c r="G1452" s="63"/>
      <c r="H1452" s="63"/>
      <c r="I1452" s="64" t="str">
        <v>Survey ID:</v>
      </c>
      <c r="J1452" s="1475">
        <v>1976</v>
      </c>
      <c r="L1452" s="981" t="s">
        <v>533</v>
      </c>
      <c r="M1452" s="1"/>
      <c r="N1452" s="1"/>
      <c r="O1452" s="1"/>
      <c r="P1452" s="1"/>
      <c r="Q1452" s="1"/>
      <c r="R1452" s="1"/>
      <c r="S1452" s="1"/>
      <c r="T1452" s="1"/>
      <c r="U1452" s="1"/>
      <c r="V1452" s="1"/>
      <c r="W1452" s="1"/>
      <c r="X1452" s="962" t="s">
        <v>533</v>
      </c>
    </row>
    <row r="1453" spans="1:24" ht="11.25" customHeight="1">
      <c r="A1453" s="878">
        <v>1</v>
      </c>
      <c r="B1453" s="441"/>
      <c r="C1453" s="441"/>
      <c r="D1453" s="441"/>
      <c r="E1453" s="441"/>
      <c r="F1453" s="441"/>
      <c r="G1453" s="441"/>
      <c r="H1453" s="441"/>
      <c r="I1453" s="441"/>
      <c r="J1453" s="441"/>
      <c r="K1453" s="701" t="str">
        <f>$F$2</f>
        <v>Medical University of South Carolina</v>
      </c>
      <c r="L1453" s="981" t="s">
        <v>533</v>
      </c>
      <c r="M1453" s="1"/>
      <c r="N1453" s="1"/>
      <c r="O1453" s="1"/>
      <c r="P1453" s="1"/>
      <c r="Q1453" s="1"/>
      <c r="R1453" s="1"/>
      <c r="S1453" s="1"/>
      <c r="T1453" s="1"/>
      <c r="U1453" s="1"/>
      <c r="V1453" s="1"/>
      <c r="W1453" s="165" t="str">
        <f>$F$2</f>
        <v>Medical University of South Carolina</v>
      </c>
      <c r="X1453" s="962" t="s">
        <v>533</v>
      </c>
    </row>
    <row r="1454" spans="1:24" ht="11.25" customHeight="1">
      <c r="A1454" s="878">
        <v>2</v>
      </c>
      <c r="B1454" s="441"/>
      <c r="C1454" s="441"/>
      <c r="D1454" s="441"/>
      <c r="E1454" s="441"/>
      <c r="F1454" s="441"/>
      <c r="G1454" s="441"/>
      <c r="H1454" s="441"/>
      <c r="I1454" s="441"/>
      <c r="J1454" s="441"/>
      <c r="K1454" s="702" t="str">
        <f>$F$5</f>
        <v>Radiographic System Compliance Inspection</v>
      </c>
      <c r="L1454" s="981" t="s">
        <v>533</v>
      </c>
      <c r="M1454" s="1"/>
      <c r="N1454" s="1"/>
      <c r="O1454" s="1"/>
      <c r="P1454" s="1"/>
      <c r="Q1454" s="1"/>
      <c r="R1454" s="1"/>
      <c r="S1454" s="1"/>
      <c r="T1454" s="1"/>
      <c r="U1454" s="1"/>
      <c r="V1454" s="1"/>
      <c r="W1454" s="166" t="str">
        <f>$F$5</f>
        <v>Radiographic System Compliance Inspection</v>
      </c>
      <c r="X1454" s="962" t="s">
        <v>533</v>
      </c>
    </row>
    <row r="1455" spans="1:24" ht="11.25" customHeight="1" thickBot="1">
      <c r="A1455" s="878">
        <v>3</v>
      </c>
      <c r="B1455" s="200"/>
      <c r="C1455" s="200"/>
      <c r="D1455" s="200"/>
      <c r="E1455" s="200"/>
      <c r="F1455" s="200"/>
      <c r="G1455" s="200"/>
      <c r="H1455" s="200"/>
      <c r="I1455" s="200"/>
      <c r="J1455" s="200"/>
      <c r="K1455" s="200"/>
      <c r="L1455" s="981" t="s">
        <v>533</v>
      </c>
      <c r="M1455" s="1"/>
      <c r="N1455" s="963" t="s">
        <v>405</v>
      </c>
      <c r="O1455" s="1"/>
      <c r="P1455" s="1"/>
      <c r="Q1455" s="1"/>
      <c r="R1455" s="1"/>
      <c r="S1455" s="1"/>
      <c r="T1455" s="1"/>
      <c r="U1455" s="1"/>
      <c r="V1455" s="1"/>
      <c r="W1455" s="1"/>
      <c r="X1455" s="962" t="s">
        <v>533</v>
      </c>
    </row>
    <row r="1456" spans="1:24" ht="11.25" customHeight="1" thickTop="1">
      <c r="A1456" s="878">
        <v>4</v>
      </c>
      <c r="B1456" s="200"/>
      <c r="C1456" s="200"/>
      <c r="D1456" s="200"/>
      <c r="E1456" s="200"/>
      <c r="F1456" s="344" t="str">
        <f>$F$464</f>
        <v>Measurement Data</v>
      </c>
      <c r="G1456" s="200"/>
      <c r="H1456" s="200"/>
      <c r="I1456" s="200"/>
      <c r="J1456" s="200"/>
      <c r="K1456" s="200"/>
      <c r="L1456" s="981" t="s">
        <v>533</v>
      </c>
      <c r="M1456" s="1178">
        <f>IF(N1456&lt;&gt;"",N1456,IF($M$409=1,$M$421,IF(OR(AB233=0,AB233=""),10,AB233)))</f>
        <v>4.7</v>
      </c>
      <c r="N1456" s="1005"/>
      <c r="O1456" s="584" t="s">
        <v>348</v>
      </c>
      <c r="P1456" s="397"/>
      <c r="Q1456" s="397"/>
      <c r="R1456" s="397"/>
      <c r="S1456" s="397"/>
      <c r="T1456" s="397"/>
      <c r="U1456" s="397"/>
      <c r="V1456" s="397"/>
      <c r="W1456" s="398"/>
      <c r="X1456" s="962" t="s">
        <v>533</v>
      </c>
    </row>
    <row r="1457" spans="1:33" ht="11.25" customHeight="1" thickBot="1">
      <c r="A1457" s="878">
        <v>5</v>
      </c>
      <c r="B1457" s="441"/>
      <c r="C1457" s="441"/>
      <c r="D1457" s="441"/>
      <c r="E1457" s="441"/>
      <c r="F1457" s="441"/>
      <c r="G1457" s="441"/>
      <c r="H1457" s="441"/>
      <c r="I1457" s="441"/>
      <c r="J1457" s="441"/>
      <c r="K1457" s="441"/>
      <c r="L1457" s="981" t="s">
        <v>533</v>
      </c>
      <c r="M1457" s="1179">
        <f>IF(N1457&lt;&gt;"",N1457,IF(OR(AB234=0,AB234=""),200,AB234))</f>
        <v>400</v>
      </c>
      <c r="N1457" s="1006">
        <v>400</v>
      </c>
      <c r="O1457" s="62" t="s">
        <v>349</v>
      </c>
      <c r="P1457" s="3"/>
      <c r="Q1457" s="3"/>
      <c r="R1457" s="3"/>
      <c r="S1457" s="3"/>
      <c r="T1457" s="3"/>
      <c r="U1457" s="3"/>
      <c r="V1457" s="3"/>
      <c r="W1457" s="45"/>
      <c r="X1457" s="962" t="s">
        <v>533</v>
      </c>
    </row>
    <row r="1458" spans="1:33" ht="11.25" customHeight="1" thickTop="1" thickBot="1">
      <c r="A1458" s="878">
        <v>6</v>
      </c>
      <c r="B1458" s="436"/>
      <c r="C1458" s="437"/>
      <c r="D1458" s="437"/>
      <c r="E1458" s="437"/>
      <c r="F1458" s="437"/>
      <c r="G1458" s="437"/>
      <c r="H1458" s="437"/>
      <c r="I1458" s="437"/>
      <c r="J1458" s="437"/>
      <c r="K1458" s="438"/>
      <c r="L1458" s="981" t="s">
        <v>533</v>
      </c>
      <c r="M1458" s="1179">
        <f>IF(N1458&lt;&gt;"",N1458,IF(OR(AB235=0,AB235=""),100,AB235))</f>
        <v>200</v>
      </c>
      <c r="N1458" s="1006">
        <v>200</v>
      </c>
      <c r="O1458" s="62" t="s">
        <v>350</v>
      </c>
      <c r="P1458" s="115"/>
      <c r="Q1458" s="115"/>
      <c r="R1458" s="131" t="s">
        <v>668</v>
      </c>
      <c r="S1458" s="115"/>
      <c r="T1458" s="115"/>
      <c r="U1458" s="115"/>
      <c r="V1458" s="115"/>
      <c r="W1458" s="100"/>
      <c r="X1458" s="962" t="s">
        <v>533</v>
      </c>
    </row>
    <row r="1459" spans="1:33" ht="11.25" customHeight="1" thickBot="1">
      <c r="A1459" s="878">
        <v>7</v>
      </c>
      <c r="B1459" s="442"/>
      <c r="C1459" s="204"/>
      <c r="D1459" s="204"/>
      <c r="E1459" s="204"/>
      <c r="F1459" s="47" t="str">
        <f t="array" ref="F1459:J1499">IF($AX$686:$BB$747="","",$AX$686:$BB$747)</f>
        <v/>
      </c>
      <c r="G1459" s="47" t="str">
        <v/>
      </c>
      <c r="H1459" s="47" t="str">
        <v/>
      </c>
      <c r="I1459" s="695" t="str">
        <v>Exp</v>
      </c>
      <c r="J1459" s="47" t="str">
        <v/>
      </c>
      <c r="K1459" s="614"/>
      <c r="L1459" s="981" t="s">
        <v>533</v>
      </c>
      <c r="M1459" s="159"/>
      <c r="N1459" s="115"/>
      <c r="O1459" s="115"/>
      <c r="P1459" s="115"/>
      <c r="Q1459" s="115"/>
      <c r="R1459" s="115"/>
      <c r="S1459" s="115"/>
      <c r="T1459" s="115"/>
      <c r="U1459" s="115"/>
      <c r="V1459" s="115"/>
      <c r="W1459" s="100"/>
      <c r="X1459" s="962" t="s">
        <v>533</v>
      </c>
      <c r="Y1459" s="992" t="s">
        <v>485</v>
      </c>
    </row>
    <row r="1460" spans="1:33" ht="11.25" customHeight="1" thickTop="1" thickBot="1">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533</v>
      </c>
      <c r="M1460" s="605" t="s">
        <v>669</v>
      </c>
      <c r="N1460" s="602" t="str">
        <f>IF(AND($T$32="",$T$45=""),"??",IF(OR($T$32="",$U$54=2,$U$54="LAT",$U$54="LATERAL"),$T$45,$T$32))&amp;IF(AND(T33="",T46=""),""," / ")&amp;IF(OR($T$33="",$U$54=2,$U$54="LAT",$U$54="LATERAL"),$T$46,$T$33)</f>
        <v>DR</v>
      </c>
      <c r="O1460" s="606"/>
      <c r="P1460" s="137"/>
      <c r="Q1460" s="137"/>
      <c r="R1460" s="137"/>
      <c r="S1460" s="149"/>
      <c r="T1460" s="604" t="s">
        <v>492</v>
      </c>
      <c r="U1460" s="1576">
        <f>IF($O$8="","",$O$8)</f>
        <v>43039</v>
      </c>
      <c r="V1460" s="94"/>
      <c r="W1460" s="83"/>
      <c r="X1460" s="962" t="s">
        <v>533</v>
      </c>
      <c r="Y1460" s="993" t="s">
        <v>488</v>
      </c>
    </row>
    <row r="1461" spans="1:33" ht="11.25" customHeight="1" thickBot="1">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533</v>
      </c>
      <c r="M1461" s="150"/>
      <c r="N1461" s="60"/>
      <c r="O1461" s="60"/>
      <c r="P1461" s="145" t="s">
        <v>670</v>
      </c>
      <c r="Q1461" s="60"/>
      <c r="R1461" s="60"/>
      <c r="S1461" s="60"/>
      <c r="T1461" s="60"/>
      <c r="U1461" s="1578" t="s">
        <v>671</v>
      </c>
      <c r="V1461" s="85"/>
      <c r="W1461" s="83"/>
      <c r="X1461" s="962" t="s">
        <v>533</v>
      </c>
      <c r="Y1461" s="994" t="s">
        <v>671</v>
      </c>
    </row>
    <row r="1462" spans="1:33" ht="11.25" customHeight="1">
      <c r="A1462" s="878">
        <v>10</v>
      </c>
      <c r="B1462" s="707">
        <v>60</v>
      </c>
      <c r="C1462" s="708">
        <v>400</v>
      </c>
      <c r="D1462" s="709">
        <v>0.05</v>
      </c>
      <c r="E1462" s="710" t="str">
        <v>Large</v>
      </c>
      <c r="F1462" s="696" t="str">
        <v/>
      </c>
      <c r="G1462" s="696" t="str">
        <v/>
      </c>
      <c r="H1462" s="696" t="str">
        <v/>
      </c>
      <c r="I1462" s="697" t="str">
        <v/>
      </c>
      <c r="J1462" s="698" t="str">
        <v/>
      </c>
      <c r="K1462" s="614" t="str">
        <v/>
      </c>
      <c r="L1462" s="981" t="s">
        <v>533</v>
      </c>
      <c r="M1462" s="152"/>
      <c r="N1462" s="145"/>
      <c r="O1462" s="145" t="s">
        <v>640</v>
      </c>
      <c r="P1462" s="145" t="s">
        <v>672</v>
      </c>
      <c r="Q1462" s="145" t="s">
        <v>673</v>
      </c>
      <c r="R1462" s="145"/>
      <c r="S1462" s="145"/>
      <c r="T1462" s="145"/>
      <c r="U1462" s="145" t="s">
        <v>674</v>
      </c>
      <c r="V1462" s="85" t="s">
        <v>1238</v>
      </c>
      <c r="W1462" s="83"/>
      <c r="X1462" s="962" t="s">
        <v>533</v>
      </c>
      <c r="Y1462" s="994" t="s">
        <v>674</v>
      </c>
      <c r="Z1462" s="1375" t="s">
        <v>693</v>
      </c>
    </row>
    <row r="1463" spans="1:33" ht="11.25" customHeight="1" thickBot="1">
      <c r="A1463" s="878">
        <v>11</v>
      </c>
      <c r="B1463" s="707">
        <v>60</v>
      </c>
      <c r="C1463" s="708">
        <v>400</v>
      </c>
      <c r="D1463" s="709">
        <v>0.05</v>
      </c>
      <c r="E1463" s="710" t="str">
        <v>Large</v>
      </c>
      <c r="F1463" s="696" t="str">
        <v/>
      </c>
      <c r="G1463" s="696" t="str">
        <v/>
      </c>
      <c r="H1463" s="696" t="str">
        <v/>
      </c>
      <c r="I1463" s="697" t="str">
        <v/>
      </c>
      <c r="J1463" s="698" t="str">
        <v/>
      </c>
      <c r="K1463" s="614" t="str">
        <v/>
      </c>
      <c r="L1463" s="981" t="s">
        <v>533</v>
      </c>
      <c r="M1463" s="153" t="s">
        <v>676</v>
      </c>
      <c r="N1463" s="146" t="s">
        <v>677</v>
      </c>
      <c r="O1463" s="146" t="s">
        <v>678</v>
      </c>
      <c r="P1463" s="146" t="s">
        <v>679</v>
      </c>
      <c r="Q1463" s="146" t="s">
        <v>678</v>
      </c>
      <c r="R1463" s="146" t="s">
        <v>590</v>
      </c>
      <c r="S1463" s="9" t="str">
        <f>IF(MIN($T$694:$T$701)&gt;0,LFMAS,IF(MIN($T$712:$T$717)&gt;0,SFMAS,"mA/mAs"))</f>
        <v>mA/mAs</v>
      </c>
      <c r="T1463" s="146" t="s">
        <v>680</v>
      </c>
      <c r="U1463" s="146" t="s">
        <v>1231</v>
      </c>
      <c r="V1463" s="85" t="s">
        <v>1239</v>
      </c>
      <c r="W1463" s="83" t="s">
        <v>704</v>
      </c>
      <c r="X1463" s="962" t="s">
        <v>533</v>
      </c>
      <c r="Y1463" s="995" t="s">
        <v>1231</v>
      </c>
      <c r="Z1463" s="1376" t="s">
        <v>339</v>
      </c>
    </row>
    <row r="1464" spans="1:33" ht="11.25" customHeight="1">
      <c r="A1464" s="878">
        <v>12</v>
      </c>
      <c r="B1464" s="707">
        <v>60</v>
      </c>
      <c r="C1464" s="708">
        <v>400</v>
      </c>
      <c r="D1464" s="709">
        <v>0.05</v>
      </c>
      <c r="E1464" s="710" t="str">
        <v>Large</v>
      </c>
      <c r="F1464" s="696" t="str">
        <v/>
      </c>
      <c r="G1464" s="696" t="str">
        <v/>
      </c>
      <c r="H1464" s="696" t="str">
        <v/>
      </c>
      <c r="I1464" s="697" t="str">
        <v/>
      </c>
      <c r="J1464" s="698" t="str">
        <v/>
      </c>
      <c r="K1464" s="614" t="str">
        <v/>
      </c>
      <c r="L1464" s="981" t="s">
        <v>533</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533</v>
      </c>
      <c r="Y1464" s="1184">
        <f t="shared" ref="Y1464:Y1473" si="225">IF(OR(AB490="",AB490=0),"",AB490)</f>
        <v>9.0340946978597153E-2</v>
      </c>
      <c r="Z1464" s="1377" t="str">
        <f t="shared" ref="Z1464:Z1473" si="226">IF(OR(U1464="",Y1464=""),"",(U1464-Y1464)/Y1464)</f>
        <v/>
      </c>
      <c r="AG1464" s="1580"/>
    </row>
    <row r="1465" spans="1:33" ht="11.25" customHeight="1">
      <c r="A1465" s="878">
        <v>13</v>
      </c>
      <c r="B1465" s="707">
        <v>60</v>
      </c>
      <c r="C1465" s="708">
        <v>400</v>
      </c>
      <c r="D1465" s="709">
        <v>0.05</v>
      </c>
      <c r="E1465" s="710" t="str">
        <v>Large</v>
      </c>
      <c r="F1465" s="696" t="str">
        <v/>
      </c>
      <c r="G1465" s="696" t="str">
        <v/>
      </c>
      <c r="H1465" s="696" t="str">
        <v/>
      </c>
      <c r="I1465" s="697" t="str">
        <v/>
      </c>
      <c r="J1465" s="698" t="str">
        <v/>
      </c>
      <c r="K1465" s="614" t="str">
        <v/>
      </c>
      <c r="L1465" s="981" t="s">
        <v>533</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533</v>
      </c>
      <c r="Y1465" s="1184">
        <f t="shared" si="225"/>
        <v>2.5628404199328703</v>
      </c>
      <c r="Z1465" s="1377" t="str">
        <f t="shared" si="226"/>
        <v/>
      </c>
      <c r="AG1465" s="1580"/>
    </row>
    <row r="1466" spans="1:33" ht="11.25" customHeight="1">
      <c r="A1466" s="878">
        <v>14</v>
      </c>
      <c r="B1466" s="707">
        <v>60</v>
      </c>
      <c r="C1466" s="708">
        <v>400</v>
      </c>
      <c r="D1466" s="709">
        <v>0.05</v>
      </c>
      <c r="E1466" s="710" t="str">
        <v>Large</v>
      </c>
      <c r="F1466" s="696" t="str">
        <v/>
      </c>
      <c r="G1466" s="696" t="str">
        <v/>
      </c>
      <c r="H1466" s="696" t="str">
        <v/>
      </c>
      <c r="I1466" s="697" t="str">
        <v/>
      </c>
      <c r="J1466" s="698" t="str">
        <v/>
      </c>
      <c r="K1466" s="614" t="str">
        <v/>
      </c>
      <c r="L1466" s="981" t="s">
        <v>533</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533</v>
      </c>
      <c r="Y1466" s="1184">
        <f t="shared" si="225"/>
        <v>0.72889676998458131</v>
      </c>
      <c r="Z1466" s="1377" t="str">
        <f t="shared" si="226"/>
        <v/>
      </c>
      <c r="AG1466" s="1580"/>
    </row>
    <row r="1467" spans="1:33" ht="11.25" customHeight="1">
      <c r="A1467" s="878">
        <v>15</v>
      </c>
      <c r="B1467" s="707">
        <v>60</v>
      </c>
      <c r="C1467" s="708">
        <v>400</v>
      </c>
      <c r="D1467" s="709">
        <v>0.05</v>
      </c>
      <c r="E1467" s="710" t="str">
        <v>Large</v>
      </c>
      <c r="F1467" s="696" t="str">
        <v/>
      </c>
      <c r="G1467" s="696" t="str">
        <v/>
      </c>
      <c r="H1467" s="696" t="str">
        <v/>
      </c>
      <c r="I1467" s="697" t="str">
        <v/>
      </c>
      <c r="J1467" s="698" t="str">
        <v/>
      </c>
      <c r="K1467" s="614" t="str">
        <v/>
      </c>
      <c r="L1467" s="981" t="s">
        <v>533</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533</v>
      </c>
      <c r="Y1467" s="1184">
        <f t="shared" si="225"/>
        <v>0.59958048967543254</v>
      </c>
      <c r="Z1467" s="1377" t="str">
        <f t="shared" si="226"/>
        <v/>
      </c>
      <c r="AG1467" s="1580"/>
    </row>
    <row r="1468" spans="1:33" ht="11.25" customHeight="1">
      <c r="A1468" s="878">
        <v>16</v>
      </c>
      <c r="B1468" s="707">
        <v>60</v>
      </c>
      <c r="C1468" s="708">
        <v>400</v>
      </c>
      <c r="D1468" s="709">
        <v>0.05</v>
      </c>
      <c r="E1468" s="710" t="str">
        <v>Large</v>
      </c>
      <c r="F1468" s="696" t="str">
        <v/>
      </c>
      <c r="G1468" s="696" t="str">
        <v/>
      </c>
      <c r="H1468" s="696" t="str">
        <v/>
      </c>
      <c r="I1468" s="697" t="str">
        <v/>
      </c>
      <c r="J1468" s="698" t="str">
        <v/>
      </c>
      <c r="K1468" s="614" t="str">
        <v/>
      </c>
      <c r="L1468" s="981" t="s">
        <v>533</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533</v>
      </c>
      <c r="Y1468" s="1184">
        <f t="shared" si="225"/>
        <v>0.62922158246054871</v>
      </c>
      <c r="Z1468" s="1377" t="str">
        <f t="shared" si="226"/>
        <v/>
      </c>
      <c r="AG1468" s="1580"/>
    </row>
    <row r="1469" spans="1:33" ht="11.25" customHeight="1">
      <c r="A1469" s="878">
        <v>17</v>
      </c>
      <c r="B1469" s="707">
        <v>80</v>
      </c>
      <c r="C1469" s="708">
        <v>400</v>
      </c>
      <c r="D1469" s="709">
        <v>0.05</v>
      </c>
      <c r="E1469" s="710" t="str">
        <v>Large</v>
      </c>
      <c r="F1469" s="696" t="str">
        <v/>
      </c>
      <c r="G1469" s="696" t="str">
        <v/>
      </c>
      <c r="H1469" s="696" t="str">
        <v/>
      </c>
      <c r="I1469" s="697" t="str">
        <v/>
      </c>
      <c r="J1469" s="698" t="str">
        <v/>
      </c>
      <c r="K1469" s="614" t="str">
        <v/>
      </c>
      <c r="L1469" s="981" t="s">
        <v>533</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533</v>
      </c>
      <c r="Y1469" s="1184">
        <f t="shared" si="225"/>
        <v>9.5227071341832822E-2</v>
      </c>
      <c r="Z1469" s="1377" t="str">
        <f t="shared" si="226"/>
        <v/>
      </c>
      <c r="AG1469" s="1580"/>
    </row>
    <row r="1470" spans="1:33" ht="11.25" customHeight="1">
      <c r="A1470" s="878">
        <v>18</v>
      </c>
      <c r="B1470" s="707">
        <v>80</v>
      </c>
      <c r="C1470" s="708">
        <v>400</v>
      </c>
      <c r="D1470" s="709">
        <v>0.05</v>
      </c>
      <c r="E1470" s="710" t="str">
        <v>Large</v>
      </c>
      <c r="F1470" s="696" t="str">
        <v/>
      </c>
      <c r="G1470" s="696" t="str">
        <v/>
      </c>
      <c r="H1470" s="696" t="str">
        <v/>
      </c>
      <c r="I1470" s="697" t="str">
        <v/>
      </c>
      <c r="J1470" s="698" t="str">
        <v/>
      </c>
      <c r="K1470" s="614" t="str">
        <v/>
      </c>
      <c r="L1470" s="981" t="s">
        <v>533</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533</v>
      </c>
      <c r="Y1470" s="1184">
        <f t="shared" si="225"/>
        <v>0.39866863188300417</v>
      </c>
      <c r="Z1470" s="1377" t="str">
        <f t="shared" si="226"/>
        <v/>
      </c>
      <c r="AG1470" s="1580"/>
    </row>
    <row r="1471" spans="1:33" ht="11.25" customHeight="1">
      <c r="A1471" s="878">
        <v>19</v>
      </c>
      <c r="B1471" s="707">
        <v>80</v>
      </c>
      <c r="C1471" s="708">
        <v>400</v>
      </c>
      <c r="D1471" s="709">
        <v>0.05</v>
      </c>
      <c r="E1471" s="710" t="str">
        <v>Large</v>
      </c>
      <c r="F1471" s="696" t="str">
        <v/>
      </c>
      <c r="G1471" s="696" t="str">
        <v/>
      </c>
      <c r="H1471" s="696" t="str">
        <v/>
      </c>
      <c r="I1471" s="697" t="str">
        <v/>
      </c>
      <c r="J1471" s="698" t="str">
        <v/>
      </c>
      <c r="K1471" s="614" t="str">
        <v/>
      </c>
      <c r="L1471" s="981" t="s">
        <v>533</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533</v>
      </c>
      <c r="Y1471" s="1184">
        <f t="shared" si="225"/>
        <v>2.4835046788340587</v>
      </c>
      <c r="Z1471" s="1377" t="str">
        <f t="shared" si="226"/>
        <v/>
      </c>
      <c r="AG1471" s="1580"/>
    </row>
    <row r="1472" spans="1:33" ht="11.25" customHeight="1">
      <c r="A1472" s="878">
        <v>20</v>
      </c>
      <c r="B1472" s="707">
        <v>80</v>
      </c>
      <c r="C1472" s="708">
        <v>400</v>
      </c>
      <c r="D1472" s="709">
        <v>0.05</v>
      </c>
      <c r="E1472" s="710" t="str">
        <v>Large</v>
      </c>
      <c r="F1472" s="696" t="str">
        <v/>
      </c>
      <c r="G1472" s="696" t="str">
        <v/>
      </c>
      <c r="H1472" s="696" t="str">
        <v/>
      </c>
      <c r="I1472" s="697" t="str">
        <v/>
      </c>
      <c r="J1472" s="698" t="str">
        <v/>
      </c>
      <c r="K1472" s="614" t="str">
        <v/>
      </c>
      <c r="L1472" s="981" t="s">
        <v>533</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533</v>
      </c>
      <c r="Y1472" s="1184">
        <f t="shared" si="225"/>
        <v>0.92679697477755263</v>
      </c>
      <c r="Z1472" s="1377" t="str">
        <f t="shared" si="226"/>
        <v/>
      </c>
      <c r="AG1472" s="1580"/>
    </row>
    <row r="1473" spans="1:33" ht="11.25" customHeight="1" thickBot="1">
      <c r="A1473" s="878">
        <v>21</v>
      </c>
      <c r="B1473" s="707">
        <v>80</v>
      </c>
      <c r="C1473" s="708">
        <v>400</v>
      </c>
      <c r="D1473" s="709">
        <v>0.05</v>
      </c>
      <c r="E1473" s="710" t="str">
        <v>Large</v>
      </c>
      <c r="F1473" s="696" t="str">
        <v/>
      </c>
      <c r="G1473" s="696" t="str">
        <v/>
      </c>
      <c r="H1473" s="696" t="str">
        <v/>
      </c>
      <c r="I1473" s="697" t="str">
        <v/>
      </c>
      <c r="J1473" s="698" t="str">
        <v/>
      </c>
      <c r="K1473" s="614" t="str">
        <v/>
      </c>
      <c r="L1473" s="981" t="s">
        <v>533</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533</v>
      </c>
      <c r="Y1473" s="1185">
        <f t="shared" si="225"/>
        <v>2.2410293237517998</v>
      </c>
      <c r="Z1473" s="1378" t="str">
        <f t="shared" si="226"/>
        <v/>
      </c>
      <c r="AG1473" s="1580"/>
    </row>
    <row r="1474" spans="1:33" ht="11.25" customHeight="1">
      <c r="A1474" s="878">
        <v>22</v>
      </c>
      <c r="B1474" s="707">
        <v>80</v>
      </c>
      <c r="C1474" s="708">
        <v>400</v>
      </c>
      <c r="D1474" s="709">
        <v>0.05</v>
      </c>
      <c r="E1474" s="710" t="str">
        <v>Large</v>
      </c>
      <c r="F1474" s="696" t="str">
        <v/>
      </c>
      <c r="G1474" s="696" t="str">
        <v/>
      </c>
      <c r="H1474" s="696" t="str">
        <v/>
      </c>
      <c r="I1474" s="697" t="str">
        <v/>
      </c>
      <c r="J1474" s="698" t="str">
        <v/>
      </c>
      <c r="K1474" s="614" t="str">
        <v/>
      </c>
      <c r="L1474" s="981" t="s">
        <v>533</v>
      </c>
      <c r="M1474" s="150"/>
      <c r="N1474" s="60"/>
      <c r="P1474" s="60"/>
      <c r="Q1474" s="60"/>
      <c r="R1474" s="60"/>
      <c r="S1474" s="60"/>
      <c r="T1474" s="60"/>
      <c r="U1474" s="1574"/>
      <c r="V1474" s="85"/>
      <c r="W1474" s="83"/>
      <c r="X1474" s="962" t="s">
        <v>533</v>
      </c>
    </row>
    <row r="1475" spans="1:33" ht="11.25" customHeight="1">
      <c r="A1475" s="878">
        <v>23</v>
      </c>
      <c r="B1475" s="707">
        <v>80</v>
      </c>
      <c r="C1475" s="708">
        <v>400</v>
      </c>
      <c r="D1475" s="709">
        <v>0.05</v>
      </c>
      <c r="E1475" s="710" t="str">
        <v>Large</v>
      </c>
      <c r="F1475" s="696" t="str">
        <v/>
      </c>
      <c r="G1475" s="696" t="str">
        <v/>
      </c>
      <c r="H1475" s="696" t="str">
        <v/>
      </c>
      <c r="I1475" s="697" t="str">
        <v/>
      </c>
      <c r="J1475" s="698" t="str">
        <v/>
      </c>
      <c r="K1475" s="614" t="str">
        <v/>
      </c>
      <c r="L1475" s="981" t="s">
        <v>533</v>
      </c>
      <c r="M1475" s="159"/>
      <c r="N1475" s="830" t="s">
        <v>681</v>
      </c>
      <c r="O1475" s="1025" t="str">
        <f>IF(O1477&lt;&gt;"",O1477,IF(OR(AB452=0,AB452=""),"",AB452))</f>
        <v/>
      </c>
      <c r="P1475" s="59"/>
      <c r="Q1475" s="59"/>
      <c r="R1475" s="59"/>
      <c r="S1475" s="59"/>
      <c r="T1475" s="59"/>
      <c r="U1475" s="59"/>
      <c r="V1475" s="85"/>
      <c r="W1475" s="83"/>
      <c r="X1475" s="962" t="s">
        <v>533</v>
      </c>
      <c r="Y1475" s="1236" t="s">
        <v>51</v>
      </c>
      <c r="Z1475" s="1236" t="s">
        <v>52</v>
      </c>
      <c r="AA1475" s="1236" t="s">
        <v>53</v>
      </c>
    </row>
    <row r="1476" spans="1:33" ht="11.25" customHeight="1">
      <c r="A1476" s="878">
        <v>24</v>
      </c>
      <c r="B1476" s="707">
        <v>80</v>
      </c>
      <c r="C1476" s="708">
        <v>400</v>
      </c>
      <c r="D1476" s="709">
        <v>0.05</v>
      </c>
      <c r="E1476" s="710" t="str">
        <v>Large</v>
      </c>
      <c r="F1476" s="696" t="str">
        <v/>
      </c>
      <c r="G1476" s="696" t="str">
        <v/>
      </c>
      <c r="H1476" s="696" t="str">
        <v/>
      </c>
      <c r="I1476" s="697" t="str">
        <v/>
      </c>
      <c r="J1476" s="698" t="str">
        <v/>
      </c>
      <c r="K1476" s="614" t="str">
        <v/>
      </c>
      <c r="L1476" s="981" t="s">
        <v>533</v>
      </c>
      <c r="M1476" s="125"/>
      <c r="N1476" s="876" t="s">
        <v>373</v>
      </c>
      <c r="O1476" s="128"/>
      <c r="P1476" s="1289">
        <f>LEN(O1475)</f>
        <v>0</v>
      </c>
      <c r="Q1476" s="128"/>
      <c r="R1476" s="128"/>
      <c r="S1476" s="128"/>
      <c r="T1476" s="128"/>
      <c r="U1476" s="128"/>
      <c r="V1476" s="85"/>
      <c r="W1476" s="84"/>
      <c r="X1476" s="962" t="s">
        <v>533</v>
      </c>
      <c r="Y1476" s="1236" t="s">
        <v>54</v>
      </c>
      <c r="Z1476" s="1236">
        <v>490</v>
      </c>
      <c r="AA1476" s="1236">
        <v>300</v>
      </c>
      <c r="AB1476" s="1236"/>
    </row>
    <row r="1477" spans="1:33" ht="11.25" customHeight="1">
      <c r="A1477" s="878">
        <v>25</v>
      </c>
      <c r="B1477" s="707">
        <v>80</v>
      </c>
      <c r="C1477" s="708">
        <v>400</v>
      </c>
      <c r="D1477" s="709">
        <v>0.05</v>
      </c>
      <c r="E1477" s="710" t="str">
        <v>Large</v>
      </c>
      <c r="F1477" s="696" t="str">
        <v/>
      </c>
      <c r="G1477" s="696" t="str">
        <v/>
      </c>
      <c r="H1477" s="696" t="str">
        <v/>
      </c>
      <c r="I1477" s="697" t="str">
        <v/>
      </c>
      <c r="J1477" s="698" t="str">
        <v/>
      </c>
      <c r="K1477" s="614" t="str">
        <v/>
      </c>
      <c r="L1477" s="981" t="s">
        <v>533</v>
      </c>
      <c r="M1477" s="150"/>
      <c r="N1477" s="1447" t="s">
        <v>748</v>
      </c>
      <c r="O1477" s="1449"/>
      <c r="P1477" s="59"/>
      <c r="Q1477" s="59"/>
      <c r="R1477" s="59"/>
      <c r="S1477" s="59"/>
      <c r="T1477" s="59"/>
      <c r="U1477" s="59"/>
      <c r="V1477" s="85"/>
      <c r="W1477" s="83"/>
      <c r="X1477" s="962" t="s">
        <v>533</v>
      </c>
      <c r="Y1477" s="1236" t="s">
        <v>57</v>
      </c>
      <c r="Z1477" s="1236">
        <v>450</v>
      </c>
      <c r="AA1477" s="1236">
        <v>350</v>
      </c>
      <c r="AB1477" s="1236"/>
    </row>
    <row r="1478" spans="1:33" ht="11.25" customHeight="1" thickBot="1">
      <c r="A1478" s="878">
        <v>26</v>
      </c>
      <c r="B1478" s="707">
        <v>80</v>
      </c>
      <c r="C1478" s="708">
        <v>400</v>
      </c>
      <c r="D1478" s="709">
        <v>0.05</v>
      </c>
      <c r="E1478" s="710" t="str">
        <v>Large</v>
      </c>
      <c r="F1478" s="696" t="str">
        <v/>
      </c>
      <c r="G1478" s="696" t="str">
        <v/>
      </c>
      <c r="H1478" s="696" t="str">
        <v/>
      </c>
      <c r="I1478" s="697" t="str">
        <v/>
      </c>
      <c r="J1478" s="698" t="str">
        <v/>
      </c>
      <c r="K1478" s="614" t="str">
        <v/>
      </c>
      <c r="L1478" s="981" t="s">
        <v>533</v>
      </c>
      <c r="M1478" s="86"/>
      <c r="N1478" s="155"/>
      <c r="O1478" s="155"/>
      <c r="P1478" s="155"/>
      <c r="Q1478" s="155"/>
      <c r="R1478" s="155"/>
      <c r="S1478" s="155"/>
      <c r="T1478" s="155"/>
      <c r="U1478" s="155"/>
      <c r="V1478" s="103"/>
      <c r="W1478" s="100"/>
      <c r="X1478" s="962" t="s">
        <v>533</v>
      </c>
      <c r="Y1478" s="1236" t="s">
        <v>55</v>
      </c>
      <c r="Z1478" s="1236">
        <v>135</v>
      </c>
      <c r="AA1478" s="1236">
        <v>95</v>
      </c>
      <c r="AB1478" s="1236"/>
    </row>
    <row r="1479" spans="1:33" ht="11.25" customHeight="1" thickTop="1">
      <c r="A1479" s="878">
        <v>27</v>
      </c>
      <c r="B1479" s="707">
        <v>80</v>
      </c>
      <c r="C1479" s="708">
        <v>400</v>
      </c>
      <c r="D1479" s="709">
        <v>0.05</v>
      </c>
      <c r="E1479" s="123" t="str">
        <v>Large</v>
      </c>
      <c r="F1479" s="696" t="str">
        <v/>
      </c>
      <c r="G1479" s="696" t="str">
        <v/>
      </c>
      <c r="H1479" s="696" t="str">
        <v/>
      </c>
      <c r="I1479" s="697" t="str">
        <v/>
      </c>
      <c r="J1479" s="698" t="str">
        <v/>
      </c>
      <c r="K1479" s="614" t="str">
        <v/>
      </c>
      <c r="L1479" s="981" t="s">
        <v>533</v>
      </c>
      <c r="M1479" s="80"/>
      <c r="N1479" s="115"/>
      <c r="O1479" s="115"/>
      <c r="P1479" s="115"/>
      <c r="Q1479" s="115"/>
      <c r="R1479" s="115"/>
      <c r="S1479" s="115"/>
      <c r="T1479" s="115"/>
      <c r="U1479" s="115"/>
      <c r="V1479" s="115"/>
      <c r="W1479" s="100"/>
      <c r="X1479" s="962" t="s">
        <v>533</v>
      </c>
      <c r="Y1479" s="1236" t="s">
        <v>56</v>
      </c>
      <c r="Z1479" s="1236">
        <v>145</v>
      </c>
      <c r="AA1479" s="1236">
        <v>70</v>
      </c>
      <c r="AB1479" s="1236"/>
    </row>
    <row r="1480" spans="1:33" ht="11.25" customHeight="1">
      <c r="A1480" s="878">
        <v>28</v>
      </c>
      <c r="B1480" s="707">
        <v>80</v>
      </c>
      <c r="C1480" s="708">
        <v>500</v>
      </c>
      <c r="D1480" s="709">
        <v>0.05</v>
      </c>
      <c r="E1480" s="121" t="str">
        <v>Large</v>
      </c>
      <c r="F1480" s="696" t="str">
        <v/>
      </c>
      <c r="G1480" s="696" t="str">
        <v/>
      </c>
      <c r="H1480" s="696" t="str">
        <v/>
      </c>
      <c r="I1480" s="697" t="str">
        <v/>
      </c>
      <c r="J1480" s="698" t="str">
        <v/>
      </c>
      <c r="K1480" s="614" t="str">
        <v/>
      </c>
      <c r="L1480" s="981" t="s">
        <v>533</v>
      </c>
      <c r="M1480" s="278"/>
      <c r="N1480" s="43" t="str">
        <f>"Note:  "&amp;$M$1456</f>
        <v>Note:  4.7</v>
      </c>
      <c r="O1480" s="4" t="s">
        <v>351</v>
      </c>
      <c r="P1480" s="67"/>
      <c r="Q1480" s="3"/>
      <c r="R1480" s="3"/>
      <c r="S1480" s="3"/>
      <c r="T1480" s="3"/>
      <c r="U1480" s="3"/>
      <c r="V1480" s="3"/>
      <c r="W1480" s="45"/>
      <c r="X1480" s="962" t="s">
        <v>533</v>
      </c>
      <c r="Y1480" s="1236" t="s">
        <v>27</v>
      </c>
      <c r="Z1480" s="1236">
        <v>25</v>
      </c>
      <c r="AA1480" s="1236">
        <v>15</v>
      </c>
      <c r="AB1480" s="1236"/>
    </row>
    <row r="1481" spans="1:33" ht="11.25" customHeight="1">
      <c r="A1481" s="878">
        <v>29</v>
      </c>
      <c r="B1481" s="707">
        <v>80</v>
      </c>
      <c r="C1481" s="708">
        <v>50</v>
      </c>
      <c r="D1481" s="709">
        <v>0.05</v>
      </c>
      <c r="E1481" s="121" t="str">
        <v>Large</v>
      </c>
      <c r="F1481" s="696" t="str">
        <v/>
      </c>
      <c r="G1481" s="696" t="str">
        <v/>
      </c>
      <c r="H1481" s="696" t="str">
        <v/>
      </c>
      <c r="I1481" s="697" t="str">
        <v/>
      </c>
      <c r="J1481" s="698" t="str">
        <v/>
      </c>
      <c r="K1481" s="614" t="str">
        <v/>
      </c>
      <c r="L1481" s="981" t="s">
        <v>533</v>
      </c>
      <c r="M1481" s="56"/>
      <c r="N1481" s="3"/>
      <c r="O1481" s="3"/>
      <c r="P1481" s="3"/>
      <c r="Q1481" s="3"/>
      <c r="R1481" s="3"/>
      <c r="S1481" s="3"/>
      <c r="T1481" s="3"/>
      <c r="U1481" s="3"/>
      <c r="V1481" s="3"/>
      <c r="W1481" s="45"/>
      <c r="X1481" s="962" t="s">
        <v>533</v>
      </c>
      <c r="Y1481" s="1236" t="s">
        <v>38</v>
      </c>
      <c r="Z1481" s="1236">
        <v>74</v>
      </c>
      <c r="AA1481" s="1236"/>
      <c r="AB1481" s="1236"/>
    </row>
    <row r="1482" spans="1:33" ht="11.25" customHeight="1" thickBot="1">
      <c r="A1482" s="878">
        <v>30</v>
      </c>
      <c r="B1482" s="707">
        <v>80</v>
      </c>
      <c r="C1482" s="708">
        <v>800</v>
      </c>
      <c r="D1482" s="709">
        <v>0.05</v>
      </c>
      <c r="E1482" s="121" t="str">
        <v>Large</v>
      </c>
      <c r="F1482" s="696" t="str">
        <v/>
      </c>
      <c r="G1482" s="696" t="str">
        <v/>
      </c>
      <c r="H1482" s="696" t="str">
        <v/>
      </c>
      <c r="I1482" s="697" t="str">
        <v/>
      </c>
      <c r="J1482" s="698" t="str">
        <v/>
      </c>
      <c r="K1482" s="614" t="str">
        <v/>
      </c>
      <c r="L1482" s="981" t="s">
        <v>533</v>
      </c>
      <c r="M1482" s="40"/>
      <c r="N1482" s="384"/>
      <c r="O1482" s="384"/>
      <c r="P1482" s="384"/>
      <c r="Q1482" s="384"/>
      <c r="R1482" s="384"/>
      <c r="S1482" s="384"/>
      <c r="T1482" s="384"/>
      <c r="U1482" s="384"/>
      <c r="V1482" s="384"/>
      <c r="W1482" s="385"/>
      <c r="X1482" s="962" t="s">
        <v>533</v>
      </c>
      <c r="Y1482" s="1236" t="s">
        <v>58</v>
      </c>
      <c r="Z1482" s="1236">
        <v>408</v>
      </c>
      <c r="AA1482" s="1236"/>
      <c r="AB1482" s="1236"/>
    </row>
    <row r="1483" spans="1:33" ht="11.25" customHeight="1" thickTop="1">
      <c r="A1483" s="878">
        <v>31</v>
      </c>
      <c r="B1483" s="707">
        <v>80</v>
      </c>
      <c r="C1483" s="708">
        <v>250</v>
      </c>
      <c r="D1483" s="709">
        <v>0.05</v>
      </c>
      <c r="E1483" s="121" t="str">
        <v>Large</v>
      </c>
      <c r="F1483" s="696" t="str">
        <v/>
      </c>
      <c r="G1483" s="696" t="str">
        <v/>
      </c>
      <c r="H1483" s="696" t="str">
        <v/>
      </c>
      <c r="I1483" s="697" t="str">
        <v/>
      </c>
      <c r="J1483" s="698" t="str">
        <v/>
      </c>
      <c r="K1483" s="614" t="str">
        <v/>
      </c>
      <c r="L1483" s="981" t="s">
        <v>533</v>
      </c>
      <c r="M1483" s="3"/>
      <c r="N1483" s="3"/>
      <c r="O1483" s="3"/>
      <c r="P1483" s="3"/>
      <c r="Q1483" s="3"/>
      <c r="R1483" s="3"/>
      <c r="S1483" s="3"/>
      <c r="T1483" s="3"/>
      <c r="U1483" s="3"/>
      <c r="V1483" s="3"/>
      <c r="W1483" s="3"/>
      <c r="X1483" s="962" t="s">
        <v>533</v>
      </c>
    </row>
    <row r="1484" spans="1:33" ht="11.25" customHeight="1" thickBot="1">
      <c r="A1484" s="878">
        <v>32</v>
      </c>
      <c r="B1484" s="707">
        <v>100</v>
      </c>
      <c r="C1484" s="708">
        <v>400</v>
      </c>
      <c r="D1484" s="709">
        <v>0.05</v>
      </c>
      <c r="E1484" s="121" t="str">
        <v>Large</v>
      </c>
      <c r="F1484" s="696" t="str">
        <v/>
      </c>
      <c r="G1484" s="696" t="str">
        <v/>
      </c>
      <c r="H1484" s="696" t="str">
        <v/>
      </c>
      <c r="I1484" s="697" t="str">
        <v/>
      </c>
      <c r="J1484" s="698" t="str">
        <v/>
      </c>
      <c r="K1484" s="614" t="str">
        <v/>
      </c>
      <c r="L1484" s="981" t="s">
        <v>533</v>
      </c>
      <c r="M1484" s="3"/>
      <c r="X1484" s="962" t="s">
        <v>533</v>
      </c>
    </row>
    <row r="1485" spans="1:33" ht="11.25" customHeight="1" thickTop="1">
      <c r="A1485" s="878">
        <v>33</v>
      </c>
      <c r="B1485" s="707">
        <v>100</v>
      </c>
      <c r="C1485" s="708">
        <v>400</v>
      </c>
      <c r="D1485" s="709">
        <v>0.05</v>
      </c>
      <c r="E1485" s="121" t="str">
        <v>Large</v>
      </c>
      <c r="F1485" s="696" t="str">
        <v/>
      </c>
      <c r="G1485" s="696" t="str">
        <v/>
      </c>
      <c r="H1485" s="696" t="str">
        <v/>
      </c>
      <c r="I1485" s="697" t="str">
        <v/>
      </c>
      <c r="J1485" s="698" t="str">
        <v/>
      </c>
      <c r="K1485" s="614" t="str">
        <v/>
      </c>
      <c r="L1485" s="981" t="s">
        <v>533</v>
      </c>
      <c r="M1485" s="3"/>
      <c r="N1485" s="93"/>
      <c r="O1485" s="76"/>
      <c r="P1485" s="76"/>
      <c r="Q1485" s="1695" t="s">
        <v>762</v>
      </c>
      <c r="R1485" s="1696"/>
      <c r="S1485" s="76"/>
      <c r="T1485" s="76"/>
      <c r="U1485" s="76"/>
      <c r="V1485" s="76"/>
      <c r="W1485" s="94"/>
      <c r="X1485" s="962" t="s">
        <v>533</v>
      </c>
    </row>
    <row r="1486" spans="1:33" ht="11.25" customHeight="1">
      <c r="A1486" s="878">
        <v>34</v>
      </c>
      <c r="B1486" s="707">
        <v>100</v>
      </c>
      <c r="C1486" s="708">
        <v>400</v>
      </c>
      <c r="D1486" s="709">
        <v>0.05</v>
      </c>
      <c r="E1486" s="121" t="str">
        <v>Large</v>
      </c>
      <c r="F1486" s="696" t="str">
        <v/>
      </c>
      <c r="G1486" s="696" t="str">
        <v/>
      </c>
      <c r="H1486" s="696" t="str">
        <v/>
      </c>
      <c r="I1486" s="697" t="str">
        <v/>
      </c>
      <c r="J1486" s="698" t="str">
        <v/>
      </c>
      <c r="K1486" s="614" t="str">
        <v/>
      </c>
      <c r="L1486" s="981" t="s">
        <v>533</v>
      </c>
      <c r="N1486" s="150"/>
      <c r="O1486" s="60"/>
      <c r="P1486" s="60"/>
      <c r="Q1486" s="145" t="s">
        <v>670</v>
      </c>
      <c r="R1486" s="60"/>
      <c r="S1486" s="60"/>
      <c r="T1486" s="3"/>
      <c r="U1486" s="3"/>
      <c r="V1486" s="3"/>
      <c r="W1486" s="45"/>
      <c r="X1486" s="962" t="s">
        <v>533</v>
      </c>
    </row>
    <row r="1487" spans="1:33" ht="11.25" customHeight="1">
      <c r="A1487" s="878">
        <v>35</v>
      </c>
      <c r="B1487" s="707">
        <v>100</v>
      </c>
      <c r="C1487" s="708">
        <v>400</v>
      </c>
      <c r="D1487" s="709">
        <v>0.05</v>
      </c>
      <c r="E1487" s="121" t="str">
        <v>Large</v>
      </c>
      <c r="F1487" s="696" t="str">
        <v/>
      </c>
      <c r="G1487" s="696" t="str">
        <v/>
      </c>
      <c r="H1487" s="696" t="str">
        <v/>
      </c>
      <c r="I1487" s="697" t="str">
        <v/>
      </c>
      <c r="J1487" s="698" t="str">
        <v/>
      </c>
      <c r="K1487" s="614" t="str">
        <v/>
      </c>
      <c r="L1487" s="981" t="s">
        <v>533</v>
      </c>
      <c r="N1487" s="152"/>
      <c r="O1487" s="145"/>
      <c r="P1487" s="145" t="s">
        <v>640</v>
      </c>
      <c r="Q1487" s="145" t="s">
        <v>672</v>
      </c>
      <c r="R1487" s="145" t="s">
        <v>673</v>
      </c>
      <c r="S1487" s="145"/>
      <c r="T1487" s="3"/>
      <c r="U1487" s="3"/>
      <c r="V1487" s="3"/>
      <c r="W1487" s="45"/>
      <c r="X1487" s="962" t="s">
        <v>533</v>
      </c>
    </row>
    <row r="1488" spans="1:33" ht="11.25" customHeight="1">
      <c r="A1488" s="878">
        <v>36</v>
      </c>
      <c r="B1488" s="707">
        <v>100</v>
      </c>
      <c r="C1488" s="708">
        <v>400</v>
      </c>
      <c r="D1488" s="709">
        <v>0.05</v>
      </c>
      <c r="E1488" s="121" t="str">
        <v>Large</v>
      </c>
      <c r="F1488" s="696" t="str">
        <v/>
      </c>
      <c r="G1488" s="696" t="str">
        <v/>
      </c>
      <c r="H1488" s="696" t="str">
        <v/>
      </c>
      <c r="I1488" s="697" t="str">
        <v/>
      </c>
      <c r="J1488" s="698" t="str">
        <v/>
      </c>
      <c r="K1488" s="614" t="str">
        <v/>
      </c>
      <c r="L1488" s="981" t="s">
        <v>533</v>
      </c>
      <c r="N1488" s="153" t="s">
        <v>676</v>
      </c>
      <c r="O1488" s="146" t="s">
        <v>677</v>
      </c>
      <c r="P1488" s="146" t="s">
        <v>678</v>
      </c>
      <c r="Q1488" s="146" t="s">
        <v>679</v>
      </c>
      <c r="R1488" s="146" t="s">
        <v>678</v>
      </c>
      <c r="S1488" s="146" t="s">
        <v>590</v>
      </c>
      <c r="T1488" s="67"/>
      <c r="U1488" s="67"/>
      <c r="V1488" s="67"/>
      <c r="W1488" s="83" t="s">
        <v>704</v>
      </c>
      <c r="X1488" s="962" t="s">
        <v>533</v>
      </c>
    </row>
    <row r="1489" spans="1:34" ht="11.25" customHeight="1">
      <c r="A1489" s="878">
        <v>37</v>
      </c>
      <c r="B1489" s="707">
        <v>100</v>
      </c>
      <c r="C1489" s="708">
        <v>400</v>
      </c>
      <c r="D1489" s="709">
        <v>0.05</v>
      </c>
      <c r="E1489" s="121" t="str">
        <v>Large</v>
      </c>
      <c r="F1489" s="696" t="str">
        <v/>
      </c>
      <c r="G1489" s="696" t="str">
        <v/>
      </c>
      <c r="H1489" s="696" t="str">
        <v/>
      </c>
      <c r="I1489" s="697" t="str">
        <v/>
      </c>
      <c r="J1489" s="698" t="str">
        <v/>
      </c>
      <c r="K1489" s="614" t="str">
        <v/>
      </c>
      <c r="L1489" s="981" t="s">
        <v>533</v>
      </c>
      <c r="N1489" s="1007" t="s">
        <v>27</v>
      </c>
      <c r="O1489" s="1001" t="s">
        <v>26</v>
      </c>
      <c r="P1489" s="1001">
        <v>72</v>
      </c>
      <c r="Q1489" s="1008">
        <v>23</v>
      </c>
      <c r="R1489" s="1001" t="s">
        <v>28</v>
      </c>
      <c r="S1489" s="1001">
        <v>120</v>
      </c>
      <c r="T1489" s="67"/>
      <c r="U1489" s="67"/>
      <c r="V1489" s="67"/>
      <c r="W1489" s="1012">
        <v>2</v>
      </c>
      <c r="X1489" s="962" t="s">
        <v>533</v>
      </c>
    </row>
    <row r="1490" spans="1:34" ht="11.25" customHeight="1">
      <c r="A1490" s="878">
        <v>38</v>
      </c>
      <c r="B1490" s="707">
        <v>100</v>
      </c>
      <c r="C1490" s="708">
        <v>400</v>
      </c>
      <c r="D1490" s="709">
        <v>0.05</v>
      </c>
      <c r="E1490" s="121" t="str">
        <v>Large</v>
      </c>
      <c r="F1490" s="696" t="str">
        <v/>
      </c>
      <c r="G1490" s="696" t="str">
        <v/>
      </c>
      <c r="H1490" s="696" t="str">
        <v/>
      </c>
      <c r="I1490" s="697" t="str">
        <v/>
      </c>
      <c r="J1490" s="698" t="str">
        <v/>
      </c>
      <c r="K1490" s="614" t="str">
        <v/>
      </c>
      <c r="L1490" s="981" t="s">
        <v>533</v>
      </c>
      <c r="N1490" s="1007" t="s">
        <v>43</v>
      </c>
      <c r="O1490" s="1001" t="s">
        <v>26</v>
      </c>
      <c r="P1490" s="1001">
        <v>40</v>
      </c>
      <c r="Q1490" s="1008">
        <v>23</v>
      </c>
      <c r="R1490" s="1001" t="s">
        <v>28</v>
      </c>
      <c r="S1490" s="1001">
        <v>76</v>
      </c>
      <c r="T1490" s="67"/>
      <c r="U1490" s="67"/>
      <c r="V1490" s="67"/>
      <c r="W1490" s="1012">
        <v>30</v>
      </c>
      <c r="X1490" s="962" t="s">
        <v>533</v>
      </c>
    </row>
    <row r="1491" spans="1:34" ht="11.25" customHeight="1">
      <c r="A1491" s="878">
        <v>39</v>
      </c>
      <c r="B1491" s="707">
        <v>100</v>
      </c>
      <c r="C1491" s="708">
        <v>400</v>
      </c>
      <c r="D1491" s="709">
        <v>0.05</v>
      </c>
      <c r="E1491" s="121" t="str">
        <v>Large</v>
      </c>
      <c r="F1491" s="696" t="str">
        <v/>
      </c>
      <c r="G1491" s="696" t="str">
        <v/>
      </c>
      <c r="H1491" s="696" t="str">
        <v/>
      </c>
      <c r="I1491" s="697" t="str">
        <v/>
      </c>
      <c r="J1491" s="698" t="str">
        <v/>
      </c>
      <c r="K1491" s="614" t="str">
        <v/>
      </c>
      <c r="L1491" s="981" t="s">
        <v>533</v>
      </c>
      <c r="N1491" s="1007" t="s">
        <v>31</v>
      </c>
      <c r="O1491" s="1001" t="s">
        <v>26</v>
      </c>
      <c r="P1491" s="1001">
        <v>40</v>
      </c>
      <c r="Q1491" s="1008">
        <v>20</v>
      </c>
      <c r="R1491" s="1001" t="s">
        <v>28</v>
      </c>
      <c r="S1491" s="1001">
        <v>66</v>
      </c>
      <c r="T1491" s="67"/>
      <c r="U1491" s="67"/>
      <c r="V1491" s="67"/>
      <c r="W1491" s="1012">
        <v>12</v>
      </c>
      <c r="X1491" s="962" t="s">
        <v>533</v>
      </c>
    </row>
    <row r="1492" spans="1:34" ht="11.25" customHeight="1">
      <c r="A1492" s="878">
        <v>40</v>
      </c>
      <c r="B1492" s="707">
        <v>120</v>
      </c>
      <c r="C1492" s="708">
        <v>400</v>
      </c>
      <c r="D1492" s="709">
        <v>0.05</v>
      </c>
      <c r="E1492" s="121" t="str">
        <v>Large</v>
      </c>
      <c r="F1492" s="696" t="str">
        <v/>
      </c>
      <c r="G1492" s="696" t="str">
        <v/>
      </c>
      <c r="H1492" s="696" t="str">
        <v/>
      </c>
      <c r="I1492" s="697" t="str">
        <v/>
      </c>
      <c r="J1492" s="698" t="str">
        <v/>
      </c>
      <c r="K1492" s="614" t="str">
        <v/>
      </c>
      <c r="L1492" s="981" t="s">
        <v>533</v>
      </c>
      <c r="N1492" s="1007" t="s">
        <v>42</v>
      </c>
      <c r="O1492" s="1001" t="s">
        <v>26</v>
      </c>
      <c r="P1492" s="1001">
        <v>40</v>
      </c>
      <c r="Q1492" s="1008">
        <v>13</v>
      </c>
      <c r="R1492" s="1001" t="s">
        <v>32</v>
      </c>
      <c r="S1492" s="1001">
        <v>72</v>
      </c>
      <c r="T1492" s="67"/>
      <c r="U1492" s="67"/>
      <c r="V1492" s="67"/>
      <c r="W1492" s="1012">
        <v>10</v>
      </c>
      <c r="X1492" s="962" t="s">
        <v>533</v>
      </c>
    </row>
    <row r="1493" spans="1:34" ht="11.25" customHeight="1">
      <c r="A1493" s="878">
        <v>41</v>
      </c>
      <c r="B1493" s="707">
        <v>120</v>
      </c>
      <c r="C1493" s="708">
        <v>400</v>
      </c>
      <c r="D1493" s="709">
        <v>0.05</v>
      </c>
      <c r="E1493" s="121" t="str">
        <v>Large</v>
      </c>
      <c r="F1493" s="696" t="str">
        <v/>
      </c>
      <c r="G1493" s="696" t="str">
        <v/>
      </c>
      <c r="H1493" s="696" t="str">
        <v/>
      </c>
      <c r="I1493" s="697" t="str">
        <v/>
      </c>
      <c r="J1493" s="698" t="str">
        <v/>
      </c>
      <c r="K1493" s="614" t="str">
        <v/>
      </c>
      <c r="L1493" s="981" t="s">
        <v>533</v>
      </c>
      <c r="N1493" s="1007" t="s">
        <v>56</v>
      </c>
      <c r="O1493" s="1001" t="s">
        <v>26</v>
      </c>
      <c r="P1493" s="1001">
        <v>40</v>
      </c>
      <c r="Q1493" s="1008">
        <v>15</v>
      </c>
      <c r="R1493" s="1001" t="s">
        <v>47</v>
      </c>
      <c r="S1493" s="1001">
        <v>72</v>
      </c>
      <c r="T1493" s="67"/>
      <c r="U1493" s="67"/>
      <c r="V1493" s="67"/>
      <c r="W1493" s="1012">
        <v>10</v>
      </c>
      <c r="X1493" s="962" t="s">
        <v>533</v>
      </c>
    </row>
    <row r="1494" spans="1:34" ht="11.25" customHeight="1">
      <c r="A1494" s="878">
        <v>42</v>
      </c>
      <c r="B1494" s="707">
        <v>120</v>
      </c>
      <c r="C1494" s="708">
        <v>400</v>
      </c>
      <c r="D1494" s="709">
        <v>0.05</v>
      </c>
      <c r="E1494" s="710" t="str">
        <v>Large</v>
      </c>
      <c r="F1494" s="696" t="str">
        <v/>
      </c>
      <c r="G1494" s="696" t="str">
        <v/>
      </c>
      <c r="H1494" s="696" t="str">
        <v/>
      </c>
      <c r="I1494" s="697" t="str">
        <v/>
      </c>
      <c r="J1494" s="698" t="str">
        <v/>
      </c>
      <c r="K1494" s="614" t="str">
        <v/>
      </c>
      <c r="L1494" s="981" t="s">
        <v>533</v>
      </c>
      <c r="N1494" s="1007" t="s">
        <v>38</v>
      </c>
      <c r="O1494" s="1001" t="s">
        <v>33</v>
      </c>
      <c r="P1494" s="1001">
        <v>40</v>
      </c>
      <c r="Q1494" s="1008">
        <v>8</v>
      </c>
      <c r="R1494" s="1001" t="s">
        <v>47</v>
      </c>
      <c r="S1494" s="1001">
        <v>60</v>
      </c>
      <c r="T1494" s="67"/>
      <c r="U1494" s="67"/>
      <c r="V1494" s="67"/>
      <c r="W1494" s="1012">
        <v>2.5</v>
      </c>
      <c r="X1494" s="962" t="s">
        <v>533</v>
      </c>
    </row>
    <row r="1495" spans="1:34" ht="11.25" customHeight="1">
      <c r="A1495" s="878">
        <v>43</v>
      </c>
      <c r="B1495" s="707">
        <v>120</v>
      </c>
      <c r="C1495" s="708">
        <v>400</v>
      </c>
      <c r="D1495" s="709">
        <v>0.05</v>
      </c>
      <c r="E1495" s="710" t="str">
        <v>Large</v>
      </c>
      <c r="F1495" s="696" t="str">
        <v/>
      </c>
      <c r="G1495" s="696" t="str">
        <v/>
      </c>
      <c r="H1495" s="696" t="str">
        <v/>
      </c>
      <c r="I1495" s="697" t="str">
        <v/>
      </c>
      <c r="J1495" s="698" t="str">
        <v/>
      </c>
      <c r="K1495" s="614" t="str">
        <v/>
      </c>
      <c r="L1495" s="981" t="s">
        <v>533</v>
      </c>
      <c r="N1495" s="1007" t="s">
        <v>39</v>
      </c>
      <c r="O1495" s="1001" t="s">
        <v>33</v>
      </c>
      <c r="P1495" s="1001">
        <v>40</v>
      </c>
      <c r="Q1495" s="1008">
        <v>12</v>
      </c>
      <c r="R1495" s="1001" t="s">
        <v>32</v>
      </c>
      <c r="S1495" s="1001">
        <v>66</v>
      </c>
      <c r="T1495" s="67"/>
      <c r="U1495" s="67"/>
      <c r="V1495" s="67"/>
      <c r="W1495" s="1012">
        <v>8</v>
      </c>
      <c r="X1495" s="962" t="s">
        <v>533</v>
      </c>
    </row>
    <row r="1496" spans="1:34" ht="11.25" customHeight="1">
      <c r="A1496" s="878">
        <v>44</v>
      </c>
      <c r="B1496" s="707">
        <v>120</v>
      </c>
      <c r="C1496" s="708">
        <v>400</v>
      </c>
      <c r="D1496" s="709">
        <v>0.05</v>
      </c>
      <c r="E1496" s="710" t="str">
        <v>Large</v>
      </c>
      <c r="F1496" s="696" t="str">
        <v/>
      </c>
      <c r="G1496" s="696" t="str">
        <v/>
      </c>
      <c r="H1496" s="696" t="str">
        <v/>
      </c>
      <c r="I1496" s="697" t="str">
        <v/>
      </c>
      <c r="J1496" s="698" t="str">
        <v/>
      </c>
      <c r="K1496" s="614" t="str">
        <v/>
      </c>
      <c r="L1496" s="981" t="s">
        <v>533</v>
      </c>
      <c r="N1496" s="1007" t="s">
        <v>44</v>
      </c>
      <c r="O1496" s="1001" t="s">
        <v>26</v>
      </c>
      <c r="P1496" s="1001">
        <v>40</v>
      </c>
      <c r="Q1496" s="1008">
        <v>20</v>
      </c>
      <c r="R1496" s="1001" t="s">
        <v>28</v>
      </c>
      <c r="S1496" s="1001">
        <v>78</v>
      </c>
      <c r="T1496" s="67"/>
      <c r="U1496" s="67"/>
      <c r="V1496" s="67"/>
      <c r="W1496" s="1012">
        <v>30</v>
      </c>
      <c r="X1496" s="962" t="s">
        <v>533</v>
      </c>
    </row>
    <row r="1497" spans="1:34" ht="11.25" customHeight="1">
      <c r="A1497" s="878">
        <v>45</v>
      </c>
      <c r="B1497" s="707">
        <v>120</v>
      </c>
      <c r="C1497" s="708">
        <v>400</v>
      </c>
      <c r="D1497" s="709">
        <v>0.05</v>
      </c>
      <c r="E1497" s="710" t="str">
        <v>Large</v>
      </c>
      <c r="F1497" s="696" t="str">
        <v/>
      </c>
      <c r="G1497" s="696" t="str">
        <v/>
      </c>
      <c r="H1497" s="696" t="str">
        <v/>
      </c>
      <c r="I1497" s="697" t="str">
        <v/>
      </c>
      <c r="J1497" s="698" t="str">
        <v/>
      </c>
      <c r="K1497" s="614" t="str">
        <v/>
      </c>
      <c r="L1497" s="981" t="s">
        <v>533</v>
      </c>
      <c r="N1497" s="1007" t="s">
        <v>45</v>
      </c>
      <c r="O1497" s="1001" t="s">
        <v>26</v>
      </c>
      <c r="P1497" s="1001">
        <v>40</v>
      </c>
      <c r="Q1497" s="1008">
        <v>15</v>
      </c>
      <c r="R1497" s="1001" t="s">
        <v>32</v>
      </c>
      <c r="S1497" s="1001">
        <v>74</v>
      </c>
      <c r="T1497" s="67"/>
      <c r="U1497" s="67"/>
      <c r="V1497" s="67"/>
      <c r="W1497" s="1012">
        <v>14</v>
      </c>
      <c r="X1497" s="962" t="s">
        <v>533</v>
      </c>
    </row>
    <row r="1498" spans="1:34" ht="11.25" customHeight="1" thickBot="1">
      <c r="A1498" s="878">
        <v>46</v>
      </c>
      <c r="B1498" s="707">
        <v>120</v>
      </c>
      <c r="C1498" s="708">
        <v>400</v>
      </c>
      <c r="D1498" s="709">
        <v>0.05</v>
      </c>
      <c r="E1498" s="710" t="str">
        <v>Large</v>
      </c>
      <c r="F1498" s="696" t="str">
        <v/>
      </c>
      <c r="G1498" s="696" t="str">
        <v/>
      </c>
      <c r="H1498" s="696" t="str">
        <v/>
      </c>
      <c r="I1498" s="697" t="str">
        <v/>
      </c>
      <c r="J1498" s="698" t="str">
        <v/>
      </c>
      <c r="K1498" s="614" t="str">
        <v/>
      </c>
      <c r="L1498" s="981" t="s">
        <v>533</v>
      </c>
      <c r="N1498" s="1009" t="s">
        <v>46</v>
      </c>
      <c r="O1498" s="1010" t="s">
        <v>26</v>
      </c>
      <c r="P1498" s="1010">
        <v>40</v>
      </c>
      <c r="Q1498" s="1011">
        <v>23</v>
      </c>
      <c r="R1498" s="1010" t="s">
        <v>32</v>
      </c>
      <c r="S1498" s="1010">
        <v>78</v>
      </c>
      <c r="T1498" s="98"/>
      <c r="U1498" s="98"/>
      <c r="V1498" s="98"/>
      <c r="W1498" s="1013">
        <v>25</v>
      </c>
      <c r="X1498" s="962" t="s">
        <v>533</v>
      </c>
    </row>
    <row r="1499" spans="1:34" ht="11.25" customHeight="1" thickTop="1">
      <c r="A1499" s="878">
        <v>47</v>
      </c>
      <c r="B1499" s="707">
        <v>120</v>
      </c>
      <c r="C1499" s="708">
        <v>400</v>
      </c>
      <c r="D1499" s="709">
        <v>0.05</v>
      </c>
      <c r="E1499" s="710" t="str">
        <v>Large</v>
      </c>
      <c r="F1499" s="696" t="str">
        <v/>
      </c>
      <c r="G1499" s="696" t="str">
        <v/>
      </c>
      <c r="H1499" s="696" t="str">
        <v/>
      </c>
      <c r="I1499" s="697" t="str">
        <v/>
      </c>
      <c r="J1499" s="698" t="str">
        <v/>
      </c>
      <c r="K1499" s="614" t="str">
        <v/>
      </c>
      <c r="L1499" s="981" t="s">
        <v>533</v>
      </c>
      <c r="X1499" s="962" t="s">
        <v>533</v>
      </c>
    </row>
    <row r="1500" spans="1:34" ht="11.25" customHeight="1">
      <c r="A1500" s="878">
        <v>48</v>
      </c>
      <c r="B1500" s="442"/>
      <c r="C1500" s="204"/>
      <c r="D1500" s="204"/>
      <c r="E1500" s="204"/>
      <c r="F1500" s="204"/>
      <c r="G1500" s="204"/>
      <c r="H1500" s="204"/>
      <c r="I1500" s="204"/>
      <c r="J1500" s="204"/>
      <c r="K1500" s="614"/>
      <c r="L1500" s="981" t="s">
        <v>533</v>
      </c>
    </row>
    <row r="1501" spans="1:34" ht="11.25" customHeight="1" thickBot="1">
      <c r="A1501" s="878">
        <v>49</v>
      </c>
      <c r="B1501" s="714"/>
      <c r="C1501" s="715"/>
      <c r="D1501" s="715"/>
      <c r="E1501" s="715"/>
      <c r="F1501" s="715"/>
      <c r="G1501" s="715"/>
      <c r="H1501" s="715"/>
      <c r="I1501" s="715"/>
      <c r="J1501" s="715"/>
      <c r="K1501" s="716"/>
      <c r="L1501" s="981" t="s">
        <v>533</v>
      </c>
    </row>
    <row r="1502" spans="1:34" ht="11.25" customHeight="1" thickTop="1">
      <c r="A1502" s="878">
        <v>50</v>
      </c>
      <c r="B1502" s="441"/>
      <c r="C1502" s="441"/>
      <c r="D1502" s="441"/>
      <c r="E1502" s="441"/>
      <c r="F1502" s="441"/>
      <c r="G1502" s="441"/>
      <c r="H1502" s="441"/>
      <c r="I1502" s="441"/>
      <c r="J1502" s="441"/>
      <c r="K1502" s="441"/>
      <c r="L1502" s="981" t="s">
        <v>533</v>
      </c>
    </row>
    <row r="1503" spans="1:34" ht="11.25" customHeight="1">
      <c r="A1503" s="878">
        <v>51</v>
      </c>
      <c r="B1503" s="441"/>
      <c r="C1503" s="441"/>
      <c r="D1503" s="441"/>
      <c r="E1503" s="441"/>
      <c r="F1503" s="441"/>
      <c r="G1503" s="441"/>
      <c r="H1503" s="441"/>
      <c r="I1503" s="441"/>
      <c r="J1503" s="441"/>
      <c r="K1503" s="441"/>
      <c r="L1503" s="981" t="s">
        <v>533</v>
      </c>
      <c r="AH1503" s="1322"/>
    </row>
    <row r="1504" spans="1:34" ht="11.25" customHeight="1">
      <c r="A1504" s="878">
        <v>52</v>
      </c>
      <c r="B1504" s="441"/>
      <c r="C1504" s="441"/>
      <c r="D1504" s="441"/>
      <c r="E1504" s="441"/>
      <c r="F1504" s="441"/>
      <c r="G1504" s="441"/>
      <c r="H1504" s="441"/>
      <c r="I1504" s="441"/>
      <c r="J1504" s="441"/>
      <c r="K1504" s="441"/>
      <c r="L1504" s="981" t="s">
        <v>533</v>
      </c>
    </row>
    <row r="1505" spans="1:24" ht="11.25" customHeight="1">
      <c r="A1505" s="878">
        <v>53</v>
      </c>
      <c r="B1505" s="441"/>
      <c r="C1505" s="441"/>
      <c r="D1505" s="441"/>
      <c r="E1505" s="441"/>
      <c r="F1505" s="441"/>
      <c r="G1505" s="441"/>
      <c r="H1505" s="441"/>
      <c r="I1505" s="441"/>
      <c r="J1505" s="441"/>
      <c r="K1505" s="441"/>
      <c r="L1505" s="981" t="s">
        <v>533</v>
      </c>
    </row>
    <row r="1506" spans="1:24" ht="11.25" customHeight="1">
      <c r="A1506" s="878">
        <v>54</v>
      </c>
      <c r="B1506" s="441"/>
      <c r="C1506" s="441"/>
      <c r="D1506" s="441"/>
      <c r="E1506" s="441"/>
      <c r="F1506" s="441"/>
      <c r="G1506" s="441"/>
      <c r="H1506" s="441"/>
      <c r="I1506" s="441"/>
      <c r="J1506" s="441"/>
      <c r="K1506" s="441"/>
      <c r="L1506" s="981" t="s">
        <v>533</v>
      </c>
    </row>
    <row r="1507" spans="1:24" ht="11.25" customHeight="1">
      <c r="A1507" s="878">
        <v>55</v>
      </c>
      <c r="B1507" s="441"/>
      <c r="C1507" s="441"/>
      <c r="D1507" s="441"/>
      <c r="E1507" s="441"/>
      <c r="F1507" s="441"/>
      <c r="G1507" s="441"/>
      <c r="H1507" s="441"/>
      <c r="I1507" s="441"/>
      <c r="J1507" s="441"/>
      <c r="K1507" s="441"/>
      <c r="L1507" s="981" t="s">
        <v>533</v>
      </c>
    </row>
    <row r="1508" spans="1:24" ht="11.25" customHeight="1">
      <c r="A1508" s="878">
        <v>56</v>
      </c>
      <c r="B1508" s="441"/>
      <c r="C1508" s="441"/>
      <c r="D1508" s="441"/>
      <c r="E1508" s="441"/>
      <c r="F1508" s="441"/>
      <c r="G1508" s="441"/>
      <c r="H1508" s="441"/>
      <c r="I1508" s="441"/>
      <c r="J1508" s="441"/>
      <c r="K1508" s="441"/>
      <c r="L1508" s="981" t="s">
        <v>533</v>
      </c>
    </row>
    <row r="1509" spans="1:24" ht="11.25" customHeight="1">
      <c r="A1509" s="878">
        <v>57</v>
      </c>
      <c r="B1509" s="441"/>
      <c r="C1509" s="441"/>
      <c r="D1509" s="441"/>
      <c r="E1509" s="441"/>
      <c r="F1509" s="441"/>
      <c r="G1509" s="441"/>
      <c r="H1509" s="441"/>
      <c r="I1509" s="441"/>
      <c r="J1509" s="441"/>
      <c r="K1509" s="441"/>
      <c r="L1509" s="981" t="s">
        <v>533</v>
      </c>
    </row>
    <row r="1510" spans="1:24" ht="11.25" customHeight="1">
      <c r="A1510" s="878">
        <v>58</v>
      </c>
      <c r="B1510" s="441"/>
      <c r="C1510" s="441"/>
      <c r="D1510" s="441"/>
      <c r="E1510" s="441"/>
      <c r="F1510" s="441"/>
      <c r="G1510" s="441"/>
      <c r="H1510" s="441"/>
      <c r="I1510" s="441"/>
      <c r="J1510" s="441"/>
      <c r="K1510" s="441"/>
      <c r="L1510" s="981" t="s">
        <v>533</v>
      </c>
    </row>
    <row r="1511" spans="1:24" ht="11.25" customHeight="1">
      <c r="A1511" s="878">
        <v>59</v>
      </c>
      <c r="B1511" s="441"/>
      <c r="C1511" s="441"/>
      <c r="D1511" s="441"/>
      <c r="E1511" s="441"/>
      <c r="F1511" s="441"/>
      <c r="G1511" s="441"/>
      <c r="H1511" s="441"/>
      <c r="I1511" s="441"/>
      <c r="J1511" s="441"/>
      <c r="K1511" s="441"/>
      <c r="L1511" s="981" t="s">
        <v>533</v>
      </c>
    </row>
    <row r="1512" spans="1:24" ht="11.25" customHeight="1">
      <c r="A1512" s="878">
        <v>60</v>
      </c>
      <c r="B1512" s="441"/>
      <c r="C1512" s="441"/>
      <c r="D1512" s="441"/>
      <c r="E1512" s="441"/>
      <c r="F1512" s="441"/>
      <c r="G1512" s="441"/>
      <c r="H1512" s="441"/>
      <c r="I1512" s="441"/>
      <c r="J1512" s="441"/>
      <c r="K1512" s="441"/>
      <c r="L1512" s="981" t="s">
        <v>533</v>
      </c>
      <c r="X1512" s="962" t="s">
        <v>533</v>
      </c>
    </row>
    <row r="1513" spans="1:24" ht="11.25" customHeight="1">
      <c r="A1513" s="878">
        <v>61</v>
      </c>
      <c r="B1513" s="441"/>
      <c r="C1513" s="441"/>
      <c r="D1513" s="441"/>
      <c r="E1513" s="441"/>
      <c r="F1513" s="441"/>
      <c r="G1513" s="441"/>
      <c r="H1513" s="441"/>
      <c r="I1513" s="441"/>
      <c r="J1513" s="441"/>
      <c r="K1513" s="441"/>
      <c r="L1513" s="981" t="s">
        <v>533</v>
      </c>
      <c r="X1513" s="962" t="s">
        <v>533</v>
      </c>
    </row>
    <row r="1514" spans="1:24" ht="11.25" customHeight="1">
      <c r="A1514" s="878">
        <v>62</v>
      </c>
      <c r="B1514" s="441"/>
      <c r="C1514" s="441"/>
      <c r="D1514" s="441"/>
      <c r="E1514" s="441"/>
      <c r="F1514" s="441"/>
      <c r="G1514" s="441"/>
      <c r="H1514" s="441"/>
      <c r="I1514" s="441"/>
      <c r="J1514" s="441"/>
      <c r="K1514" s="441"/>
      <c r="L1514" s="981" t="s">
        <v>533</v>
      </c>
      <c r="X1514" s="962" t="s">
        <v>533</v>
      </c>
    </row>
    <row r="1515" spans="1:24" ht="11.25" customHeight="1">
      <c r="A1515" s="878">
        <v>63</v>
      </c>
      <c r="B1515" s="441"/>
      <c r="C1515" s="441"/>
      <c r="D1515" s="441"/>
      <c r="E1515" s="441"/>
      <c r="F1515" s="441"/>
      <c r="G1515" s="441"/>
      <c r="H1515" s="441"/>
      <c r="I1515" s="441"/>
      <c r="J1515" s="441"/>
      <c r="K1515" s="441"/>
      <c r="L1515" s="981" t="s">
        <v>533</v>
      </c>
      <c r="X1515" s="962" t="s">
        <v>533</v>
      </c>
    </row>
    <row r="1516" spans="1:24" ht="11.25" customHeight="1">
      <c r="A1516" s="878">
        <v>64</v>
      </c>
      <c r="B1516" s="441"/>
      <c r="C1516" s="441"/>
      <c r="D1516" s="441"/>
      <c r="E1516" s="441"/>
      <c r="F1516" s="441"/>
      <c r="G1516" s="441"/>
      <c r="H1516" s="441"/>
      <c r="I1516" s="441"/>
      <c r="J1516" s="441"/>
      <c r="K1516" s="441"/>
      <c r="L1516" s="981" t="s">
        <v>533</v>
      </c>
      <c r="X1516" s="962" t="s">
        <v>533</v>
      </c>
    </row>
    <row r="1517" spans="1:24" ht="11.25" customHeight="1">
      <c r="A1517" s="878">
        <v>65</v>
      </c>
      <c r="B1517" s="717" t="str">
        <f t="array" ref="B1517:C1518">$B$65:$C$66</f>
        <v>Date:</v>
      </c>
      <c r="C1517" s="1467">
        <v>43039</v>
      </c>
      <c r="D1517" s="441"/>
      <c r="E1517" s="718"/>
      <c r="F1517" s="718"/>
      <c r="G1517" s="718"/>
      <c r="H1517" s="718"/>
      <c r="I1517" s="717" t="str">
        <f t="array" ref="I1517:J1518">$I$65:$J$66</f>
        <v>Inspector:</v>
      </c>
      <c r="J1517" s="565" t="str">
        <v>Eugene Mah</v>
      </c>
      <c r="K1517" s="441"/>
      <c r="L1517" s="981" t="s">
        <v>533</v>
      </c>
      <c r="X1517" s="962" t="s">
        <v>533</v>
      </c>
    </row>
    <row r="1518" spans="1:24" ht="11.25" customHeight="1">
      <c r="A1518" s="878">
        <v>66</v>
      </c>
      <c r="B1518" s="717" t="str">
        <v>Room Number:</v>
      </c>
      <c r="C1518" s="508" t="str">
        <v>Room 04 RT 127M - Tube 1</v>
      </c>
      <c r="D1518" s="441"/>
      <c r="E1518" s="718"/>
      <c r="F1518" s="718"/>
      <c r="G1518" s="718"/>
      <c r="H1518" s="718"/>
      <c r="I1518" s="717" t="str">
        <v>Survey ID:</v>
      </c>
      <c r="J1518" s="1477">
        <v>1976</v>
      </c>
      <c r="K1518" s="441"/>
      <c r="L1518" s="981" t="s">
        <v>533</v>
      </c>
      <c r="X1518" s="962" t="s">
        <v>533</v>
      </c>
    </row>
    <row r="1519" spans="1:24" ht="11.25" customHeight="1">
      <c r="A1519" s="878">
        <v>1</v>
      </c>
      <c r="B1519" s="441"/>
      <c r="C1519" s="441"/>
      <c r="D1519" s="441"/>
      <c r="E1519" s="441"/>
      <c r="F1519" s="441"/>
      <c r="G1519" s="441"/>
      <c r="H1519" s="441"/>
      <c r="I1519" s="441"/>
      <c r="J1519" s="441"/>
      <c r="K1519" s="701" t="str">
        <f>$F$2</f>
        <v>Medical University of South Carolina</v>
      </c>
      <c r="L1519" s="981" t="s">
        <v>533</v>
      </c>
      <c r="X1519" s="962" t="s">
        <v>533</v>
      </c>
    </row>
    <row r="1520" spans="1:24" ht="11.25" customHeight="1">
      <c r="A1520" s="878">
        <v>2</v>
      </c>
      <c r="B1520" s="441"/>
      <c r="C1520" s="441"/>
      <c r="D1520" s="441"/>
      <c r="E1520" s="441"/>
      <c r="F1520" s="441"/>
      <c r="G1520" s="441"/>
      <c r="H1520" s="441"/>
      <c r="I1520" s="441"/>
      <c r="J1520" s="441"/>
      <c r="K1520" s="702" t="str">
        <f>$F$5</f>
        <v>Radiographic System Compliance Inspection</v>
      </c>
      <c r="L1520" s="981" t="s">
        <v>533</v>
      </c>
      <c r="X1520" s="962" t="s">
        <v>533</v>
      </c>
    </row>
    <row r="1521" spans="1:33" ht="11.25" customHeight="1">
      <c r="A1521" s="878">
        <v>3</v>
      </c>
      <c r="B1521" s="200"/>
      <c r="C1521" s="200"/>
      <c r="D1521" s="200"/>
      <c r="E1521" s="200"/>
      <c r="F1521" s="200"/>
      <c r="G1521" s="200"/>
      <c r="H1521" s="200"/>
      <c r="I1521" s="200"/>
      <c r="J1521" s="200"/>
      <c r="K1521" s="200"/>
      <c r="L1521" s="981" t="s">
        <v>533</v>
      </c>
      <c r="X1521" s="962" t="s">
        <v>533</v>
      </c>
    </row>
    <row r="1522" spans="1:33" ht="11.25" customHeight="1">
      <c r="A1522" s="878">
        <v>4</v>
      </c>
      <c r="B1522" s="200"/>
      <c r="C1522" s="200"/>
      <c r="D1522" s="200"/>
      <c r="E1522" s="200"/>
      <c r="F1522" s="344" t="str">
        <f>$F$464</f>
        <v>Measurement Data</v>
      </c>
      <c r="G1522" s="200"/>
      <c r="H1522" s="200"/>
      <c r="I1522" s="200"/>
      <c r="J1522" s="200"/>
      <c r="K1522" s="200"/>
      <c r="L1522" s="981" t="s">
        <v>533</v>
      </c>
      <c r="X1522" s="962" t="s">
        <v>533</v>
      </c>
    </row>
    <row r="1523" spans="1:33" ht="11.25" customHeight="1">
      <c r="A1523" s="878">
        <v>5</v>
      </c>
      <c r="B1523" s="441"/>
      <c r="C1523" s="441"/>
      <c r="D1523" s="441"/>
      <c r="E1523" s="441"/>
      <c r="F1523" s="441"/>
      <c r="G1523" s="441"/>
      <c r="H1523" s="441"/>
      <c r="I1523" s="441"/>
      <c r="J1523" s="441"/>
      <c r="K1523" s="441"/>
      <c r="L1523" s="981" t="s">
        <v>533</v>
      </c>
      <c r="X1523" s="962" t="s">
        <v>533</v>
      </c>
    </row>
    <row r="1524" spans="1:33" ht="11.25" customHeight="1" thickBot="1">
      <c r="A1524" s="878">
        <v>6</v>
      </c>
      <c r="B1524" s="441"/>
      <c r="C1524" s="441"/>
      <c r="D1524" s="441"/>
      <c r="E1524" s="441"/>
      <c r="F1524" s="441"/>
      <c r="G1524" s="441"/>
      <c r="H1524" s="441"/>
      <c r="I1524" s="441"/>
      <c r="J1524" s="441"/>
      <c r="K1524" s="441"/>
      <c r="L1524" s="981" t="s">
        <v>533</v>
      </c>
      <c r="X1524" s="962" t="s">
        <v>533</v>
      </c>
    </row>
    <row r="1525" spans="1:33" ht="11.25" customHeight="1" thickTop="1">
      <c r="A1525" s="878">
        <v>7</v>
      </c>
      <c r="B1525" s="436"/>
      <c r="C1525" s="437"/>
      <c r="D1525" s="437"/>
      <c r="E1525" s="437"/>
      <c r="F1525" s="437"/>
      <c r="G1525" s="437"/>
      <c r="H1525" s="437"/>
      <c r="I1525" s="437"/>
      <c r="J1525" s="437"/>
      <c r="K1525" s="438"/>
      <c r="L1525" s="981" t="s">
        <v>533</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533</v>
      </c>
      <c r="M1526" s="159"/>
      <c r="N1526" s="990" t="s">
        <v>1153</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533</v>
      </c>
      <c r="M1527" s="159"/>
      <c r="N1527" s="627"/>
      <c r="O1527" s="627"/>
      <c r="P1527" s="627"/>
      <c r="Q1527" s="627"/>
      <c r="R1527" s="1295" t="s">
        <v>199</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8">
        <v>10</v>
      </c>
      <c r="B1528" s="707">
        <v>60</v>
      </c>
      <c r="C1528" s="708">
        <v>400</v>
      </c>
      <c r="D1528" s="709">
        <v>0.05</v>
      </c>
      <c r="E1528" s="710" t="str">
        <v>Large</v>
      </c>
      <c r="F1528" s="711" t="str">
        <v>50-85</v>
      </c>
      <c r="G1528" s="711">
        <v>0</v>
      </c>
      <c r="H1528" s="711" t="str">
        <v>none</v>
      </c>
      <c r="I1528" s="712">
        <v>60</v>
      </c>
      <c r="J1528" s="711" t="str">
        <v>cm</v>
      </c>
      <c r="K1528" s="713">
        <v>1</v>
      </c>
      <c r="L1528" s="981" t="s">
        <v>533</v>
      </c>
      <c r="M1528" s="159"/>
      <c r="N1528" s="627"/>
      <c r="O1528" s="627"/>
      <c r="P1528" s="627"/>
      <c r="Q1528" s="627"/>
      <c r="R1528" s="1297" t="s">
        <v>196</v>
      </c>
      <c r="S1528" s="1298" t="s">
        <v>197</v>
      </c>
      <c r="T1528" s="627"/>
      <c r="U1528" s="1292" t="s">
        <v>1154</v>
      </c>
      <c r="V1528" s="627"/>
      <c r="W1528" s="627"/>
      <c r="X1528" s="811"/>
      <c r="Y1528" s="67"/>
      <c r="Z1528" s="67"/>
      <c r="AA1528" s="67"/>
      <c r="AB1528" s="67"/>
      <c r="AC1528" s="67"/>
      <c r="AD1528" s="67"/>
      <c r="AE1528" s="67"/>
      <c r="AF1528" s="67"/>
      <c r="AG1528" s="1323" t="s">
        <v>533</v>
      </c>
    </row>
    <row r="1529" spans="1:33" ht="11.25" customHeight="1">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533</v>
      </c>
      <c r="M1529" s="159"/>
      <c r="N1529" s="1299"/>
      <c r="O1529" s="1300"/>
      <c r="P1529" s="1300"/>
      <c r="Q1529" s="1293" t="s">
        <v>206</v>
      </c>
      <c r="R1529" s="1314">
        <v>6</v>
      </c>
      <c r="S1529" s="1301"/>
      <c r="T1529" s="627"/>
      <c r="U1529" s="1317" t="s">
        <v>205</v>
      </c>
      <c r="V1529" s="1321">
        <f>LEN(U1528)</f>
        <v>409</v>
      </c>
      <c r="W1529" s="627"/>
      <c r="X1529" s="811"/>
      <c r="Y1529" s="67"/>
      <c r="Z1529" s="67"/>
      <c r="AA1529" s="67"/>
      <c r="AB1529" s="67"/>
      <c r="AC1529" s="67"/>
      <c r="AD1529" s="67"/>
      <c r="AE1529" s="67"/>
      <c r="AF1529" s="67"/>
      <c r="AG1529" s="85"/>
    </row>
    <row r="1530" spans="1:33" ht="11.25" customHeight="1">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533</v>
      </c>
      <c r="M1530" s="159"/>
      <c r="N1530" s="1302"/>
      <c r="O1530" s="627"/>
      <c r="P1530" s="627"/>
      <c r="Q1530" s="628" t="s">
        <v>207</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c r="A1531" s="878">
        <v>13</v>
      </c>
      <c r="B1531" s="707">
        <v>60</v>
      </c>
      <c r="C1531" s="708">
        <v>400</v>
      </c>
      <c r="D1531" s="709">
        <v>0.05</v>
      </c>
      <c r="E1531" s="710" t="str">
        <v>Large</v>
      </c>
      <c r="F1531" s="709" t="str">
        <v>50-85</v>
      </c>
      <c r="G1531" s="711">
        <v>3</v>
      </c>
      <c r="H1531" s="711" t="str">
        <v>none</v>
      </c>
      <c r="I1531" s="712">
        <v>60</v>
      </c>
      <c r="J1531" s="711" t="str">
        <v>cm</v>
      </c>
      <c r="K1531" s="713">
        <v>1</v>
      </c>
      <c r="L1531" s="981" t="s">
        <v>533</v>
      </c>
      <c r="M1531" s="159"/>
      <c r="N1531" s="1302"/>
      <c r="O1531" s="627"/>
      <c r="P1531" s="627"/>
      <c r="Q1531" s="628" t="s">
        <v>200</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c r="A1532" s="878">
        <v>14</v>
      </c>
      <c r="B1532" s="707">
        <v>60</v>
      </c>
      <c r="C1532" s="708">
        <v>400</v>
      </c>
      <c r="D1532" s="709">
        <v>0.05</v>
      </c>
      <c r="E1532" s="710" t="str">
        <v>Large</v>
      </c>
      <c r="F1532" s="709" t="str">
        <v>50-85</v>
      </c>
      <c r="G1532" s="711">
        <v>3</v>
      </c>
      <c r="H1532" s="711" t="str">
        <v>none</v>
      </c>
      <c r="I1532" s="712">
        <v>60</v>
      </c>
      <c r="J1532" s="711" t="str">
        <v>cm</v>
      </c>
      <c r="K1532" s="713">
        <v>1</v>
      </c>
      <c r="L1532" s="981" t="s">
        <v>533</v>
      </c>
      <c r="M1532" s="159"/>
      <c r="N1532" s="1302"/>
      <c r="O1532" s="627"/>
      <c r="P1532" s="627"/>
      <c r="Q1532" s="628" t="s">
        <v>201</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c r="A1533" s="878">
        <v>15</v>
      </c>
      <c r="B1533" s="707">
        <v>60</v>
      </c>
      <c r="C1533" s="708">
        <v>400</v>
      </c>
      <c r="D1533" s="709">
        <v>0.05</v>
      </c>
      <c r="E1533" s="710" t="str">
        <v>Large</v>
      </c>
      <c r="F1533" s="709" t="str">
        <v>50-85</v>
      </c>
      <c r="G1533" s="711">
        <v>2</v>
      </c>
      <c r="H1533" s="711" t="str">
        <v>none</v>
      </c>
      <c r="I1533" s="712">
        <v>60</v>
      </c>
      <c r="J1533" s="711" t="str">
        <v>cm</v>
      </c>
      <c r="K1533" s="713">
        <v>1</v>
      </c>
      <c r="L1533" s="981" t="s">
        <v>533</v>
      </c>
      <c r="M1533" s="159"/>
      <c r="N1533" s="1302"/>
      <c r="O1533" s="627"/>
      <c r="P1533" s="627"/>
      <c r="Q1533" s="628" t="s">
        <v>202</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c r="A1534" s="878">
        <v>16</v>
      </c>
      <c r="B1534" s="707">
        <v>60</v>
      </c>
      <c r="C1534" s="708">
        <v>400</v>
      </c>
      <c r="D1534" s="709">
        <v>0.05</v>
      </c>
      <c r="E1534" s="710" t="str">
        <v>Large</v>
      </c>
      <c r="F1534" s="709" t="str">
        <v>50-85</v>
      </c>
      <c r="G1534" s="711">
        <v>2</v>
      </c>
      <c r="H1534" s="711" t="str">
        <v>none</v>
      </c>
      <c r="I1534" s="712">
        <v>60</v>
      </c>
      <c r="J1534" s="711" t="str">
        <v>cm</v>
      </c>
      <c r="K1534" s="713">
        <v>1</v>
      </c>
      <c r="L1534" s="981" t="s">
        <v>533</v>
      </c>
      <c r="M1534" s="159"/>
      <c r="N1534" s="1302"/>
      <c r="O1534" s="627"/>
      <c r="P1534" s="627"/>
      <c r="Q1534" s="628" t="s">
        <v>203</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533</v>
      </c>
      <c r="M1535" s="159"/>
      <c r="N1535" s="753"/>
      <c r="O1535" s="1304"/>
      <c r="P1535" s="1304"/>
      <c r="Q1535" s="1294" t="s">
        <v>204</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533</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533</v>
      </c>
      <c r="X1537" s="962" t="s">
        <v>533</v>
      </c>
    </row>
    <row r="1538" spans="1:24" ht="11.25" customHeight="1">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533</v>
      </c>
      <c r="X1538" s="962" t="s">
        <v>533</v>
      </c>
    </row>
    <row r="1539" spans="1:24" ht="11.25" customHeight="1">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533</v>
      </c>
      <c r="X1539" s="962" t="s">
        <v>533</v>
      </c>
    </row>
    <row r="1540" spans="1:24" ht="11.25" customHeight="1">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533</v>
      </c>
      <c r="X1540" s="962" t="s">
        <v>533</v>
      </c>
    </row>
    <row r="1541" spans="1:24" ht="11.25" customHeight="1">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533</v>
      </c>
      <c r="X1541" s="962" t="s">
        <v>533</v>
      </c>
    </row>
    <row r="1542" spans="1:24" ht="11.25" customHeight="1">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533</v>
      </c>
      <c r="X1542" s="962" t="s">
        <v>533</v>
      </c>
    </row>
    <row r="1543" spans="1:24" ht="11.25" customHeight="1">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533</v>
      </c>
      <c r="X1543" s="962" t="s">
        <v>533</v>
      </c>
    </row>
    <row r="1544" spans="1:24" ht="11.25" customHeight="1">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533</v>
      </c>
      <c r="X1544" s="962" t="s">
        <v>533</v>
      </c>
    </row>
    <row r="1545" spans="1:24" ht="11.25" customHeight="1">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533</v>
      </c>
      <c r="X1545" s="962" t="s">
        <v>533</v>
      </c>
    </row>
    <row r="1546" spans="1:24" ht="11.25" customHeight="1">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533</v>
      </c>
      <c r="X1546" s="962" t="s">
        <v>533</v>
      </c>
    </row>
    <row r="1547" spans="1:24" ht="11.25" customHeight="1">
      <c r="A1547" s="878">
        <v>29</v>
      </c>
      <c r="B1547" s="707">
        <v>80</v>
      </c>
      <c r="C1547" s="708">
        <v>50</v>
      </c>
      <c r="D1547" s="709">
        <v>0.05</v>
      </c>
      <c r="E1547" s="121" t="str">
        <v>Large</v>
      </c>
      <c r="F1547" s="711" t="str">
        <v>70-120</v>
      </c>
      <c r="G1547" s="711">
        <v>0</v>
      </c>
      <c r="H1547" s="711" t="str">
        <v>none</v>
      </c>
      <c r="I1547" s="712">
        <v>60</v>
      </c>
      <c r="J1547" s="711" t="str">
        <v>cm</v>
      </c>
      <c r="K1547" s="713">
        <v>1</v>
      </c>
      <c r="L1547" s="981" t="s">
        <v>533</v>
      </c>
      <c r="X1547" s="962" t="s">
        <v>533</v>
      </c>
    </row>
    <row r="1548" spans="1:24" ht="11.25" customHeight="1">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533</v>
      </c>
      <c r="X1548" s="962" t="s">
        <v>533</v>
      </c>
    </row>
    <row r="1549" spans="1:24" ht="11.25" customHeight="1">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533</v>
      </c>
      <c r="X1549" s="962" t="s">
        <v>533</v>
      </c>
    </row>
    <row r="1550" spans="1:24" ht="11.25" customHeight="1">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533</v>
      </c>
      <c r="X1550" s="962" t="s">
        <v>533</v>
      </c>
    </row>
    <row r="1551" spans="1:24" ht="11.25" customHeight="1">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533</v>
      </c>
      <c r="X1551" s="962" t="s">
        <v>533</v>
      </c>
    </row>
    <row r="1552" spans="1:24" ht="11.25" customHeight="1">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533</v>
      </c>
      <c r="X1552" s="962" t="s">
        <v>533</v>
      </c>
    </row>
    <row r="1553" spans="1:24" ht="11.25" customHeight="1">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533</v>
      </c>
      <c r="X1553" s="962" t="s">
        <v>533</v>
      </c>
    </row>
    <row r="1554" spans="1:24" ht="11.25" customHeight="1">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533</v>
      </c>
      <c r="X1554" s="962" t="s">
        <v>533</v>
      </c>
    </row>
    <row r="1555" spans="1:24" ht="11.25" customHeight="1">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533</v>
      </c>
      <c r="X1555" s="962" t="s">
        <v>533</v>
      </c>
    </row>
    <row r="1556" spans="1:24" ht="11.25" customHeight="1">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533</v>
      </c>
      <c r="X1556" s="962" t="s">
        <v>533</v>
      </c>
    </row>
    <row r="1557" spans="1:24" ht="11.25" customHeight="1">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533</v>
      </c>
      <c r="X1557" s="962" t="s">
        <v>533</v>
      </c>
    </row>
    <row r="1558" spans="1:24" ht="11.25" customHeight="1">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533</v>
      </c>
      <c r="X1558" s="962" t="s">
        <v>533</v>
      </c>
    </row>
    <row r="1559" spans="1:24" ht="11.25" customHeight="1">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533</v>
      </c>
      <c r="X1559" s="962" t="s">
        <v>533</v>
      </c>
    </row>
    <row r="1560" spans="1:24" ht="11.25" customHeight="1">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533</v>
      </c>
      <c r="X1560" s="962" t="s">
        <v>533</v>
      </c>
    </row>
    <row r="1561" spans="1:24" ht="11.25" customHeight="1">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533</v>
      </c>
      <c r="X1561" s="962" t="s">
        <v>533</v>
      </c>
    </row>
    <row r="1562" spans="1:24" ht="11.25" customHeight="1">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533</v>
      </c>
      <c r="X1562" s="962" t="s">
        <v>533</v>
      </c>
    </row>
    <row r="1563" spans="1:24" ht="11.25" customHeight="1">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533</v>
      </c>
      <c r="X1563" s="962" t="s">
        <v>533</v>
      </c>
    </row>
    <row r="1564" spans="1:24" ht="11.25" customHeight="1">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533</v>
      </c>
      <c r="X1564" s="962" t="s">
        <v>533</v>
      </c>
    </row>
    <row r="1565" spans="1:24" ht="11.25" customHeight="1">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533</v>
      </c>
      <c r="X1565" s="962" t="s">
        <v>533</v>
      </c>
    </row>
    <row r="1566" spans="1:24" ht="11.25" customHeight="1">
      <c r="A1566" s="878">
        <v>48</v>
      </c>
      <c r="B1566" s="442"/>
      <c r="C1566" s="204"/>
      <c r="D1566" s="204"/>
      <c r="E1566" s="204"/>
      <c r="F1566" s="204"/>
      <c r="G1566" s="204"/>
      <c r="H1566" s="204"/>
      <c r="I1566" s="204"/>
      <c r="J1566" s="204"/>
      <c r="K1566" s="205"/>
      <c r="L1566" s="981" t="s">
        <v>533</v>
      </c>
      <c r="X1566" s="962" t="s">
        <v>533</v>
      </c>
    </row>
    <row r="1567" spans="1:24" ht="11.25" customHeight="1" thickBot="1">
      <c r="A1567" s="878">
        <v>49</v>
      </c>
      <c r="B1567" s="714"/>
      <c r="C1567" s="715"/>
      <c r="D1567" s="715"/>
      <c r="E1567" s="715"/>
      <c r="F1567" s="715"/>
      <c r="G1567" s="715"/>
      <c r="H1567" s="715"/>
      <c r="I1567" s="715"/>
      <c r="J1567" s="715"/>
      <c r="K1567" s="716"/>
      <c r="L1567" s="981" t="s">
        <v>533</v>
      </c>
      <c r="X1567" s="962" t="s">
        <v>533</v>
      </c>
    </row>
    <row r="1568" spans="1:24" ht="11.25" customHeight="1" thickTop="1">
      <c r="A1568" s="878">
        <v>50</v>
      </c>
      <c r="B1568" s="441"/>
      <c r="C1568" s="441"/>
      <c r="D1568" s="441"/>
      <c r="E1568" s="441"/>
      <c r="F1568" s="441"/>
      <c r="G1568" s="441"/>
      <c r="H1568" s="441"/>
      <c r="I1568" s="441"/>
      <c r="J1568" s="441"/>
      <c r="K1568" s="441"/>
      <c r="L1568" s="981" t="s">
        <v>533</v>
      </c>
      <c r="X1568" s="962" t="s">
        <v>533</v>
      </c>
    </row>
    <row r="1569" spans="1:24" ht="11.25" customHeight="1">
      <c r="A1569" s="878">
        <v>51</v>
      </c>
      <c r="B1569" s="441"/>
      <c r="C1569" s="441"/>
      <c r="D1569" s="441"/>
      <c r="E1569" s="441"/>
      <c r="F1569" s="441"/>
      <c r="G1569" s="441"/>
      <c r="H1569" s="441"/>
      <c r="I1569" s="441"/>
      <c r="J1569" s="441"/>
      <c r="K1569" s="441"/>
      <c r="L1569" s="981" t="s">
        <v>533</v>
      </c>
      <c r="X1569" s="962" t="s">
        <v>533</v>
      </c>
    </row>
    <row r="1570" spans="1:24" ht="11.25" customHeight="1">
      <c r="A1570" s="878">
        <v>52</v>
      </c>
      <c r="B1570" s="441"/>
      <c r="C1570" s="441"/>
      <c r="D1570" s="441"/>
      <c r="E1570" s="441"/>
      <c r="F1570" s="441"/>
      <c r="G1570" s="441"/>
      <c r="H1570" s="441"/>
      <c r="I1570" s="441"/>
      <c r="J1570" s="441"/>
      <c r="K1570" s="441"/>
      <c r="L1570" s="981" t="s">
        <v>533</v>
      </c>
      <c r="X1570" s="962" t="s">
        <v>533</v>
      </c>
    </row>
    <row r="1571" spans="1:24" ht="11.25" customHeight="1">
      <c r="A1571" s="878">
        <v>53</v>
      </c>
      <c r="B1571" s="441"/>
      <c r="C1571" s="441"/>
      <c r="D1571" s="441"/>
      <c r="E1571" s="441"/>
      <c r="F1571" s="441"/>
      <c r="G1571" s="441"/>
      <c r="H1571" s="441"/>
      <c r="I1571" s="441"/>
      <c r="J1571" s="441"/>
      <c r="K1571" s="441"/>
      <c r="L1571" s="981" t="s">
        <v>533</v>
      </c>
      <c r="X1571" s="962" t="s">
        <v>533</v>
      </c>
    </row>
    <row r="1572" spans="1:24" ht="11.25" customHeight="1">
      <c r="A1572" s="878">
        <v>54</v>
      </c>
      <c r="B1572" s="441"/>
      <c r="C1572" s="441"/>
      <c r="D1572" s="441"/>
      <c r="E1572" s="441"/>
      <c r="F1572" s="441"/>
      <c r="G1572" s="441"/>
      <c r="H1572" s="441"/>
      <c r="I1572" s="441"/>
      <c r="J1572" s="441"/>
      <c r="K1572" s="441"/>
      <c r="L1572" s="981" t="s">
        <v>533</v>
      </c>
      <c r="X1572" s="962" t="s">
        <v>533</v>
      </c>
    </row>
    <row r="1573" spans="1:24" ht="11.25" customHeight="1">
      <c r="A1573" s="878">
        <v>55</v>
      </c>
      <c r="B1573" s="441"/>
      <c r="C1573" s="441"/>
      <c r="D1573" s="441"/>
      <c r="E1573" s="441"/>
      <c r="F1573" s="441"/>
      <c r="G1573" s="441"/>
      <c r="H1573" s="441"/>
      <c r="I1573" s="441"/>
      <c r="J1573" s="441"/>
      <c r="K1573" s="441"/>
      <c r="L1573" s="981" t="s">
        <v>533</v>
      </c>
      <c r="X1573" s="962" t="s">
        <v>533</v>
      </c>
    </row>
    <row r="1574" spans="1:24" ht="11.25" customHeight="1">
      <c r="A1574" s="878">
        <v>56</v>
      </c>
      <c r="B1574" s="441"/>
      <c r="C1574" s="441"/>
      <c r="D1574" s="441"/>
      <c r="E1574" s="441"/>
      <c r="F1574" s="441"/>
      <c r="G1574" s="441"/>
      <c r="H1574" s="441"/>
      <c r="I1574" s="441"/>
      <c r="J1574" s="441"/>
      <c r="K1574" s="441"/>
      <c r="L1574" s="981" t="s">
        <v>533</v>
      </c>
      <c r="X1574" s="962" t="s">
        <v>533</v>
      </c>
    </row>
    <row r="1575" spans="1:24" ht="11.25" customHeight="1">
      <c r="A1575" s="878">
        <v>57</v>
      </c>
      <c r="B1575" s="441"/>
      <c r="C1575" s="441"/>
      <c r="D1575" s="441"/>
      <c r="E1575" s="441"/>
      <c r="F1575" s="441"/>
      <c r="G1575" s="441"/>
      <c r="H1575" s="441"/>
      <c r="I1575" s="441"/>
      <c r="J1575" s="441"/>
      <c r="K1575" s="441"/>
      <c r="L1575" s="981" t="s">
        <v>533</v>
      </c>
      <c r="X1575" s="962" t="s">
        <v>533</v>
      </c>
    </row>
    <row r="1576" spans="1:24" ht="11.25" customHeight="1">
      <c r="A1576" s="878">
        <v>58</v>
      </c>
      <c r="B1576" s="441"/>
      <c r="C1576" s="441"/>
      <c r="D1576" s="441"/>
      <c r="E1576" s="441"/>
      <c r="F1576" s="441"/>
      <c r="G1576" s="441"/>
      <c r="H1576" s="441"/>
      <c r="I1576" s="441"/>
      <c r="J1576" s="441"/>
      <c r="K1576" s="441"/>
      <c r="L1576" s="981" t="s">
        <v>533</v>
      </c>
      <c r="X1576" s="962" t="s">
        <v>533</v>
      </c>
    </row>
    <row r="1577" spans="1:24" ht="11.25" customHeight="1">
      <c r="A1577" s="878">
        <v>59</v>
      </c>
      <c r="B1577" s="441"/>
      <c r="C1577" s="441"/>
      <c r="D1577" s="441"/>
      <c r="E1577" s="441"/>
      <c r="F1577" s="441"/>
      <c r="G1577" s="441"/>
      <c r="H1577" s="441"/>
      <c r="I1577" s="441"/>
      <c r="J1577" s="441"/>
      <c r="K1577" s="441"/>
      <c r="L1577" s="981" t="s">
        <v>533</v>
      </c>
      <c r="X1577" s="962" t="s">
        <v>533</v>
      </c>
    </row>
    <row r="1578" spans="1:24" ht="11.25" customHeight="1">
      <c r="A1578" s="878">
        <v>60</v>
      </c>
      <c r="B1578" s="441"/>
      <c r="C1578" s="441"/>
      <c r="D1578" s="441"/>
      <c r="E1578" s="441"/>
      <c r="F1578" s="441"/>
      <c r="G1578" s="441"/>
      <c r="H1578" s="441"/>
      <c r="I1578" s="441"/>
      <c r="J1578" s="441"/>
      <c r="K1578" s="441"/>
      <c r="L1578" s="981" t="s">
        <v>533</v>
      </c>
      <c r="X1578" s="962" t="s">
        <v>533</v>
      </c>
    </row>
    <row r="1579" spans="1:24" ht="11.25" customHeight="1">
      <c r="A1579" s="878">
        <v>61</v>
      </c>
      <c r="B1579" s="441"/>
      <c r="C1579" s="441"/>
      <c r="D1579" s="441"/>
      <c r="E1579" s="441"/>
      <c r="F1579" s="441"/>
      <c r="G1579" s="441"/>
      <c r="H1579" s="441"/>
      <c r="I1579" s="441"/>
      <c r="J1579" s="441"/>
      <c r="K1579" s="441"/>
      <c r="L1579" s="981" t="s">
        <v>533</v>
      </c>
      <c r="X1579" s="962" t="s">
        <v>533</v>
      </c>
    </row>
    <row r="1580" spans="1:24" ht="11.25" customHeight="1">
      <c r="A1580" s="878">
        <v>62</v>
      </c>
      <c r="B1580" s="441"/>
      <c r="C1580" s="441"/>
      <c r="D1580" s="441"/>
      <c r="E1580" s="441"/>
      <c r="F1580" s="441"/>
      <c r="G1580" s="441"/>
      <c r="H1580" s="441"/>
      <c r="I1580" s="441"/>
      <c r="J1580" s="441"/>
      <c r="K1580" s="441"/>
      <c r="L1580" s="981" t="s">
        <v>533</v>
      </c>
      <c r="X1580" s="962" t="s">
        <v>533</v>
      </c>
    </row>
    <row r="1581" spans="1:24" ht="11.25" customHeight="1">
      <c r="A1581" s="878">
        <v>63</v>
      </c>
      <c r="B1581" s="441"/>
      <c r="C1581" s="441"/>
      <c r="D1581" s="441"/>
      <c r="E1581" s="441"/>
      <c r="F1581" s="441"/>
      <c r="G1581" s="441"/>
      <c r="H1581" s="441"/>
      <c r="I1581" s="441"/>
      <c r="J1581" s="441"/>
      <c r="K1581" s="441"/>
      <c r="L1581" s="981" t="s">
        <v>533</v>
      </c>
      <c r="X1581" s="962" t="s">
        <v>533</v>
      </c>
    </row>
    <row r="1582" spans="1:24" ht="11.25" customHeight="1">
      <c r="A1582" s="878">
        <v>64</v>
      </c>
      <c r="B1582" s="441"/>
      <c r="C1582" s="441"/>
      <c r="D1582" s="441"/>
      <c r="E1582" s="441"/>
      <c r="F1582" s="441"/>
      <c r="G1582" s="441"/>
      <c r="H1582" s="441"/>
      <c r="I1582" s="441"/>
      <c r="J1582" s="441"/>
      <c r="K1582" s="441"/>
      <c r="L1582" s="981" t="s">
        <v>533</v>
      </c>
      <c r="X1582" s="962" t="s">
        <v>533</v>
      </c>
    </row>
    <row r="1583" spans="1:24" ht="11.25" customHeight="1">
      <c r="A1583" s="878">
        <v>65</v>
      </c>
      <c r="B1583" s="717" t="str">
        <f t="array" ref="B1583:C1584">$B$65:$C$66</f>
        <v>Date:</v>
      </c>
      <c r="C1583" s="1467">
        <v>43039</v>
      </c>
      <c r="D1583" s="441"/>
      <c r="E1583" s="718"/>
      <c r="F1583" s="718"/>
      <c r="G1583" s="718"/>
      <c r="H1583" s="718"/>
      <c r="I1583" s="717" t="str">
        <f t="array" ref="I1583:J1584">$I$65:$J$66</f>
        <v>Inspector:</v>
      </c>
      <c r="J1583" s="565" t="str">
        <v>Eugene Mah</v>
      </c>
      <c r="K1583" s="441"/>
      <c r="L1583" s="981" t="s">
        <v>533</v>
      </c>
      <c r="X1583" s="962" t="s">
        <v>533</v>
      </c>
    </row>
    <row r="1584" spans="1:24" ht="11.25" customHeight="1">
      <c r="A1584" s="878">
        <v>66</v>
      </c>
      <c r="B1584" s="717" t="str">
        <v>Room Number:</v>
      </c>
      <c r="C1584" s="508" t="str">
        <v>Room 04 RT 127M - Tube 1</v>
      </c>
      <c r="D1584" s="441"/>
      <c r="E1584" s="718"/>
      <c r="F1584" s="718"/>
      <c r="G1584" s="718"/>
      <c r="H1584" s="718"/>
      <c r="I1584" s="717" t="str">
        <v>Survey ID:</v>
      </c>
      <c r="J1584" s="1477">
        <v>1976</v>
      </c>
      <c r="K1584" s="441"/>
      <c r="L1584" s="981" t="s">
        <v>533</v>
      </c>
      <c r="X1584" s="962" t="s">
        <v>533</v>
      </c>
    </row>
    <row r="1585" spans="1:24" ht="11.25" customHeight="1">
      <c r="A1585" s="878">
        <v>1</v>
      </c>
      <c r="B1585" s="441"/>
      <c r="C1585" s="441"/>
      <c r="D1585" s="441"/>
      <c r="E1585" s="441"/>
      <c r="F1585" s="441"/>
      <c r="G1585" s="441"/>
      <c r="H1585" s="441"/>
      <c r="I1585" s="441"/>
      <c r="J1585" s="441"/>
      <c r="K1585" s="701" t="str">
        <f>$F$2</f>
        <v>Medical University of South Carolina</v>
      </c>
      <c r="L1585" s="981" t="s">
        <v>533</v>
      </c>
      <c r="X1585" s="962" t="s">
        <v>533</v>
      </c>
    </row>
    <row r="1586" spans="1:24" ht="11.25" customHeight="1">
      <c r="A1586" s="878">
        <v>2</v>
      </c>
      <c r="B1586" s="441"/>
      <c r="C1586" s="441"/>
      <c r="D1586" s="441"/>
      <c r="E1586" s="441"/>
      <c r="F1586" s="441"/>
      <c r="G1586" s="441"/>
      <c r="H1586" s="441"/>
      <c r="I1586" s="441"/>
      <c r="J1586" s="441"/>
      <c r="K1586" s="702" t="str">
        <f>$F$5</f>
        <v>Radiographic System Compliance Inspection</v>
      </c>
      <c r="L1586" s="981" t="s">
        <v>533</v>
      </c>
      <c r="X1586" s="962" t="s">
        <v>533</v>
      </c>
    </row>
    <row r="1587" spans="1:24" ht="11.25" customHeight="1">
      <c r="A1587" s="878">
        <v>3</v>
      </c>
      <c r="B1587" s="200"/>
      <c r="C1587" s="200"/>
      <c r="D1587" s="200"/>
      <c r="E1587" s="200"/>
      <c r="F1587" s="200"/>
      <c r="G1587" s="200"/>
      <c r="H1587" s="200"/>
      <c r="I1587" s="200"/>
      <c r="J1587" s="200"/>
      <c r="K1587" s="200"/>
      <c r="L1587" s="981" t="s">
        <v>533</v>
      </c>
      <c r="X1587" s="962" t="s">
        <v>533</v>
      </c>
    </row>
    <row r="1588" spans="1:24" ht="11.25" customHeight="1">
      <c r="A1588" s="878">
        <v>4</v>
      </c>
      <c r="B1588" s="200"/>
      <c r="C1588" s="200"/>
      <c r="D1588" s="200"/>
      <c r="E1588" s="200"/>
      <c r="F1588" s="344" t="str">
        <f>$F$464</f>
        <v>Measurement Data</v>
      </c>
      <c r="G1588" s="200"/>
      <c r="H1588" s="200"/>
      <c r="I1588" s="200"/>
      <c r="J1588" s="200"/>
      <c r="K1588" s="200"/>
      <c r="L1588" s="981" t="s">
        <v>533</v>
      </c>
      <c r="X1588" s="962" t="s">
        <v>533</v>
      </c>
    </row>
    <row r="1589" spans="1:24" ht="11.25" customHeight="1" thickBot="1">
      <c r="A1589" s="878">
        <v>5</v>
      </c>
      <c r="B1589" s="441"/>
      <c r="C1589" s="441"/>
      <c r="D1589" s="441"/>
      <c r="E1589" s="441"/>
      <c r="F1589" s="441"/>
      <c r="G1589" s="441"/>
      <c r="H1589" s="441"/>
      <c r="I1589" s="441"/>
      <c r="J1589" s="441"/>
      <c r="K1589" s="441"/>
      <c r="L1589" s="981" t="s">
        <v>533</v>
      </c>
      <c r="X1589" s="962" t="s">
        <v>533</v>
      </c>
    </row>
    <row r="1590" spans="1:24" ht="11.25" customHeight="1" thickTop="1">
      <c r="A1590" s="878">
        <v>6</v>
      </c>
      <c r="B1590" s="436"/>
      <c r="C1590" s="437"/>
      <c r="D1590" s="437"/>
      <c r="E1590" s="437"/>
      <c r="F1590" s="437"/>
      <c r="G1590" s="437"/>
      <c r="H1590" s="437"/>
      <c r="I1590" s="437"/>
      <c r="J1590" s="437"/>
      <c r="K1590" s="438"/>
      <c r="L1590" s="981" t="s">
        <v>533</v>
      </c>
      <c r="X1590" s="962" t="s">
        <v>533</v>
      </c>
    </row>
    <row r="1591" spans="1:24" ht="11.25" customHeight="1">
      <c r="A1591" s="878">
        <v>7</v>
      </c>
      <c r="B1591" s="442"/>
      <c r="C1591" s="204"/>
      <c r="D1591" s="204"/>
      <c r="E1591" s="204"/>
      <c r="F1591" s="204"/>
      <c r="G1591" s="719" t="s">
        <v>358</v>
      </c>
      <c r="H1591" s="204"/>
      <c r="I1591" s="204"/>
      <c r="J1591" s="719" t="s">
        <v>359</v>
      </c>
      <c r="K1591" s="205"/>
      <c r="L1591" s="981" t="s">
        <v>533</v>
      </c>
      <c r="X1591" s="962" t="s">
        <v>533</v>
      </c>
    </row>
    <row r="1592" spans="1:24" ht="11.25" customHeight="1" thickBot="1">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360</v>
      </c>
      <c r="K1592" s="720" t="str">
        <f t="array" ref="K1592:K1631">IF($AV$687:$AV$747="","",$AV$687:$AV$747)</f>
        <v>Survey</v>
      </c>
      <c r="L1592" s="981" t="s">
        <v>533</v>
      </c>
      <c r="X1592" s="962" t="s">
        <v>533</v>
      </c>
    </row>
    <row r="1593" spans="1:24" ht="11.25" customHeight="1">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533</v>
      </c>
      <c r="X1593" s="962" t="s">
        <v>533</v>
      </c>
    </row>
    <row r="1594" spans="1:24" ht="11.25" customHeight="1">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533</v>
      </c>
      <c r="X1594" s="962" t="s">
        <v>533</v>
      </c>
    </row>
    <row r="1595" spans="1:24" ht="11.25" customHeight="1">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533</v>
      </c>
      <c r="X1595" s="962" t="s">
        <v>533</v>
      </c>
    </row>
    <row r="1596" spans="1:24" ht="11.25" customHeight="1">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533</v>
      </c>
      <c r="X1596" s="962" t="s">
        <v>533</v>
      </c>
    </row>
    <row r="1597" spans="1:24" ht="11.25" customHeight="1">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533</v>
      </c>
      <c r="X1597" s="962" t="s">
        <v>533</v>
      </c>
    </row>
    <row r="1598" spans="1:24" ht="11.25" customHeight="1">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533</v>
      </c>
      <c r="X1598" s="962" t="s">
        <v>533</v>
      </c>
    </row>
    <row r="1599" spans="1:24" ht="11.25" customHeight="1">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533</v>
      </c>
      <c r="X1599" s="962" t="s">
        <v>533</v>
      </c>
    </row>
    <row r="1600" spans="1:24" ht="11.25" customHeight="1">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533</v>
      </c>
      <c r="X1600" s="962" t="s">
        <v>533</v>
      </c>
    </row>
    <row r="1601" spans="1:24" ht="11.25" customHeight="1">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533</v>
      </c>
      <c r="X1601" s="962" t="s">
        <v>533</v>
      </c>
    </row>
    <row r="1602" spans="1:24" ht="11.25" customHeight="1">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533</v>
      </c>
      <c r="X1602" s="962" t="s">
        <v>533</v>
      </c>
    </row>
    <row r="1603" spans="1:24" ht="11.25" customHeight="1">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533</v>
      </c>
      <c r="X1603" s="962" t="s">
        <v>533</v>
      </c>
    </row>
    <row r="1604" spans="1:24" ht="11.25" customHeight="1">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533</v>
      </c>
      <c r="X1604" s="962" t="s">
        <v>533</v>
      </c>
    </row>
    <row r="1605" spans="1:24" ht="11.25" customHeight="1">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533</v>
      </c>
      <c r="X1605" s="962" t="s">
        <v>533</v>
      </c>
    </row>
    <row r="1606" spans="1:24" ht="11.25" customHeight="1">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533</v>
      </c>
      <c r="X1606" s="962" t="s">
        <v>533</v>
      </c>
    </row>
    <row r="1607" spans="1:24" ht="11.25" customHeight="1">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533</v>
      </c>
      <c r="X1607" s="962" t="s">
        <v>533</v>
      </c>
    </row>
    <row r="1608" spans="1:24" ht="11.25" customHeight="1">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533</v>
      </c>
      <c r="X1608" s="962" t="s">
        <v>533</v>
      </c>
    </row>
    <row r="1609" spans="1:24" ht="11.25" customHeight="1">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533</v>
      </c>
      <c r="X1609" s="962" t="s">
        <v>533</v>
      </c>
    </row>
    <row r="1610" spans="1:24" ht="11.25" customHeight="1">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533</v>
      </c>
      <c r="X1610" s="962" t="s">
        <v>533</v>
      </c>
    </row>
    <row r="1611" spans="1:24" ht="11.25" customHeight="1">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533</v>
      </c>
      <c r="X1611" s="962" t="s">
        <v>533</v>
      </c>
    </row>
    <row r="1612" spans="1:24" ht="11.25" customHeight="1">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533</v>
      </c>
      <c r="X1612" s="962" t="s">
        <v>533</v>
      </c>
    </row>
    <row r="1613" spans="1:24" ht="11.25" customHeight="1">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533</v>
      </c>
      <c r="X1613" s="962" t="s">
        <v>533</v>
      </c>
    </row>
    <row r="1614" spans="1:24" ht="11.25" customHeight="1">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533</v>
      </c>
      <c r="X1614" s="962" t="s">
        <v>533</v>
      </c>
    </row>
    <row r="1615" spans="1:24" ht="11.25" customHeight="1">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533</v>
      </c>
      <c r="X1615" s="962" t="s">
        <v>533</v>
      </c>
    </row>
    <row r="1616" spans="1:24" ht="11.25" customHeight="1">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533</v>
      </c>
      <c r="X1616" s="962" t="s">
        <v>533</v>
      </c>
    </row>
    <row r="1617" spans="1:24" ht="11.25" customHeight="1">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533</v>
      </c>
      <c r="X1617" s="962" t="s">
        <v>533</v>
      </c>
    </row>
    <row r="1618" spans="1:24" ht="11.25" customHeight="1">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533</v>
      </c>
      <c r="X1618" s="962" t="s">
        <v>533</v>
      </c>
    </row>
    <row r="1619" spans="1:24" ht="11.25" customHeight="1">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533</v>
      </c>
      <c r="X1619" s="962" t="s">
        <v>533</v>
      </c>
    </row>
    <row r="1620" spans="1:24" ht="11.25" customHeight="1">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533</v>
      </c>
      <c r="X1620" s="962" t="s">
        <v>533</v>
      </c>
    </row>
    <row r="1621" spans="1:24" ht="11.25" customHeight="1">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533</v>
      </c>
      <c r="X1621" s="962" t="s">
        <v>533</v>
      </c>
    </row>
    <row r="1622" spans="1:24" ht="11.25" customHeight="1">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533</v>
      </c>
      <c r="X1622" s="962" t="s">
        <v>533</v>
      </c>
    </row>
    <row r="1623" spans="1:24" ht="11.25" customHeight="1">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533</v>
      </c>
      <c r="X1623" s="962" t="s">
        <v>533</v>
      </c>
    </row>
    <row r="1624" spans="1:24" ht="11.25" customHeight="1">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533</v>
      </c>
      <c r="X1624" s="962" t="s">
        <v>533</v>
      </c>
    </row>
    <row r="1625" spans="1:24" ht="11.25" customHeight="1">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533</v>
      </c>
      <c r="X1625" s="962" t="s">
        <v>533</v>
      </c>
    </row>
    <row r="1626" spans="1:24" ht="11.25" customHeight="1">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533</v>
      </c>
      <c r="X1626" s="962" t="s">
        <v>533</v>
      </c>
    </row>
    <row r="1627" spans="1:24" ht="11.25" customHeight="1">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533</v>
      </c>
      <c r="X1627" s="962" t="s">
        <v>533</v>
      </c>
    </row>
    <row r="1628" spans="1:24" ht="11.25" customHeight="1">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533</v>
      </c>
      <c r="X1628" s="962" t="s">
        <v>533</v>
      </c>
    </row>
    <row r="1629" spans="1:24" ht="11.25" customHeight="1">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533</v>
      </c>
      <c r="X1629" s="962" t="s">
        <v>533</v>
      </c>
    </row>
    <row r="1630" spans="1:24" ht="11.25" customHeight="1">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533</v>
      </c>
      <c r="X1630" s="962" t="s">
        <v>533</v>
      </c>
    </row>
    <row r="1631" spans="1:24" ht="11.25" customHeight="1">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533</v>
      </c>
      <c r="X1631" s="962" t="s">
        <v>533</v>
      </c>
    </row>
    <row r="1632" spans="1:24" ht="11.25" customHeight="1">
      <c r="A1632" s="878">
        <v>48</v>
      </c>
      <c r="B1632" s="442"/>
      <c r="C1632" s="204"/>
      <c r="D1632" s="204"/>
      <c r="E1632" s="204"/>
      <c r="F1632" s="204"/>
      <c r="G1632" s="204"/>
      <c r="H1632" s="204"/>
      <c r="I1632" s="204"/>
      <c r="J1632" s="204"/>
      <c r="K1632" s="205"/>
      <c r="L1632" s="981" t="s">
        <v>533</v>
      </c>
      <c r="X1632" s="962" t="s">
        <v>533</v>
      </c>
    </row>
    <row r="1633" spans="1:24" ht="11.25" customHeight="1" thickBot="1">
      <c r="A1633" s="878">
        <v>49</v>
      </c>
      <c r="B1633" s="714"/>
      <c r="C1633" s="715"/>
      <c r="D1633" s="715"/>
      <c r="E1633" s="715"/>
      <c r="F1633" s="715"/>
      <c r="G1633" s="715"/>
      <c r="H1633" s="715"/>
      <c r="I1633" s="715"/>
      <c r="J1633" s="715"/>
      <c r="K1633" s="716"/>
      <c r="L1633" s="981" t="s">
        <v>533</v>
      </c>
      <c r="X1633" s="962" t="s">
        <v>533</v>
      </c>
    </row>
    <row r="1634" spans="1:24" ht="11.25" customHeight="1" thickTop="1">
      <c r="A1634" s="878">
        <v>50</v>
      </c>
      <c r="B1634" s="441"/>
      <c r="C1634" s="441"/>
      <c r="D1634" s="441"/>
      <c r="E1634" s="441"/>
      <c r="F1634" s="441"/>
      <c r="G1634" s="441"/>
      <c r="H1634" s="441"/>
      <c r="I1634" s="441"/>
      <c r="J1634" s="441"/>
      <c r="K1634" s="441"/>
      <c r="L1634" s="981" t="s">
        <v>533</v>
      </c>
      <c r="X1634" s="962" t="s">
        <v>533</v>
      </c>
    </row>
    <row r="1635" spans="1:24" ht="11.25" customHeight="1">
      <c r="A1635" s="878">
        <v>51</v>
      </c>
      <c r="B1635" s="441"/>
      <c r="C1635" s="441"/>
      <c r="D1635" s="441"/>
      <c r="E1635" s="441"/>
      <c r="F1635" s="441"/>
      <c r="G1635" s="441"/>
      <c r="H1635" s="441"/>
      <c r="I1635" s="441"/>
      <c r="J1635" s="441"/>
      <c r="K1635" s="441"/>
      <c r="L1635" s="981" t="s">
        <v>533</v>
      </c>
      <c r="X1635" s="962" t="s">
        <v>533</v>
      </c>
    </row>
    <row r="1636" spans="1:24" ht="11.25" customHeight="1">
      <c r="A1636" s="878">
        <v>52</v>
      </c>
      <c r="B1636" s="441"/>
      <c r="C1636" s="441"/>
      <c r="D1636" s="441"/>
      <c r="E1636" s="441"/>
      <c r="F1636" s="441"/>
      <c r="G1636" s="441"/>
      <c r="H1636" s="441"/>
      <c r="I1636" s="441"/>
      <c r="J1636" s="441"/>
      <c r="K1636" s="441"/>
      <c r="L1636" s="981" t="s">
        <v>533</v>
      </c>
      <c r="X1636" s="962" t="s">
        <v>533</v>
      </c>
    </row>
    <row r="1637" spans="1:24" ht="11.25" customHeight="1">
      <c r="A1637" s="878">
        <v>53</v>
      </c>
      <c r="B1637" s="441"/>
      <c r="C1637" s="441"/>
      <c r="D1637" s="441"/>
      <c r="E1637" s="441"/>
      <c r="F1637" s="441"/>
      <c r="G1637" s="441"/>
      <c r="H1637" s="441"/>
      <c r="I1637" s="441"/>
      <c r="J1637" s="441"/>
      <c r="K1637" s="441"/>
      <c r="L1637" s="981" t="s">
        <v>533</v>
      </c>
      <c r="X1637" s="962" t="s">
        <v>533</v>
      </c>
    </row>
    <row r="1638" spans="1:24" ht="11.25" customHeight="1">
      <c r="A1638" s="878">
        <v>54</v>
      </c>
      <c r="B1638" s="441"/>
      <c r="C1638" s="441"/>
      <c r="D1638" s="441"/>
      <c r="E1638" s="441"/>
      <c r="F1638" s="441"/>
      <c r="G1638" s="441"/>
      <c r="H1638" s="441"/>
      <c r="I1638" s="441"/>
      <c r="J1638" s="441"/>
      <c r="K1638" s="441"/>
      <c r="L1638" s="981" t="s">
        <v>533</v>
      </c>
      <c r="X1638" s="962" t="s">
        <v>533</v>
      </c>
    </row>
    <row r="1639" spans="1:24" ht="11.25" customHeight="1">
      <c r="A1639" s="878">
        <v>55</v>
      </c>
      <c r="B1639" s="441"/>
      <c r="C1639" s="441"/>
      <c r="D1639" s="441"/>
      <c r="E1639" s="441"/>
      <c r="F1639" s="441"/>
      <c r="G1639" s="441"/>
      <c r="H1639" s="441"/>
      <c r="I1639" s="441"/>
      <c r="J1639" s="441"/>
      <c r="K1639" s="441"/>
      <c r="L1639" s="981" t="s">
        <v>533</v>
      </c>
      <c r="X1639" s="962" t="s">
        <v>533</v>
      </c>
    </row>
    <row r="1640" spans="1:24" ht="11.25" customHeight="1">
      <c r="A1640" s="878">
        <v>56</v>
      </c>
      <c r="B1640" s="441"/>
      <c r="C1640" s="441"/>
      <c r="D1640" s="441"/>
      <c r="E1640" s="441"/>
      <c r="F1640" s="441"/>
      <c r="G1640" s="441"/>
      <c r="H1640" s="441"/>
      <c r="I1640" s="441"/>
      <c r="J1640" s="441"/>
      <c r="K1640" s="441"/>
      <c r="L1640" s="981" t="s">
        <v>533</v>
      </c>
      <c r="X1640" s="962" t="s">
        <v>533</v>
      </c>
    </row>
    <row r="1641" spans="1:24" ht="11.25" customHeight="1">
      <c r="A1641" s="878">
        <v>57</v>
      </c>
      <c r="B1641" s="441"/>
      <c r="C1641" s="441"/>
      <c r="D1641" s="441"/>
      <c r="E1641" s="441"/>
      <c r="F1641" s="441"/>
      <c r="G1641" s="441"/>
      <c r="H1641" s="441"/>
      <c r="I1641" s="441"/>
      <c r="J1641" s="441"/>
      <c r="K1641" s="441"/>
      <c r="L1641" s="981" t="s">
        <v>533</v>
      </c>
      <c r="X1641" s="962" t="s">
        <v>533</v>
      </c>
    </row>
    <row r="1642" spans="1:24" ht="11.25" customHeight="1">
      <c r="A1642" s="878">
        <v>58</v>
      </c>
      <c r="B1642" s="441"/>
      <c r="C1642" s="441"/>
      <c r="D1642" s="441"/>
      <c r="E1642" s="441"/>
      <c r="F1642" s="441"/>
      <c r="G1642" s="441"/>
      <c r="H1642" s="441"/>
      <c r="I1642" s="441"/>
      <c r="J1642" s="441"/>
      <c r="K1642" s="441"/>
      <c r="L1642" s="981" t="s">
        <v>533</v>
      </c>
      <c r="X1642" s="962" t="s">
        <v>533</v>
      </c>
    </row>
    <row r="1643" spans="1:24" ht="11.25" customHeight="1">
      <c r="A1643" s="878">
        <v>59</v>
      </c>
      <c r="B1643" s="441"/>
      <c r="C1643" s="441"/>
      <c r="D1643" s="441"/>
      <c r="E1643" s="441"/>
      <c r="F1643" s="441"/>
      <c r="G1643" s="441"/>
      <c r="H1643" s="441"/>
      <c r="I1643" s="441"/>
      <c r="J1643" s="441"/>
      <c r="K1643" s="441"/>
      <c r="L1643" s="981" t="s">
        <v>533</v>
      </c>
      <c r="X1643" s="962" t="s">
        <v>533</v>
      </c>
    </row>
    <row r="1644" spans="1:24" ht="11.25" customHeight="1">
      <c r="A1644" s="878">
        <v>60</v>
      </c>
      <c r="B1644" s="441"/>
      <c r="C1644" s="441"/>
      <c r="D1644" s="441"/>
      <c r="E1644" s="441"/>
      <c r="F1644" s="441"/>
      <c r="G1644" s="441"/>
      <c r="H1644" s="441"/>
      <c r="I1644" s="441"/>
      <c r="J1644" s="441"/>
      <c r="K1644" s="441"/>
      <c r="L1644" s="981" t="s">
        <v>533</v>
      </c>
      <c r="X1644" s="962" t="s">
        <v>533</v>
      </c>
    </row>
    <row r="1645" spans="1:24" ht="11.25" customHeight="1">
      <c r="A1645" s="878">
        <v>61</v>
      </c>
      <c r="B1645" s="441"/>
      <c r="C1645" s="441"/>
      <c r="D1645" s="441"/>
      <c r="E1645" s="441"/>
      <c r="F1645" s="441"/>
      <c r="G1645" s="441"/>
      <c r="H1645" s="441"/>
      <c r="I1645" s="441"/>
      <c r="J1645" s="441"/>
      <c r="K1645" s="441"/>
      <c r="L1645" s="981" t="s">
        <v>533</v>
      </c>
      <c r="X1645" s="962" t="s">
        <v>533</v>
      </c>
    </row>
    <row r="1646" spans="1:24" ht="11.25" customHeight="1">
      <c r="A1646" s="878">
        <v>62</v>
      </c>
      <c r="B1646" s="441"/>
      <c r="C1646" s="441"/>
      <c r="D1646" s="441"/>
      <c r="E1646" s="441"/>
      <c r="F1646" s="441"/>
      <c r="G1646" s="441"/>
      <c r="H1646" s="441"/>
      <c r="I1646" s="441"/>
      <c r="J1646" s="441"/>
      <c r="K1646" s="441"/>
      <c r="L1646" s="981" t="s">
        <v>533</v>
      </c>
      <c r="X1646" s="962" t="s">
        <v>533</v>
      </c>
    </row>
    <row r="1647" spans="1:24" ht="11.25" customHeight="1">
      <c r="A1647" s="878">
        <v>63</v>
      </c>
      <c r="B1647" s="441"/>
      <c r="C1647" s="441"/>
      <c r="D1647" s="441"/>
      <c r="E1647" s="441"/>
      <c r="F1647" s="441"/>
      <c r="G1647" s="441"/>
      <c r="H1647" s="441"/>
      <c r="I1647" s="441"/>
      <c r="J1647" s="441"/>
      <c r="K1647" s="441"/>
      <c r="L1647" s="981" t="s">
        <v>533</v>
      </c>
      <c r="X1647" s="962" t="s">
        <v>533</v>
      </c>
    </row>
    <row r="1648" spans="1:24" ht="11.25" customHeight="1">
      <c r="A1648" s="878">
        <v>64</v>
      </c>
      <c r="B1648" s="441"/>
      <c r="C1648" s="441"/>
      <c r="D1648" s="441"/>
      <c r="E1648" s="441"/>
      <c r="F1648" s="441"/>
      <c r="G1648" s="441"/>
      <c r="H1648" s="441"/>
      <c r="I1648" s="441"/>
      <c r="J1648" s="441"/>
      <c r="K1648" s="441"/>
      <c r="L1648" s="981" t="s">
        <v>533</v>
      </c>
      <c r="X1648" s="962" t="s">
        <v>533</v>
      </c>
    </row>
    <row r="1649" spans="1:24" ht="11.25" customHeight="1">
      <c r="A1649" s="878">
        <v>65</v>
      </c>
      <c r="B1649" s="717" t="str">
        <f t="array" ref="B1649:C1650">$B$65:$C$66</f>
        <v>Date:</v>
      </c>
      <c r="C1649" s="1467">
        <v>43039</v>
      </c>
      <c r="D1649" s="441"/>
      <c r="E1649" s="718"/>
      <c r="F1649" s="718"/>
      <c r="G1649" s="718"/>
      <c r="H1649" s="718"/>
      <c r="I1649" s="717" t="str">
        <f t="array" ref="I1649:J1650">$I$65:$J$66</f>
        <v>Inspector:</v>
      </c>
      <c r="J1649" s="565" t="str">
        <v>Eugene Mah</v>
      </c>
      <c r="K1649" s="441"/>
      <c r="L1649" s="981" t="s">
        <v>533</v>
      </c>
      <c r="X1649" s="962" t="s">
        <v>533</v>
      </c>
    </row>
    <row r="1650" spans="1:24" ht="11.25" customHeight="1">
      <c r="A1650" s="878">
        <v>66</v>
      </c>
      <c r="B1650" s="717" t="str">
        <v>Room Number:</v>
      </c>
      <c r="C1650" s="508" t="str">
        <v>Room 04 RT 127M - Tube 1</v>
      </c>
      <c r="D1650" s="441"/>
      <c r="E1650" s="718"/>
      <c r="F1650" s="718"/>
      <c r="G1650" s="718"/>
      <c r="H1650" s="718"/>
      <c r="I1650" s="717" t="str">
        <v>Survey ID:</v>
      </c>
      <c r="J1650" s="1477">
        <v>1976</v>
      </c>
      <c r="K1650" s="441"/>
      <c r="L1650" s="981" t="s">
        <v>533</v>
      </c>
      <c r="X1650" s="962" t="s">
        <v>533</v>
      </c>
    </row>
    <row r="1651" spans="1:24" ht="11.25" customHeight="1">
      <c r="A1651" s="878">
        <v>1</v>
      </c>
      <c r="B1651" s="441"/>
      <c r="C1651" s="441"/>
      <c r="D1651" s="441"/>
      <c r="E1651" s="441"/>
      <c r="F1651" s="441"/>
      <c r="G1651" s="441"/>
      <c r="H1651" s="441"/>
      <c r="I1651" s="441"/>
      <c r="J1651" s="441"/>
      <c r="K1651" s="701" t="str">
        <f>$F$2</f>
        <v>Medical University of South Carolina</v>
      </c>
      <c r="L1651" s="981" t="s">
        <v>533</v>
      </c>
      <c r="X1651" s="962" t="s">
        <v>533</v>
      </c>
    </row>
    <row r="1652" spans="1:24" ht="11.25" customHeight="1">
      <c r="A1652" s="878">
        <v>2</v>
      </c>
      <c r="B1652" s="441"/>
      <c r="C1652" s="441"/>
      <c r="D1652" s="441"/>
      <c r="E1652" s="441"/>
      <c r="F1652" s="441"/>
      <c r="G1652" s="441"/>
      <c r="H1652" s="441"/>
      <c r="I1652" s="441"/>
      <c r="J1652" s="441"/>
      <c r="K1652" s="702" t="str">
        <f>$F$5</f>
        <v>Radiographic System Compliance Inspection</v>
      </c>
      <c r="L1652" s="981" t="s">
        <v>533</v>
      </c>
      <c r="X1652" s="962" t="s">
        <v>533</v>
      </c>
    </row>
    <row r="1653" spans="1:24" ht="11.25" customHeight="1">
      <c r="A1653" s="878">
        <v>3</v>
      </c>
      <c r="B1653" s="200"/>
      <c r="C1653" s="200"/>
      <c r="D1653" s="200"/>
      <c r="E1653" s="200"/>
      <c r="F1653" s="200"/>
      <c r="G1653" s="200"/>
      <c r="H1653" s="200"/>
      <c r="I1653" s="200"/>
      <c r="J1653" s="200"/>
      <c r="K1653" s="200"/>
      <c r="L1653" s="981" t="s">
        <v>533</v>
      </c>
      <c r="X1653" s="962" t="s">
        <v>533</v>
      </c>
    </row>
    <row r="1654" spans="1:24" ht="11.25" customHeight="1">
      <c r="A1654" s="878">
        <v>4</v>
      </c>
      <c r="B1654" s="200"/>
      <c r="C1654" s="200"/>
      <c r="D1654" s="200"/>
      <c r="E1654" s="200"/>
      <c r="F1654" s="344" t="str">
        <f>$F$464</f>
        <v>Measurement Data</v>
      </c>
      <c r="G1654" s="200"/>
      <c r="H1654" s="200"/>
      <c r="I1654" s="200"/>
      <c r="J1654" s="200"/>
      <c r="K1654" s="200"/>
      <c r="L1654" s="981" t="s">
        <v>533</v>
      </c>
      <c r="X1654" s="962" t="s">
        <v>533</v>
      </c>
    </row>
    <row r="1655" spans="1:24" ht="11.25" customHeight="1" thickBot="1">
      <c r="A1655" s="878">
        <v>5</v>
      </c>
      <c r="B1655" s="441"/>
      <c r="C1655" s="441"/>
      <c r="D1655" s="441"/>
      <c r="E1655" s="441"/>
      <c r="F1655" s="441"/>
      <c r="G1655" s="441"/>
      <c r="H1655" s="441"/>
      <c r="I1655" s="441"/>
      <c r="J1655" s="441"/>
      <c r="K1655" s="441"/>
      <c r="L1655" s="981" t="s">
        <v>533</v>
      </c>
      <c r="X1655" s="962" t="s">
        <v>533</v>
      </c>
    </row>
    <row r="1656" spans="1:24" ht="11.25" customHeight="1" thickTop="1">
      <c r="A1656" s="878">
        <v>6</v>
      </c>
      <c r="B1656" s="436"/>
      <c r="C1656" s="437"/>
      <c r="D1656" s="437"/>
      <c r="E1656" s="437"/>
      <c r="F1656" s="437"/>
      <c r="G1656" s="437"/>
      <c r="H1656" s="437"/>
      <c r="I1656" s="437"/>
      <c r="J1656" s="437"/>
      <c r="K1656" s="438"/>
      <c r="L1656" s="981" t="s">
        <v>533</v>
      </c>
      <c r="X1656" s="962" t="s">
        <v>533</v>
      </c>
    </row>
    <row r="1657" spans="1:24" ht="11.25" customHeight="1">
      <c r="A1657" s="878">
        <v>7</v>
      </c>
      <c r="B1657" s="442"/>
      <c r="C1657" s="204"/>
      <c r="D1657" s="204"/>
      <c r="E1657" s="204"/>
      <c r="F1657" s="204"/>
      <c r="G1657" s="204"/>
      <c r="H1657" s="204"/>
      <c r="I1657" s="204"/>
      <c r="J1657" s="719"/>
      <c r="K1657" s="205"/>
      <c r="L1657" s="981" t="s">
        <v>533</v>
      </c>
      <c r="X1657" s="962" t="s">
        <v>533</v>
      </c>
    </row>
    <row r="1658" spans="1:24" ht="11.25" customHeight="1" thickBot="1">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533</v>
      </c>
      <c r="X1658" s="962" t="s">
        <v>533</v>
      </c>
    </row>
    <row r="1659" spans="1:24" ht="11.25" customHeight="1">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533</v>
      </c>
      <c r="X1659" s="962" t="s">
        <v>533</v>
      </c>
    </row>
    <row r="1660" spans="1:24" ht="11.25" customHeight="1">
      <c r="A1660" s="878">
        <v>10</v>
      </c>
      <c r="B1660" s="707">
        <v>60</v>
      </c>
      <c r="C1660" s="708">
        <v>400</v>
      </c>
      <c r="D1660" s="709">
        <v>0.05</v>
      </c>
      <c r="E1660" s="710" t="str">
        <v>Large</v>
      </c>
      <c r="F1660" s="725" t="str">
        <v/>
      </c>
      <c r="G1660" s="725" t="str">
        <v/>
      </c>
      <c r="H1660" s="725" t="str">
        <v>X</v>
      </c>
      <c r="I1660" s="725" t="str">
        <v/>
      </c>
      <c r="J1660" s="725" t="str">
        <v/>
      </c>
      <c r="K1660" s="726" t="str">
        <v/>
      </c>
      <c r="L1660" s="981" t="s">
        <v>533</v>
      </c>
      <c r="X1660" s="962" t="s">
        <v>533</v>
      </c>
    </row>
    <row r="1661" spans="1:24" ht="11.25" customHeight="1">
      <c r="A1661" s="878">
        <v>11</v>
      </c>
      <c r="B1661" s="707">
        <v>60</v>
      </c>
      <c r="C1661" s="708">
        <v>400</v>
      </c>
      <c r="D1661" s="709">
        <v>0.05</v>
      </c>
      <c r="E1661" s="710" t="str">
        <v>Large</v>
      </c>
      <c r="F1661" s="725" t="str">
        <v/>
      </c>
      <c r="G1661" s="725" t="str">
        <v/>
      </c>
      <c r="H1661" s="725" t="str">
        <v>X</v>
      </c>
      <c r="I1661" s="725" t="str">
        <v/>
      </c>
      <c r="J1661" s="725" t="str">
        <v/>
      </c>
      <c r="K1661" s="726" t="str">
        <v/>
      </c>
      <c r="L1661" s="981" t="s">
        <v>533</v>
      </c>
      <c r="X1661" s="962" t="s">
        <v>533</v>
      </c>
    </row>
    <row r="1662" spans="1:24" ht="11.25" customHeight="1">
      <c r="A1662" s="878">
        <v>12</v>
      </c>
      <c r="B1662" s="707">
        <v>60</v>
      </c>
      <c r="C1662" s="708">
        <v>400</v>
      </c>
      <c r="D1662" s="709">
        <v>0.05</v>
      </c>
      <c r="E1662" s="710" t="str">
        <v>Large</v>
      </c>
      <c r="F1662" s="725" t="str">
        <v/>
      </c>
      <c r="G1662" s="725" t="str">
        <v/>
      </c>
      <c r="H1662" s="725" t="str">
        <v>X</v>
      </c>
      <c r="I1662" s="725" t="str">
        <v/>
      </c>
      <c r="J1662" s="725" t="str">
        <v/>
      </c>
      <c r="K1662" s="726" t="str">
        <v/>
      </c>
      <c r="L1662" s="981" t="s">
        <v>533</v>
      </c>
      <c r="X1662" s="962" t="s">
        <v>533</v>
      </c>
    </row>
    <row r="1663" spans="1:24" ht="11.25" customHeight="1">
      <c r="A1663" s="878">
        <v>13</v>
      </c>
      <c r="B1663" s="707">
        <v>60</v>
      </c>
      <c r="C1663" s="708">
        <v>400</v>
      </c>
      <c r="D1663" s="709">
        <v>0.05</v>
      </c>
      <c r="E1663" s="710" t="str">
        <v>Large</v>
      </c>
      <c r="F1663" s="725" t="str">
        <v/>
      </c>
      <c r="G1663" s="725" t="str">
        <v/>
      </c>
      <c r="H1663" s="725" t="str">
        <v>X</v>
      </c>
      <c r="I1663" s="725" t="str">
        <v/>
      </c>
      <c r="J1663" s="725" t="str">
        <v/>
      </c>
      <c r="K1663" s="726" t="str">
        <v/>
      </c>
      <c r="L1663" s="981" t="s">
        <v>533</v>
      </c>
      <c r="X1663" s="962" t="s">
        <v>533</v>
      </c>
    </row>
    <row r="1664" spans="1:24" ht="11.25" customHeight="1">
      <c r="A1664" s="878">
        <v>14</v>
      </c>
      <c r="B1664" s="707">
        <v>60</v>
      </c>
      <c r="C1664" s="708">
        <v>400</v>
      </c>
      <c r="D1664" s="709">
        <v>0.05</v>
      </c>
      <c r="E1664" s="710" t="str">
        <v>Large</v>
      </c>
      <c r="F1664" s="725" t="str">
        <v/>
      </c>
      <c r="G1664" s="725" t="str">
        <v/>
      </c>
      <c r="H1664" s="725" t="str">
        <v>X</v>
      </c>
      <c r="I1664" s="725" t="str">
        <v/>
      </c>
      <c r="J1664" s="725" t="str">
        <v/>
      </c>
      <c r="K1664" s="726" t="str">
        <v/>
      </c>
      <c r="L1664" s="981" t="s">
        <v>533</v>
      </c>
      <c r="X1664" s="962" t="s">
        <v>533</v>
      </c>
    </row>
    <row r="1665" spans="1:24" ht="11.25" customHeight="1">
      <c r="A1665" s="878">
        <v>15</v>
      </c>
      <c r="B1665" s="707">
        <v>60</v>
      </c>
      <c r="C1665" s="708">
        <v>400</v>
      </c>
      <c r="D1665" s="709">
        <v>0.05</v>
      </c>
      <c r="E1665" s="710" t="str">
        <v>Large</v>
      </c>
      <c r="F1665" s="725" t="str">
        <v/>
      </c>
      <c r="G1665" s="725" t="str">
        <v/>
      </c>
      <c r="H1665" s="725" t="str">
        <v>X</v>
      </c>
      <c r="I1665" s="725" t="str">
        <v/>
      </c>
      <c r="J1665" s="725" t="str">
        <v/>
      </c>
      <c r="K1665" s="726" t="str">
        <v/>
      </c>
      <c r="L1665" s="981" t="s">
        <v>533</v>
      </c>
      <c r="X1665" s="962" t="s">
        <v>533</v>
      </c>
    </row>
    <row r="1666" spans="1:24" ht="11.25" customHeight="1">
      <c r="A1666" s="878">
        <v>16</v>
      </c>
      <c r="B1666" s="707">
        <v>60</v>
      </c>
      <c r="C1666" s="708">
        <v>400</v>
      </c>
      <c r="D1666" s="709">
        <v>0.05</v>
      </c>
      <c r="E1666" s="710" t="str">
        <v>Large</v>
      </c>
      <c r="F1666" s="725" t="str">
        <v/>
      </c>
      <c r="G1666" s="725" t="str">
        <v/>
      </c>
      <c r="H1666" s="725" t="str">
        <v>X</v>
      </c>
      <c r="I1666" s="725" t="str">
        <v/>
      </c>
      <c r="J1666" s="725" t="str">
        <v/>
      </c>
      <c r="K1666" s="726" t="str">
        <v/>
      </c>
      <c r="L1666" s="981" t="s">
        <v>533</v>
      </c>
      <c r="X1666" s="962" t="s">
        <v>533</v>
      </c>
    </row>
    <row r="1667" spans="1:24" ht="11.25" customHeight="1">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533</v>
      </c>
      <c r="X1667" s="962" t="s">
        <v>533</v>
      </c>
    </row>
    <row r="1668" spans="1:24" ht="11.25" customHeight="1">
      <c r="A1668" s="878">
        <v>18</v>
      </c>
      <c r="B1668" s="707">
        <v>80</v>
      </c>
      <c r="C1668" s="708">
        <v>400</v>
      </c>
      <c r="D1668" s="709">
        <v>0.05</v>
      </c>
      <c r="E1668" s="710" t="str">
        <v>Large</v>
      </c>
      <c r="F1668" s="725" t="str">
        <v/>
      </c>
      <c r="G1668" s="725" t="str">
        <v/>
      </c>
      <c r="H1668" s="725" t="str">
        <v/>
      </c>
      <c r="I1668" s="725" t="str">
        <v/>
      </c>
      <c r="J1668" s="725" t="str">
        <v>X</v>
      </c>
      <c r="K1668" s="726" t="str">
        <v/>
      </c>
      <c r="L1668" s="981" t="s">
        <v>533</v>
      </c>
      <c r="X1668" s="962" t="s">
        <v>533</v>
      </c>
    </row>
    <row r="1669" spans="1:24" ht="11.25" customHeight="1">
      <c r="A1669" s="878">
        <v>19</v>
      </c>
      <c r="B1669" s="707">
        <v>80</v>
      </c>
      <c r="C1669" s="708">
        <v>400</v>
      </c>
      <c r="D1669" s="709">
        <v>0.05</v>
      </c>
      <c r="E1669" s="710" t="str">
        <v>Large</v>
      </c>
      <c r="F1669" s="725" t="str">
        <v/>
      </c>
      <c r="G1669" s="725" t="str">
        <v/>
      </c>
      <c r="H1669" s="725" t="str">
        <v/>
      </c>
      <c r="I1669" s="725" t="str">
        <v/>
      </c>
      <c r="J1669" s="725" t="str">
        <v>X</v>
      </c>
      <c r="K1669" s="726" t="str">
        <v/>
      </c>
      <c r="L1669" s="981" t="s">
        <v>533</v>
      </c>
      <c r="X1669" s="962" t="s">
        <v>533</v>
      </c>
    </row>
    <row r="1670" spans="1:24" ht="11.25" customHeight="1">
      <c r="A1670" s="878">
        <v>20</v>
      </c>
      <c r="B1670" s="707">
        <v>80</v>
      </c>
      <c r="C1670" s="708">
        <v>400</v>
      </c>
      <c r="D1670" s="709">
        <v>0.05</v>
      </c>
      <c r="E1670" s="710" t="str">
        <v>Large</v>
      </c>
      <c r="F1670" s="725" t="str">
        <v/>
      </c>
      <c r="G1670" s="725" t="str">
        <v/>
      </c>
      <c r="H1670" s="725" t="str">
        <v>X</v>
      </c>
      <c r="I1670" s="725" t="str">
        <v/>
      </c>
      <c r="J1670" s="725" t="str">
        <v>X</v>
      </c>
      <c r="K1670" s="726" t="str">
        <v/>
      </c>
      <c r="L1670" s="981" t="s">
        <v>533</v>
      </c>
      <c r="X1670" s="962" t="s">
        <v>533</v>
      </c>
    </row>
    <row r="1671" spans="1:24" ht="11.25" customHeight="1">
      <c r="A1671" s="878">
        <v>21</v>
      </c>
      <c r="B1671" s="707">
        <v>80</v>
      </c>
      <c r="C1671" s="708">
        <v>400</v>
      </c>
      <c r="D1671" s="709">
        <v>0.05</v>
      </c>
      <c r="E1671" s="710" t="str">
        <v>Large</v>
      </c>
      <c r="F1671" s="725" t="str">
        <v/>
      </c>
      <c r="G1671" s="725" t="str">
        <v/>
      </c>
      <c r="H1671" s="725" t="str">
        <v>X</v>
      </c>
      <c r="I1671" s="725" t="str">
        <v/>
      </c>
      <c r="J1671" s="725" t="str">
        <v>X</v>
      </c>
      <c r="K1671" s="726" t="str">
        <v/>
      </c>
      <c r="L1671" s="981" t="s">
        <v>533</v>
      </c>
      <c r="X1671" s="962" t="s">
        <v>533</v>
      </c>
    </row>
    <row r="1672" spans="1:24" ht="11.25" customHeight="1">
      <c r="A1672" s="878">
        <v>22</v>
      </c>
      <c r="B1672" s="707">
        <v>80</v>
      </c>
      <c r="C1672" s="708">
        <v>400</v>
      </c>
      <c r="D1672" s="709">
        <v>0.05</v>
      </c>
      <c r="E1672" s="710" t="str">
        <v>Large</v>
      </c>
      <c r="F1672" s="725" t="str">
        <v/>
      </c>
      <c r="G1672" s="725" t="str">
        <v/>
      </c>
      <c r="H1672" s="725" t="str">
        <v>X</v>
      </c>
      <c r="I1672" s="725" t="str">
        <v/>
      </c>
      <c r="J1672" s="725" t="str">
        <v/>
      </c>
      <c r="K1672" s="726" t="str">
        <v/>
      </c>
      <c r="L1672" s="981" t="s">
        <v>533</v>
      </c>
      <c r="X1672" s="962" t="s">
        <v>533</v>
      </c>
    </row>
    <row r="1673" spans="1:24" ht="11.25" customHeight="1">
      <c r="A1673" s="878">
        <v>23</v>
      </c>
      <c r="B1673" s="707">
        <v>80</v>
      </c>
      <c r="C1673" s="708">
        <v>400</v>
      </c>
      <c r="D1673" s="709">
        <v>0.05</v>
      </c>
      <c r="E1673" s="710" t="str">
        <v>Large</v>
      </c>
      <c r="F1673" s="725" t="str">
        <v/>
      </c>
      <c r="G1673" s="725" t="str">
        <v/>
      </c>
      <c r="H1673" s="725" t="str">
        <v>X</v>
      </c>
      <c r="I1673" s="725" t="str">
        <v/>
      </c>
      <c r="J1673" s="725" t="str">
        <v/>
      </c>
      <c r="K1673" s="726" t="str">
        <v/>
      </c>
      <c r="L1673" s="981" t="s">
        <v>533</v>
      </c>
      <c r="X1673" s="962" t="s">
        <v>533</v>
      </c>
    </row>
    <row r="1674" spans="1:24" ht="11.25" customHeight="1">
      <c r="A1674" s="878">
        <v>24</v>
      </c>
      <c r="B1674" s="707">
        <v>80</v>
      </c>
      <c r="C1674" s="708">
        <v>400</v>
      </c>
      <c r="D1674" s="709">
        <v>0.05</v>
      </c>
      <c r="E1674" s="710" t="str">
        <v>Large</v>
      </c>
      <c r="F1674" s="725" t="str">
        <v/>
      </c>
      <c r="G1674" s="725" t="str">
        <v/>
      </c>
      <c r="H1674" s="725" t="str">
        <v>X</v>
      </c>
      <c r="I1674" s="725" t="str">
        <v/>
      </c>
      <c r="J1674" s="725" t="str">
        <v/>
      </c>
      <c r="K1674" s="726" t="str">
        <v/>
      </c>
      <c r="L1674" s="981" t="s">
        <v>533</v>
      </c>
      <c r="X1674" s="962" t="s">
        <v>533</v>
      </c>
    </row>
    <row r="1675" spans="1:24" ht="11.25" customHeight="1">
      <c r="A1675" s="878">
        <v>25</v>
      </c>
      <c r="B1675" s="707">
        <v>80</v>
      </c>
      <c r="C1675" s="708">
        <v>400</v>
      </c>
      <c r="D1675" s="709">
        <v>0.05</v>
      </c>
      <c r="E1675" s="710" t="str">
        <v>Large</v>
      </c>
      <c r="F1675" s="725" t="str">
        <v/>
      </c>
      <c r="G1675" s="725" t="str">
        <v/>
      </c>
      <c r="H1675" s="725" t="str">
        <v>X</v>
      </c>
      <c r="I1675" s="725" t="str">
        <v/>
      </c>
      <c r="J1675" s="725" t="str">
        <v/>
      </c>
      <c r="K1675" s="726" t="str">
        <v/>
      </c>
      <c r="L1675" s="981" t="s">
        <v>533</v>
      </c>
      <c r="X1675" s="962" t="s">
        <v>533</v>
      </c>
    </row>
    <row r="1676" spans="1:24" ht="11.25" customHeight="1">
      <c r="A1676" s="878">
        <v>26</v>
      </c>
      <c r="B1676" s="707">
        <v>80</v>
      </c>
      <c r="C1676" s="708">
        <v>400</v>
      </c>
      <c r="D1676" s="709">
        <v>0.05</v>
      </c>
      <c r="E1676" s="710" t="str">
        <v>Large</v>
      </c>
      <c r="F1676" s="725" t="str">
        <v/>
      </c>
      <c r="G1676" s="725" t="str">
        <v/>
      </c>
      <c r="H1676" s="725" t="str">
        <v>X</v>
      </c>
      <c r="I1676" s="725" t="str">
        <v/>
      </c>
      <c r="J1676" s="725" t="str">
        <v/>
      </c>
      <c r="K1676" s="726" t="str">
        <v/>
      </c>
      <c r="L1676" s="981" t="s">
        <v>533</v>
      </c>
      <c r="X1676" s="962" t="s">
        <v>533</v>
      </c>
    </row>
    <row r="1677" spans="1:24" ht="11.25" customHeight="1">
      <c r="A1677" s="878">
        <v>27</v>
      </c>
      <c r="B1677" s="707">
        <v>80</v>
      </c>
      <c r="C1677" s="708">
        <v>400</v>
      </c>
      <c r="D1677" s="709">
        <v>0.05</v>
      </c>
      <c r="E1677" s="123" t="str">
        <v>Large</v>
      </c>
      <c r="F1677" s="725" t="str">
        <v/>
      </c>
      <c r="G1677" s="725" t="str">
        <v/>
      </c>
      <c r="H1677" s="725" t="str">
        <v>X</v>
      </c>
      <c r="I1677" s="725" t="str">
        <v/>
      </c>
      <c r="J1677" s="727" t="str">
        <v/>
      </c>
      <c r="K1677" s="726" t="str">
        <v/>
      </c>
      <c r="L1677" s="981" t="s">
        <v>533</v>
      </c>
      <c r="X1677" s="962" t="s">
        <v>533</v>
      </c>
    </row>
    <row r="1678" spans="1:24" ht="11.25" customHeight="1">
      <c r="A1678" s="878">
        <v>28</v>
      </c>
      <c r="B1678" s="707">
        <v>80</v>
      </c>
      <c r="C1678" s="708">
        <v>500</v>
      </c>
      <c r="D1678" s="709">
        <v>0.05</v>
      </c>
      <c r="E1678" s="121" t="str">
        <v>Large</v>
      </c>
      <c r="F1678" s="725" t="str">
        <v>X</v>
      </c>
      <c r="G1678" s="725" t="str">
        <v/>
      </c>
      <c r="H1678" s="725" t="str">
        <v/>
      </c>
      <c r="I1678" s="725" t="str">
        <v/>
      </c>
      <c r="J1678" s="727" t="str">
        <v/>
      </c>
      <c r="K1678" s="726" t="str">
        <v/>
      </c>
      <c r="L1678" s="981" t="s">
        <v>533</v>
      </c>
      <c r="X1678" s="962" t="s">
        <v>533</v>
      </c>
    </row>
    <row r="1679" spans="1:24" ht="11.25" customHeight="1">
      <c r="A1679" s="878">
        <v>29</v>
      </c>
      <c r="B1679" s="707">
        <v>80</v>
      </c>
      <c r="C1679" s="708">
        <v>50</v>
      </c>
      <c r="D1679" s="709">
        <v>0.05</v>
      </c>
      <c r="E1679" s="121" t="str">
        <v>Large</v>
      </c>
      <c r="F1679" s="725" t="str">
        <v>X</v>
      </c>
      <c r="G1679" s="725" t="str">
        <v/>
      </c>
      <c r="H1679" s="725" t="str">
        <v/>
      </c>
      <c r="I1679" s="725" t="str">
        <v/>
      </c>
      <c r="J1679" s="727" t="str">
        <v/>
      </c>
      <c r="K1679" s="726" t="str">
        <v/>
      </c>
      <c r="L1679" s="981" t="s">
        <v>533</v>
      </c>
      <c r="X1679" s="962" t="s">
        <v>533</v>
      </c>
    </row>
    <row r="1680" spans="1:24" ht="11.25" customHeight="1">
      <c r="A1680" s="878">
        <v>30</v>
      </c>
      <c r="B1680" s="707">
        <v>80</v>
      </c>
      <c r="C1680" s="708">
        <v>800</v>
      </c>
      <c r="D1680" s="709">
        <v>0.05</v>
      </c>
      <c r="E1680" s="121" t="str">
        <v>Large</v>
      </c>
      <c r="F1680" s="725" t="str">
        <v>X</v>
      </c>
      <c r="G1680" s="725" t="str">
        <v/>
      </c>
      <c r="H1680" s="725" t="str">
        <v/>
      </c>
      <c r="I1680" s="725" t="str">
        <v/>
      </c>
      <c r="J1680" s="727" t="str">
        <v/>
      </c>
      <c r="K1680" s="726" t="str">
        <v/>
      </c>
      <c r="L1680" s="981" t="s">
        <v>533</v>
      </c>
      <c r="X1680" s="962" t="s">
        <v>533</v>
      </c>
    </row>
    <row r="1681" spans="1:24" ht="11.25" customHeight="1">
      <c r="A1681" s="878">
        <v>31</v>
      </c>
      <c r="B1681" s="707">
        <v>80</v>
      </c>
      <c r="C1681" s="708">
        <v>250</v>
      </c>
      <c r="D1681" s="709">
        <v>0.05</v>
      </c>
      <c r="E1681" s="121" t="str">
        <v>Large</v>
      </c>
      <c r="F1681" s="725" t="str">
        <v>X</v>
      </c>
      <c r="G1681" s="725" t="str">
        <v/>
      </c>
      <c r="H1681" s="725" t="str">
        <v/>
      </c>
      <c r="I1681" s="725" t="str">
        <v/>
      </c>
      <c r="J1681" s="727" t="str">
        <v/>
      </c>
      <c r="K1681" s="726" t="str">
        <v/>
      </c>
      <c r="L1681" s="981" t="s">
        <v>533</v>
      </c>
      <c r="X1681" s="962" t="s">
        <v>533</v>
      </c>
    </row>
    <row r="1682" spans="1:24" ht="11.25" customHeight="1">
      <c r="A1682" s="878">
        <v>32</v>
      </c>
      <c r="B1682" s="707">
        <v>100</v>
      </c>
      <c r="C1682" s="708">
        <v>400</v>
      </c>
      <c r="D1682" s="709">
        <v>0.05</v>
      </c>
      <c r="E1682" s="121" t="str">
        <v>Large</v>
      </c>
      <c r="F1682" s="725" t="str">
        <v/>
      </c>
      <c r="G1682" s="725" t="str">
        <v>X</v>
      </c>
      <c r="H1682" s="725" t="str">
        <v/>
      </c>
      <c r="I1682" s="725" t="str">
        <v/>
      </c>
      <c r="J1682" s="727" t="str">
        <v/>
      </c>
      <c r="K1682" s="726" t="str">
        <v/>
      </c>
      <c r="L1682" s="981" t="s">
        <v>533</v>
      </c>
      <c r="X1682" s="962" t="s">
        <v>533</v>
      </c>
    </row>
    <row r="1683" spans="1:24" ht="11.25" customHeight="1">
      <c r="A1683" s="878">
        <v>33</v>
      </c>
      <c r="B1683" s="707">
        <v>100</v>
      </c>
      <c r="C1683" s="708">
        <v>400</v>
      </c>
      <c r="D1683" s="709">
        <v>0.05</v>
      </c>
      <c r="E1683" s="121" t="str">
        <v>Large</v>
      </c>
      <c r="F1683" s="725" t="str">
        <v/>
      </c>
      <c r="G1683" s="725" t="str">
        <v>X</v>
      </c>
      <c r="H1683" s="725" t="str">
        <v>X</v>
      </c>
      <c r="I1683" s="725" t="str">
        <v/>
      </c>
      <c r="J1683" s="727" t="str">
        <v/>
      </c>
      <c r="K1683" s="726" t="str">
        <v/>
      </c>
      <c r="L1683" s="981" t="s">
        <v>533</v>
      </c>
      <c r="X1683" s="962" t="s">
        <v>533</v>
      </c>
    </row>
    <row r="1684" spans="1:24" ht="11.25" customHeight="1">
      <c r="A1684" s="878">
        <v>34</v>
      </c>
      <c r="B1684" s="707">
        <v>100</v>
      </c>
      <c r="C1684" s="708">
        <v>400</v>
      </c>
      <c r="D1684" s="709">
        <v>0.05</v>
      </c>
      <c r="E1684" s="121" t="str">
        <v>Large</v>
      </c>
      <c r="F1684" s="725" t="str">
        <v/>
      </c>
      <c r="G1684" s="725" t="str">
        <v/>
      </c>
      <c r="H1684" s="725" t="str">
        <v>X</v>
      </c>
      <c r="I1684" s="725" t="str">
        <v/>
      </c>
      <c r="J1684" s="727" t="str">
        <v/>
      </c>
      <c r="K1684" s="726" t="str">
        <v/>
      </c>
      <c r="L1684" s="981" t="s">
        <v>533</v>
      </c>
      <c r="X1684" s="962" t="s">
        <v>533</v>
      </c>
    </row>
    <row r="1685" spans="1:24" ht="11.25" customHeight="1">
      <c r="A1685" s="878">
        <v>35</v>
      </c>
      <c r="B1685" s="707">
        <v>100</v>
      </c>
      <c r="C1685" s="708">
        <v>400</v>
      </c>
      <c r="D1685" s="709">
        <v>0.05</v>
      </c>
      <c r="E1685" s="121" t="str">
        <v>Large</v>
      </c>
      <c r="F1685" s="725" t="str">
        <v/>
      </c>
      <c r="G1685" s="725" t="str">
        <v/>
      </c>
      <c r="H1685" s="725" t="str">
        <v>X</v>
      </c>
      <c r="I1685" s="725" t="str">
        <v/>
      </c>
      <c r="J1685" s="727" t="str">
        <v/>
      </c>
      <c r="K1685" s="726" t="str">
        <v/>
      </c>
      <c r="L1685" s="981" t="s">
        <v>533</v>
      </c>
      <c r="X1685" s="962" t="s">
        <v>533</v>
      </c>
    </row>
    <row r="1686" spans="1:24" ht="11.25" customHeight="1">
      <c r="A1686" s="878">
        <v>36</v>
      </c>
      <c r="B1686" s="707">
        <v>100</v>
      </c>
      <c r="C1686" s="708">
        <v>400</v>
      </c>
      <c r="D1686" s="709">
        <v>0.05</v>
      </c>
      <c r="E1686" s="121" t="str">
        <v>Large</v>
      </c>
      <c r="F1686" s="725" t="str">
        <v/>
      </c>
      <c r="G1686" s="725" t="str">
        <v/>
      </c>
      <c r="H1686" s="725" t="str">
        <v>X</v>
      </c>
      <c r="I1686" s="725" t="str">
        <v/>
      </c>
      <c r="J1686" s="727" t="str">
        <v/>
      </c>
      <c r="K1686" s="726" t="str">
        <v/>
      </c>
      <c r="L1686" s="981" t="s">
        <v>533</v>
      </c>
      <c r="X1686" s="962" t="s">
        <v>533</v>
      </c>
    </row>
    <row r="1687" spans="1:24" ht="11.25" customHeight="1">
      <c r="A1687" s="878">
        <v>37</v>
      </c>
      <c r="B1687" s="707">
        <v>100</v>
      </c>
      <c r="C1687" s="708">
        <v>400</v>
      </c>
      <c r="D1687" s="709">
        <v>0.05</v>
      </c>
      <c r="E1687" s="121" t="str">
        <v>Large</v>
      </c>
      <c r="F1687" s="725" t="str">
        <v/>
      </c>
      <c r="G1687" s="725" t="str">
        <v/>
      </c>
      <c r="H1687" s="725" t="str">
        <v>X</v>
      </c>
      <c r="I1687" s="725" t="str">
        <v/>
      </c>
      <c r="J1687" s="727" t="str">
        <v/>
      </c>
      <c r="K1687" s="726" t="str">
        <v/>
      </c>
      <c r="L1687" s="981" t="s">
        <v>533</v>
      </c>
      <c r="X1687" s="962" t="s">
        <v>533</v>
      </c>
    </row>
    <row r="1688" spans="1:24" ht="11.25" customHeight="1">
      <c r="A1688" s="878">
        <v>38</v>
      </c>
      <c r="B1688" s="707">
        <v>100</v>
      </c>
      <c r="C1688" s="708">
        <v>400</v>
      </c>
      <c r="D1688" s="709">
        <v>0.05</v>
      </c>
      <c r="E1688" s="121" t="str">
        <v>Large</v>
      </c>
      <c r="F1688" s="725" t="str">
        <v/>
      </c>
      <c r="G1688" s="725" t="str">
        <v/>
      </c>
      <c r="H1688" s="725" t="str">
        <v>X</v>
      </c>
      <c r="I1688" s="725" t="str">
        <v/>
      </c>
      <c r="J1688" s="727" t="str">
        <v/>
      </c>
      <c r="K1688" s="726" t="str">
        <v/>
      </c>
      <c r="L1688" s="981" t="s">
        <v>533</v>
      </c>
      <c r="X1688" s="962" t="s">
        <v>533</v>
      </c>
    </row>
    <row r="1689" spans="1:24" ht="11.25" customHeight="1">
      <c r="A1689" s="878">
        <v>39</v>
      </c>
      <c r="B1689" s="707">
        <v>100</v>
      </c>
      <c r="C1689" s="708">
        <v>400</v>
      </c>
      <c r="D1689" s="709">
        <v>0.05</v>
      </c>
      <c r="E1689" s="121" t="str">
        <v>Large</v>
      </c>
      <c r="F1689" s="725" t="str">
        <v/>
      </c>
      <c r="G1689" s="725" t="str">
        <v/>
      </c>
      <c r="H1689" s="725" t="str">
        <v>X</v>
      </c>
      <c r="I1689" s="725" t="str">
        <v/>
      </c>
      <c r="J1689" s="727" t="str">
        <v/>
      </c>
      <c r="K1689" s="726" t="str">
        <v/>
      </c>
      <c r="L1689" s="981" t="s">
        <v>533</v>
      </c>
      <c r="X1689" s="962" t="s">
        <v>533</v>
      </c>
    </row>
    <row r="1690" spans="1:24" ht="11.25" customHeight="1">
      <c r="A1690" s="878">
        <v>40</v>
      </c>
      <c r="B1690" s="707">
        <v>120</v>
      </c>
      <c r="C1690" s="708">
        <v>400</v>
      </c>
      <c r="D1690" s="709">
        <v>0.05</v>
      </c>
      <c r="E1690" s="121" t="str">
        <v>Large</v>
      </c>
      <c r="F1690" s="725" t="str">
        <v/>
      </c>
      <c r="G1690" s="725" t="str">
        <v>X</v>
      </c>
      <c r="H1690" s="725" t="str">
        <v/>
      </c>
      <c r="I1690" s="725" t="str">
        <v/>
      </c>
      <c r="J1690" s="725" t="str">
        <v/>
      </c>
      <c r="K1690" s="726" t="str">
        <v/>
      </c>
      <c r="L1690" s="981" t="s">
        <v>533</v>
      </c>
      <c r="X1690" s="962" t="s">
        <v>533</v>
      </c>
    </row>
    <row r="1691" spans="1:24" ht="11.25" customHeight="1">
      <c r="A1691" s="878">
        <v>41</v>
      </c>
      <c r="B1691" s="707">
        <v>120</v>
      </c>
      <c r="C1691" s="708">
        <v>400</v>
      </c>
      <c r="D1691" s="709">
        <v>0.05</v>
      </c>
      <c r="E1691" s="121" t="str">
        <v>Large</v>
      </c>
      <c r="F1691" s="725" t="str">
        <v/>
      </c>
      <c r="G1691" s="725" t="str">
        <v>X</v>
      </c>
      <c r="H1691" s="725" t="str">
        <v>X</v>
      </c>
      <c r="I1691" s="725" t="str">
        <v/>
      </c>
      <c r="J1691" s="725" t="str">
        <v/>
      </c>
      <c r="K1691" s="726" t="str">
        <v/>
      </c>
      <c r="L1691" s="981" t="s">
        <v>533</v>
      </c>
      <c r="X1691" s="962" t="s">
        <v>533</v>
      </c>
    </row>
    <row r="1692" spans="1:24" ht="11.25" customHeight="1">
      <c r="A1692" s="878">
        <v>42</v>
      </c>
      <c r="B1692" s="707">
        <v>120</v>
      </c>
      <c r="C1692" s="708">
        <v>400</v>
      </c>
      <c r="D1692" s="709">
        <v>0.05</v>
      </c>
      <c r="E1692" s="710" t="str">
        <v>Large</v>
      </c>
      <c r="F1692" s="725" t="str">
        <v/>
      </c>
      <c r="G1692" s="725" t="str">
        <v/>
      </c>
      <c r="H1692" s="725" t="str">
        <v>X</v>
      </c>
      <c r="I1692" s="725" t="str">
        <v/>
      </c>
      <c r="J1692" s="725" t="str">
        <v/>
      </c>
      <c r="K1692" s="726" t="str">
        <v/>
      </c>
      <c r="L1692" s="981" t="s">
        <v>533</v>
      </c>
      <c r="X1692" s="962" t="s">
        <v>533</v>
      </c>
    </row>
    <row r="1693" spans="1:24" ht="11.25" customHeight="1">
      <c r="A1693" s="878">
        <v>43</v>
      </c>
      <c r="B1693" s="707">
        <v>120</v>
      </c>
      <c r="C1693" s="708">
        <v>400</v>
      </c>
      <c r="D1693" s="709">
        <v>0.05</v>
      </c>
      <c r="E1693" s="710" t="str">
        <v>Large</v>
      </c>
      <c r="F1693" s="725" t="str">
        <v/>
      </c>
      <c r="G1693" s="725" t="str">
        <v/>
      </c>
      <c r="H1693" s="725" t="str">
        <v>X</v>
      </c>
      <c r="I1693" s="725" t="str">
        <v/>
      </c>
      <c r="J1693" s="725" t="str">
        <v/>
      </c>
      <c r="K1693" s="726" t="str">
        <v/>
      </c>
      <c r="L1693" s="981" t="s">
        <v>533</v>
      </c>
      <c r="X1693" s="962" t="s">
        <v>533</v>
      </c>
    </row>
    <row r="1694" spans="1:24" ht="11.25" customHeight="1">
      <c r="A1694" s="878">
        <v>44</v>
      </c>
      <c r="B1694" s="707">
        <v>120</v>
      </c>
      <c r="C1694" s="708">
        <v>400</v>
      </c>
      <c r="D1694" s="709">
        <v>0.05</v>
      </c>
      <c r="E1694" s="710" t="str">
        <v>Large</v>
      </c>
      <c r="F1694" s="725" t="str">
        <v/>
      </c>
      <c r="G1694" s="725" t="str">
        <v/>
      </c>
      <c r="H1694" s="725" t="str">
        <v>X</v>
      </c>
      <c r="I1694" s="725" t="str">
        <v/>
      </c>
      <c r="J1694" s="725" t="str">
        <v/>
      </c>
      <c r="K1694" s="726" t="str">
        <v/>
      </c>
      <c r="L1694" s="981" t="s">
        <v>533</v>
      </c>
      <c r="X1694" s="962" t="s">
        <v>533</v>
      </c>
    </row>
    <row r="1695" spans="1:24" ht="11.25" customHeight="1">
      <c r="A1695" s="878">
        <v>45</v>
      </c>
      <c r="B1695" s="707">
        <v>120</v>
      </c>
      <c r="C1695" s="708">
        <v>400</v>
      </c>
      <c r="D1695" s="709">
        <v>0.05</v>
      </c>
      <c r="E1695" s="710" t="str">
        <v>Large</v>
      </c>
      <c r="F1695" s="725" t="str">
        <v/>
      </c>
      <c r="G1695" s="725" t="str">
        <v/>
      </c>
      <c r="H1695" s="725" t="str">
        <v>X</v>
      </c>
      <c r="I1695" s="725" t="str">
        <v/>
      </c>
      <c r="J1695" s="725" t="str">
        <v/>
      </c>
      <c r="K1695" s="726" t="str">
        <v/>
      </c>
      <c r="L1695" s="981" t="s">
        <v>533</v>
      </c>
      <c r="X1695" s="962" t="s">
        <v>533</v>
      </c>
    </row>
    <row r="1696" spans="1:24" ht="11.25" customHeight="1">
      <c r="A1696" s="878">
        <v>46</v>
      </c>
      <c r="B1696" s="707">
        <v>120</v>
      </c>
      <c r="C1696" s="708">
        <v>400</v>
      </c>
      <c r="D1696" s="709">
        <v>0.05</v>
      </c>
      <c r="E1696" s="710" t="str">
        <v>Large</v>
      </c>
      <c r="F1696" s="725" t="str">
        <v/>
      </c>
      <c r="G1696" s="725" t="str">
        <v/>
      </c>
      <c r="H1696" s="725" t="str">
        <v>X</v>
      </c>
      <c r="I1696" s="725" t="str">
        <v/>
      </c>
      <c r="J1696" s="725" t="str">
        <v/>
      </c>
      <c r="K1696" s="726" t="str">
        <v/>
      </c>
      <c r="L1696" s="981" t="s">
        <v>533</v>
      </c>
      <c r="X1696" s="962" t="s">
        <v>533</v>
      </c>
    </row>
    <row r="1697" spans="1:24" ht="11.25" customHeight="1">
      <c r="A1697" s="878">
        <v>47</v>
      </c>
      <c r="B1697" s="707">
        <v>120</v>
      </c>
      <c r="C1697" s="708">
        <v>400</v>
      </c>
      <c r="D1697" s="709">
        <v>0.05</v>
      </c>
      <c r="E1697" s="710" t="str">
        <v>Large</v>
      </c>
      <c r="F1697" s="725" t="str">
        <v/>
      </c>
      <c r="G1697" s="725" t="str">
        <v/>
      </c>
      <c r="H1697" s="725" t="str">
        <v>X</v>
      </c>
      <c r="I1697" s="725" t="str">
        <v/>
      </c>
      <c r="J1697" s="725" t="str">
        <v/>
      </c>
      <c r="K1697" s="726" t="str">
        <v/>
      </c>
      <c r="L1697" s="981" t="s">
        <v>533</v>
      </c>
      <c r="X1697" s="962" t="s">
        <v>533</v>
      </c>
    </row>
    <row r="1698" spans="1:24" ht="11.25" customHeight="1">
      <c r="A1698" s="878">
        <v>48</v>
      </c>
      <c r="B1698" s="442"/>
      <c r="C1698" s="204"/>
      <c r="D1698" s="204"/>
      <c r="E1698" s="204"/>
      <c r="F1698" s="204"/>
      <c r="G1698" s="204"/>
      <c r="H1698" s="204"/>
      <c r="I1698" s="204"/>
      <c r="J1698" s="204"/>
      <c r="K1698" s="205"/>
      <c r="L1698" s="981" t="s">
        <v>533</v>
      </c>
      <c r="X1698" s="962" t="s">
        <v>533</v>
      </c>
    </row>
    <row r="1699" spans="1:24" ht="11.25" customHeight="1" thickBot="1">
      <c r="A1699" s="878">
        <v>49</v>
      </c>
      <c r="B1699" s="714"/>
      <c r="C1699" s="715"/>
      <c r="D1699" s="715"/>
      <c r="E1699" s="715"/>
      <c r="F1699" s="715"/>
      <c r="G1699" s="715"/>
      <c r="H1699" s="715"/>
      <c r="I1699" s="715"/>
      <c r="J1699" s="715"/>
      <c r="K1699" s="716"/>
      <c r="L1699" s="981" t="s">
        <v>533</v>
      </c>
      <c r="X1699" s="962" t="s">
        <v>533</v>
      </c>
    </row>
    <row r="1700" spans="1:24" ht="11.25" customHeight="1" thickTop="1">
      <c r="A1700" s="878">
        <v>50</v>
      </c>
      <c r="B1700" s="441"/>
      <c r="C1700" s="441"/>
      <c r="D1700" s="441"/>
      <c r="E1700" s="441"/>
      <c r="F1700" s="441"/>
      <c r="G1700" s="441"/>
      <c r="H1700" s="441"/>
      <c r="I1700" s="441"/>
      <c r="J1700" s="441"/>
      <c r="K1700" s="441"/>
      <c r="L1700" s="981" t="s">
        <v>533</v>
      </c>
      <c r="X1700" s="962" t="s">
        <v>533</v>
      </c>
    </row>
    <row r="1701" spans="1:24" ht="11.25" customHeight="1">
      <c r="A1701" s="878">
        <v>51</v>
      </c>
      <c r="B1701" s="441"/>
      <c r="C1701" s="441"/>
      <c r="D1701" s="441"/>
      <c r="E1701" s="441"/>
      <c r="F1701" s="441"/>
      <c r="G1701" s="441"/>
      <c r="H1701" s="441"/>
      <c r="I1701" s="441"/>
      <c r="J1701" s="441"/>
      <c r="K1701" s="441"/>
      <c r="L1701" s="981" t="s">
        <v>533</v>
      </c>
      <c r="X1701" s="962" t="s">
        <v>533</v>
      </c>
    </row>
    <row r="1702" spans="1:24" ht="11.25" customHeight="1">
      <c r="A1702" s="878">
        <v>52</v>
      </c>
      <c r="B1702" s="441"/>
      <c r="C1702" s="441"/>
      <c r="D1702" s="441"/>
      <c r="E1702" s="441"/>
      <c r="F1702" s="441"/>
      <c r="G1702" s="441"/>
      <c r="H1702" s="441"/>
      <c r="I1702" s="441"/>
      <c r="J1702" s="441"/>
      <c r="K1702" s="441"/>
      <c r="L1702" s="981" t="s">
        <v>533</v>
      </c>
      <c r="X1702" s="962" t="s">
        <v>533</v>
      </c>
    </row>
    <row r="1703" spans="1:24" ht="11.25" customHeight="1">
      <c r="A1703" s="878">
        <v>53</v>
      </c>
      <c r="B1703" s="441"/>
      <c r="C1703" s="441"/>
      <c r="D1703" s="441"/>
      <c r="E1703" s="441"/>
      <c r="F1703" s="441"/>
      <c r="G1703" s="441"/>
      <c r="H1703" s="441"/>
      <c r="I1703" s="441"/>
      <c r="J1703" s="441"/>
      <c r="K1703" s="441"/>
      <c r="L1703" s="981" t="s">
        <v>533</v>
      </c>
      <c r="X1703" s="962" t="s">
        <v>533</v>
      </c>
    </row>
    <row r="1704" spans="1:24" ht="11.25" customHeight="1">
      <c r="A1704" s="878">
        <v>54</v>
      </c>
      <c r="B1704" s="441"/>
      <c r="C1704" s="441"/>
      <c r="D1704" s="441"/>
      <c r="E1704" s="441"/>
      <c r="F1704" s="441"/>
      <c r="G1704" s="441"/>
      <c r="H1704" s="441"/>
      <c r="I1704" s="441"/>
      <c r="J1704" s="441"/>
      <c r="K1704" s="441"/>
      <c r="L1704" s="981" t="s">
        <v>533</v>
      </c>
      <c r="X1704" s="962" t="s">
        <v>533</v>
      </c>
    </row>
    <row r="1705" spans="1:24" ht="11.25" customHeight="1">
      <c r="A1705" s="878">
        <v>55</v>
      </c>
      <c r="B1705" s="441"/>
      <c r="C1705" s="441"/>
      <c r="D1705" s="441"/>
      <c r="E1705" s="441"/>
      <c r="F1705" s="441"/>
      <c r="G1705" s="441"/>
      <c r="H1705" s="441"/>
      <c r="I1705" s="441"/>
      <c r="J1705" s="441"/>
      <c r="K1705" s="441"/>
      <c r="L1705" s="981" t="s">
        <v>533</v>
      </c>
      <c r="X1705" s="962" t="s">
        <v>533</v>
      </c>
    </row>
    <row r="1706" spans="1:24" ht="11.25" customHeight="1">
      <c r="A1706" s="878">
        <v>56</v>
      </c>
      <c r="B1706" s="441"/>
      <c r="C1706" s="441"/>
      <c r="D1706" s="441"/>
      <c r="E1706" s="441"/>
      <c r="F1706" s="441"/>
      <c r="G1706" s="441"/>
      <c r="H1706" s="441"/>
      <c r="I1706" s="441"/>
      <c r="J1706" s="441"/>
      <c r="K1706" s="441"/>
      <c r="L1706" s="981" t="s">
        <v>533</v>
      </c>
      <c r="X1706" s="962" t="s">
        <v>533</v>
      </c>
    </row>
    <row r="1707" spans="1:24" ht="11.25" customHeight="1">
      <c r="A1707" s="878">
        <v>57</v>
      </c>
      <c r="B1707" s="441"/>
      <c r="C1707" s="441"/>
      <c r="D1707" s="441"/>
      <c r="E1707" s="441"/>
      <c r="F1707" s="441"/>
      <c r="G1707" s="441"/>
      <c r="H1707" s="441"/>
      <c r="I1707" s="441"/>
      <c r="J1707" s="441"/>
      <c r="K1707" s="441"/>
      <c r="L1707" s="981" t="s">
        <v>533</v>
      </c>
      <c r="X1707" s="962" t="s">
        <v>533</v>
      </c>
    </row>
    <row r="1708" spans="1:24" ht="11.25" customHeight="1">
      <c r="A1708" s="878">
        <v>58</v>
      </c>
      <c r="B1708" s="441"/>
      <c r="C1708" s="441"/>
      <c r="D1708" s="441"/>
      <c r="E1708" s="441"/>
      <c r="F1708" s="441"/>
      <c r="G1708" s="441"/>
      <c r="H1708" s="441"/>
      <c r="I1708" s="441"/>
      <c r="J1708" s="441"/>
      <c r="K1708" s="441"/>
      <c r="L1708" s="981" t="s">
        <v>533</v>
      </c>
      <c r="X1708" s="962" t="s">
        <v>533</v>
      </c>
    </row>
    <row r="1709" spans="1:24" ht="11.25" customHeight="1">
      <c r="A1709" s="878">
        <v>59</v>
      </c>
      <c r="B1709" s="441"/>
      <c r="C1709" s="441"/>
      <c r="D1709" s="441"/>
      <c r="E1709" s="441"/>
      <c r="F1709" s="441"/>
      <c r="G1709" s="441"/>
      <c r="H1709" s="441"/>
      <c r="I1709" s="441"/>
      <c r="J1709" s="441"/>
      <c r="K1709" s="441"/>
      <c r="L1709" s="981" t="s">
        <v>533</v>
      </c>
      <c r="X1709" s="962" t="s">
        <v>533</v>
      </c>
    </row>
    <row r="1710" spans="1:24" ht="11.25" customHeight="1">
      <c r="A1710" s="878">
        <v>60</v>
      </c>
      <c r="B1710" s="441"/>
      <c r="C1710" s="441"/>
      <c r="D1710" s="441"/>
      <c r="E1710" s="441"/>
      <c r="F1710" s="441"/>
      <c r="G1710" s="441"/>
      <c r="H1710" s="441"/>
      <c r="I1710" s="441"/>
      <c r="J1710" s="441"/>
      <c r="K1710" s="441"/>
      <c r="L1710" s="981" t="s">
        <v>533</v>
      </c>
      <c r="X1710" s="962" t="s">
        <v>533</v>
      </c>
    </row>
    <row r="1711" spans="1:24" ht="11.25" customHeight="1">
      <c r="A1711" s="878">
        <v>61</v>
      </c>
      <c r="B1711" s="441"/>
      <c r="C1711" s="441"/>
      <c r="D1711" s="441"/>
      <c r="E1711" s="441"/>
      <c r="F1711" s="441"/>
      <c r="G1711" s="441"/>
      <c r="H1711" s="441"/>
      <c r="I1711" s="441"/>
      <c r="J1711" s="441"/>
      <c r="K1711" s="441"/>
      <c r="L1711" s="981" t="s">
        <v>533</v>
      </c>
      <c r="X1711" s="962" t="s">
        <v>533</v>
      </c>
    </row>
    <row r="1712" spans="1:24" ht="11.25" customHeight="1">
      <c r="A1712" s="878">
        <v>62</v>
      </c>
      <c r="B1712" s="441"/>
      <c r="C1712" s="441"/>
      <c r="D1712" s="441"/>
      <c r="E1712" s="441"/>
      <c r="F1712" s="441"/>
      <c r="G1712" s="441"/>
      <c r="H1712" s="441"/>
      <c r="I1712" s="441"/>
      <c r="J1712" s="441"/>
      <c r="K1712" s="441"/>
      <c r="L1712" s="981" t="s">
        <v>533</v>
      </c>
      <c r="X1712" s="962" t="s">
        <v>533</v>
      </c>
    </row>
    <row r="1713" spans="1:24" ht="11.25" customHeight="1">
      <c r="A1713" s="878">
        <v>63</v>
      </c>
      <c r="B1713" s="441"/>
      <c r="C1713" s="441"/>
      <c r="D1713" s="441"/>
      <c r="E1713" s="441"/>
      <c r="F1713" s="441"/>
      <c r="G1713" s="441"/>
      <c r="H1713" s="441"/>
      <c r="I1713" s="441"/>
      <c r="J1713" s="441"/>
      <c r="K1713" s="441"/>
      <c r="L1713" s="981" t="s">
        <v>533</v>
      </c>
      <c r="X1713" s="962" t="s">
        <v>533</v>
      </c>
    </row>
    <row r="1714" spans="1:24" ht="11.25" customHeight="1">
      <c r="A1714" s="878">
        <v>64</v>
      </c>
      <c r="B1714" s="441"/>
      <c r="C1714" s="441"/>
      <c r="D1714" s="441"/>
      <c r="E1714" s="441"/>
      <c r="F1714" s="441"/>
      <c r="G1714" s="441"/>
      <c r="H1714" s="441"/>
      <c r="I1714" s="441"/>
      <c r="J1714" s="441"/>
      <c r="K1714" s="441"/>
      <c r="L1714" s="981" t="s">
        <v>533</v>
      </c>
      <c r="X1714" s="962" t="s">
        <v>533</v>
      </c>
    </row>
    <row r="1715" spans="1:24" ht="11.25" customHeight="1">
      <c r="A1715" s="878">
        <v>65</v>
      </c>
      <c r="B1715" s="717" t="str">
        <f t="array" ref="B1715:C1716">$B$65:$C$66</f>
        <v>Date:</v>
      </c>
      <c r="C1715" s="1467">
        <v>43039</v>
      </c>
      <c r="D1715" s="441"/>
      <c r="E1715" s="718"/>
      <c r="F1715" s="718"/>
      <c r="G1715" s="718"/>
      <c r="H1715" s="718"/>
      <c r="I1715" s="717" t="str">
        <f t="array" ref="I1715:J1716">$I$65:$J$66</f>
        <v>Inspector:</v>
      </c>
      <c r="J1715" s="565" t="str">
        <v>Eugene Mah</v>
      </c>
      <c r="K1715" s="441"/>
      <c r="L1715" s="981" t="s">
        <v>533</v>
      </c>
      <c r="X1715" s="962" t="s">
        <v>533</v>
      </c>
    </row>
    <row r="1716" spans="1:24" ht="11.25" customHeight="1">
      <c r="A1716" s="878">
        <v>66</v>
      </c>
      <c r="B1716" s="717" t="str">
        <v>Room Number:</v>
      </c>
      <c r="C1716" s="508" t="str">
        <v>Room 04 RT 127M - Tube 1</v>
      </c>
      <c r="D1716" s="441"/>
      <c r="E1716" s="718"/>
      <c r="F1716" s="718"/>
      <c r="G1716" s="718"/>
      <c r="H1716" s="718"/>
      <c r="I1716" s="717" t="str">
        <v>Survey ID:</v>
      </c>
      <c r="J1716" s="1477">
        <v>1976</v>
      </c>
      <c r="K1716" s="441"/>
      <c r="L1716" s="981" t="s">
        <v>533</v>
      </c>
      <c r="X1716" s="962" t="s">
        <v>533</v>
      </c>
    </row>
  </sheetData>
  <mergeCells count="25">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 ref="AA1:AE2"/>
    <mergeCell ref="O537:P537"/>
    <mergeCell ref="U619:V619"/>
    <mergeCell ref="T607:U607"/>
    <mergeCell ref="U557:V557"/>
    <mergeCell ref="U573:W573"/>
    <mergeCell ref="R573:T573"/>
    <mergeCell ref="U67:V67"/>
    <mergeCell ref="U509:V509"/>
    <mergeCell ref="Q547:R547"/>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workbookViewId="0">
      <selection activeCell="A2" sqref="A2:B2"/>
    </sheetView>
  </sheetViews>
  <sheetFormatPr defaultRowHeight="15.75"/>
  <sheetData>
    <row r="1" spans="1:7">
      <c r="A1" t="s">
        <v>1272</v>
      </c>
      <c r="B1" s="1667" t="s">
        <v>1273</v>
      </c>
    </row>
    <row r="2" spans="1:7">
      <c r="A2" t="s">
        <v>1274</v>
      </c>
      <c r="B2" s="1667">
        <f>Gen_form!E14</f>
        <v>1976</v>
      </c>
    </row>
    <row r="3" spans="1:7">
      <c r="A3" t="s">
        <v>640</v>
      </c>
      <c r="B3" s="1667" t="str">
        <f>Gen_form!S484</f>
        <v>TBD</v>
      </c>
    </row>
    <row r="4" spans="1:7">
      <c r="A4" t="s">
        <v>708</v>
      </c>
      <c r="B4" s="1667" t="str">
        <f>Gen_form!U504</f>
        <v>TBD</v>
      </c>
    </row>
    <row r="5" spans="1:7">
      <c r="A5" t="s">
        <v>1256</v>
      </c>
      <c r="B5" s="1667" t="str">
        <f>Gen_form!R537</f>
        <v>TBD</v>
      </c>
    </row>
    <row r="6" spans="1:7">
      <c r="A6" t="s">
        <v>1257</v>
      </c>
      <c r="B6" s="1667">
        <f>Gen_form!Q547</f>
        <v>0</v>
      </c>
    </row>
    <row r="7" spans="1:7">
      <c r="A7" t="s">
        <v>1258</v>
      </c>
      <c r="B7" s="1667">
        <f>Gen_form!Q608</f>
        <v>0</v>
      </c>
    </row>
    <row r="8" spans="1:7">
      <c r="A8" t="s">
        <v>1259</v>
      </c>
      <c r="B8" s="1667">
        <f>Gen_form!U669</f>
        <v>0</v>
      </c>
    </row>
    <row r="9" spans="1:7">
      <c r="A9" t="s">
        <v>1260</v>
      </c>
      <c r="B9" s="1667">
        <f>Gen_form!U674</f>
        <v>0</v>
      </c>
    </row>
    <row r="10" spans="1:7">
      <c r="A10" t="s">
        <v>1261</v>
      </c>
      <c r="B10" s="1667" t="str">
        <f>Gen_form!K543</f>
        <v>104.7 cm</v>
      </c>
    </row>
    <row r="11" spans="1:7">
      <c r="A11" t="s">
        <v>1262</v>
      </c>
      <c r="B11" s="1668">
        <f>Gen_form!C615</f>
        <v>182.88</v>
      </c>
    </row>
    <row r="12" spans="1:7">
      <c r="A12" t="s">
        <v>1263</v>
      </c>
      <c r="B12" s="1667">
        <f>Gen_form!B554</f>
        <v>12.192</v>
      </c>
      <c r="C12" s="1667">
        <f>Gen_form!C554</f>
        <v>18.796000000000003</v>
      </c>
      <c r="D12" s="1667" t="str">
        <f>Gen_form!D554</f>
        <v/>
      </c>
      <c r="E12" s="1667" t="str">
        <f>Gen_form!E554</f>
        <v/>
      </c>
      <c r="F12" s="1667" t="str">
        <f>Gen_form!F554</f>
        <v/>
      </c>
      <c r="G12" s="1667" t="str">
        <f>Gen_form!G554</f>
        <v/>
      </c>
    </row>
    <row r="13" spans="1:7">
      <c r="B13" s="1667">
        <f>Gen_form!B555</f>
        <v>25.4</v>
      </c>
      <c r="C13" s="1667">
        <f>Gen_form!C555</f>
        <v>30.48</v>
      </c>
      <c r="D13" s="1667" t="str">
        <f>Gen_form!D555</f>
        <v/>
      </c>
      <c r="E13" s="1667" t="str">
        <f>Gen_form!E555</f>
        <v/>
      </c>
      <c r="F13" s="1667" t="str">
        <f>Gen_form!F555</f>
        <v/>
      </c>
      <c r="G13" s="1667" t="str">
        <f>Gen_form!G555</f>
        <v/>
      </c>
    </row>
    <row r="14" spans="1:7">
      <c r="A14" t="s">
        <v>1264</v>
      </c>
      <c r="B14" s="1667" t="str">
        <f>Gen_form!C575</f>
        <v>NA</v>
      </c>
      <c r="C14" s="1667" t="str">
        <f>Gen_form!D575</f>
        <v>NA</v>
      </c>
    </row>
    <row r="15" spans="1:7">
      <c r="B15" s="1668" t="str">
        <f>Gen_form!C576</f>
        <v>NA</v>
      </c>
      <c r="C15" s="1668" t="str">
        <f>Gen_form!D576</f>
        <v>NA</v>
      </c>
    </row>
    <row r="16" spans="1:7">
      <c r="A16" t="s">
        <v>1265</v>
      </c>
      <c r="B16" s="1667">
        <f>Gen_form!D615</f>
        <v>17.271999999999998</v>
      </c>
      <c r="C16" s="1667">
        <f>Gen_form!E615</f>
        <v>12.7</v>
      </c>
      <c r="D16" s="1667" t="str">
        <f>Gen_form!F615</f>
        <v/>
      </c>
      <c r="E16" s="1667" t="str">
        <f>Gen_form!G615</f>
        <v/>
      </c>
      <c r="F16" s="1667">
        <f>Gen_form!H615</f>
        <v>14</v>
      </c>
      <c r="G16" s="1667">
        <f>Gen_form!I615</f>
        <v>18</v>
      </c>
    </row>
    <row r="17" spans="1:7">
      <c r="B17" s="1667">
        <f>Gen_form!D616</f>
        <v>25.4</v>
      </c>
      <c r="C17" s="1667">
        <f>Gen_form!E616</f>
        <v>30.48</v>
      </c>
      <c r="D17" s="1667" t="str">
        <f>Gen_form!F616</f>
        <v/>
      </c>
      <c r="E17" s="1667" t="str">
        <f>Gen_form!G616</f>
        <v/>
      </c>
      <c r="F17" s="1667" t="str">
        <f>Gen_form!H616</f>
        <v/>
      </c>
      <c r="G17" s="1667" t="str">
        <f>Gen_form!I616</f>
        <v/>
      </c>
    </row>
    <row r="18" spans="1:7">
      <c r="A18" t="s">
        <v>1266</v>
      </c>
      <c r="B18" s="1667" t="str">
        <f>Gen_form!C637</f>
        <v>NA</v>
      </c>
      <c r="C18" s="1667" t="str">
        <f>Gen_form!D637</f>
        <v>NA</v>
      </c>
    </row>
    <row r="19" spans="1:7">
      <c r="B19" s="1667" t="str">
        <f>Gen_form!C638</f>
        <v>NA</v>
      </c>
      <c r="C19" s="1667" t="str">
        <f>Gen_form!D638</f>
        <v>NA</v>
      </c>
    </row>
    <row r="20" spans="1:7">
      <c r="A20" t="s">
        <v>1267</v>
      </c>
      <c r="B20" s="1667" t="str">
        <f>Gen_form!D1394</f>
        <v/>
      </c>
      <c r="C20" s="1667" t="str">
        <f>Gen_form!E1394</f>
        <v/>
      </c>
    </row>
    <row r="21" spans="1:7">
      <c r="B21" s="1667" t="str">
        <f>Gen_form!D1395</f>
        <v/>
      </c>
      <c r="C21" s="1667" t="str">
        <f>Gen_form!E1395</f>
        <v/>
      </c>
    </row>
    <row r="22" spans="1:7">
      <c r="B22" s="1667" t="str">
        <f>Gen_form!D1396</f>
        <v/>
      </c>
      <c r="C22" s="1667" t="str">
        <f>Gen_form!E1396</f>
        <v/>
      </c>
    </row>
    <row r="23" spans="1:7">
      <c r="B23" s="1667" t="str">
        <f>Gen_form!D1397</f>
        <v/>
      </c>
      <c r="C23" s="1667" t="str">
        <f>Gen_form!E1397</f>
        <v/>
      </c>
    </row>
    <row r="24" spans="1:7">
      <c r="B24" s="1667" t="str">
        <f>Gen_form!D1398</f>
        <v/>
      </c>
      <c r="C24" s="1667" t="str">
        <f>Gen_form!E1398</f>
        <v/>
      </c>
    </row>
    <row r="25" spans="1:7">
      <c r="B25" s="1667" t="str">
        <f>Gen_form!D1399</f>
        <v/>
      </c>
      <c r="C25" s="1667" t="str">
        <f>Gen_form!E1399</f>
        <v/>
      </c>
    </row>
    <row r="26" spans="1:7">
      <c r="B26" s="1667" t="str">
        <f>Gen_form!D1400</f>
        <v/>
      </c>
      <c r="C26" s="1667" t="str">
        <f>Gen_form!E1400</f>
        <v/>
      </c>
    </row>
    <row r="27" spans="1:7">
      <c r="B27" s="1667" t="str">
        <f>Gen_form!D1401</f>
        <v/>
      </c>
      <c r="C27" s="1667" t="str">
        <f>Gen_form!E1401</f>
        <v/>
      </c>
    </row>
    <row r="28" spans="1:7">
      <c r="A28" t="s">
        <v>1268</v>
      </c>
      <c r="B28" s="1667" t="str">
        <f>Gen_form!D1407</f>
        <v/>
      </c>
      <c r="C28" s="1667" t="str">
        <f>Gen_form!E1407</f>
        <v/>
      </c>
    </row>
    <row r="29" spans="1:7">
      <c r="B29" s="1667" t="str">
        <f>Gen_form!D1408</f>
        <v/>
      </c>
      <c r="C29" s="1667" t="str">
        <f>Gen_form!E1408</f>
        <v/>
      </c>
    </row>
    <row r="30" spans="1:7">
      <c r="B30" s="1667" t="str">
        <f>Gen_form!D1409</f>
        <v/>
      </c>
      <c r="C30" s="1667" t="str">
        <f>Gen_form!E1409</f>
        <v/>
      </c>
    </row>
    <row r="31" spans="1:7">
      <c r="B31" s="1667" t="str">
        <f>Gen_form!D1410</f>
        <v/>
      </c>
      <c r="C31" s="1667" t="str">
        <f>Gen_form!E1410</f>
        <v/>
      </c>
    </row>
    <row r="32" spans="1:7">
      <c r="B32" s="1667" t="str">
        <f>Gen_form!D1411</f>
        <v/>
      </c>
      <c r="C32" s="1667" t="str">
        <f>Gen_form!E1411</f>
        <v/>
      </c>
    </row>
    <row r="33" spans="1:29">
      <c r="B33" s="1668" t="str">
        <f>Gen_form!D1412</f>
        <v/>
      </c>
      <c r="C33" s="1668" t="str">
        <f>Gen_form!E1412</f>
        <v/>
      </c>
    </row>
    <row r="34" spans="1:29">
      <c r="A34" t="s">
        <v>1269</v>
      </c>
      <c r="B34" s="1667">
        <f>Gen_form!AA688</f>
        <v>60</v>
      </c>
      <c r="C34" s="1667">
        <f>Gen_form!AB688</f>
        <v>400</v>
      </c>
      <c r="D34" s="1667">
        <f>Gen_form!AC688</f>
        <v>0.05</v>
      </c>
      <c r="E34" s="1667">
        <f>Gen_form!AD688</f>
        <v>0</v>
      </c>
      <c r="F34" s="1667" t="str">
        <f>Gen_form!AE688</f>
        <v>50-85</v>
      </c>
      <c r="G34" s="1667">
        <f>Gen_form!AF688</f>
        <v>0</v>
      </c>
      <c r="H34" s="1667" t="str">
        <f>Gen_form!AG688</f>
        <v>none</v>
      </c>
      <c r="I34" s="1667">
        <f>Gen_form!AH688</f>
        <v>60</v>
      </c>
      <c r="J34" s="1667" t="str">
        <f>Gen_form!AI688</f>
        <v>cm</v>
      </c>
      <c r="K34" s="1667">
        <f>Gen_form!AJ688</f>
        <v>1</v>
      </c>
      <c r="L34" s="1667" t="str">
        <f>Gen_form!AK688</f>
        <v>Low</v>
      </c>
      <c r="M34" s="1667" t="str">
        <f>Gen_form!AL688</f>
        <v>Internal</v>
      </c>
      <c r="N34" s="1667">
        <f>Gen_form!AM688</f>
        <v>0</v>
      </c>
      <c r="O34" s="1667">
        <f>Gen_form!AN688</f>
        <v>0</v>
      </c>
      <c r="P34" s="1667" t="str">
        <f>Gen_form!AO688</f>
        <v>Large</v>
      </c>
      <c r="Q34" s="1667">
        <f>Gen_form!AP688</f>
        <v>0</v>
      </c>
      <c r="R34" s="1667">
        <f>Gen_form!AQ688</f>
        <v>0</v>
      </c>
      <c r="S34" s="1667">
        <f>Gen_form!AR688</f>
        <v>1</v>
      </c>
      <c r="T34" s="1667">
        <f>Gen_form!AS688</f>
        <v>0</v>
      </c>
      <c r="U34" s="1667">
        <f>Gen_form!AT688</f>
        <v>0</v>
      </c>
      <c r="V34" s="1667">
        <f>Gen_form!AU688</f>
        <v>0</v>
      </c>
      <c r="W34" s="1667">
        <f>Gen_form!AV688</f>
        <v>0</v>
      </c>
      <c r="X34" s="1667">
        <f>Gen_form!AW688</f>
        <v>0</v>
      </c>
      <c r="Y34" s="1667">
        <f>Gen_form!AX688</f>
        <v>0</v>
      </c>
      <c r="Z34" s="1667" t="str">
        <f>Gen_form!AY688</f>
        <v/>
      </c>
      <c r="AA34" s="1667" t="str">
        <f>Gen_form!AZ688</f>
        <v/>
      </c>
      <c r="AB34" s="1667" t="str">
        <f>Gen_form!BA688</f>
        <v/>
      </c>
      <c r="AC34" s="1667" t="str">
        <f>Gen_form!BB688</f>
        <v/>
      </c>
    </row>
    <row r="35" spans="1:29">
      <c r="B35" s="1667">
        <f>Gen_form!AA689</f>
        <v>60</v>
      </c>
      <c r="C35" s="1667">
        <f>Gen_form!AB689</f>
        <v>400</v>
      </c>
      <c r="D35" s="1667">
        <f>Gen_form!AC689</f>
        <v>0.05</v>
      </c>
      <c r="E35" s="1667">
        <f>Gen_form!AD689</f>
        <v>0</v>
      </c>
      <c r="F35" s="1667" t="str">
        <f>Gen_form!AE689</f>
        <v>50-85</v>
      </c>
      <c r="G35" s="1667">
        <f>Gen_form!AF689</f>
        <v>0</v>
      </c>
      <c r="H35" s="1667" t="str">
        <f>Gen_form!AG689</f>
        <v>none</v>
      </c>
      <c r="I35" s="1667">
        <f>Gen_form!AH689</f>
        <v>60</v>
      </c>
      <c r="J35" s="1667" t="str">
        <f>Gen_form!AI689</f>
        <v>cm</v>
      </c>
      <c r="K35" s="1667">
        <f>Gen_form!AJ689</f>
        <v>1</v>
      </c>
      <c r="L35" s="1667" t="str">
        <f>Gen_form!AK689</f>
        <v>Low</v>
      </c>
      <c r="M35" s="1667" t="str">
        <f>Gen_form!AL689</f>
        <v>Internal</v>
      </c>
      <c r="N35" s="1667">
        <f>Gen_form!AM689</f>
        <v>0</v>
      </c>
      <c r="O35" s="1667">
        <f>Gen_form!AN689</f>
        <v>0</v>
      </c>
      <c r="P35" s="1667" t="str">
        <f>Gen_form!AO689</f>
        <v>Large</v>
      </c>
      <c r="Q35" s="1667">
        <f>Gen_form!AP689</f>
        <v>0</v>
      </c>
      <c r="R35" s="1667">
        <f>Gen_form!AQ689</f>
        <v>0</v>
      </c>
      <c r="S35" s="1667">
        <f>Gen_form!AR689</f>
        <v>0</v>
      </c>
      <c r="T35" s="1667">
        <f>Gen_form!AS689</f>
        <v>1</v>
      </c>
      <c r="U35" s="1667">
        <f>Gen_form!AT689</f>
        <v>0</v>
      </c>
      <c r="V35" s="1667">
        <f>Gen_form!AU689</f>
        <v>0</v>
      </c>
      <c r="W35" s="1667">
        <f>Gen_form!AV689</f>
        <v>0</v>
      </c>
      <c r="X35" s="1667">
        <f>Gen_form!AW689</f>
        <v>0</v>
      </c>
      <c r="Y35" s="1667">
        <f>Gen_form!AX689</f>
        <v>0</v>
      </c>
      <c r="Z35" s="1667" t="str">
        <f>Gen_form!AY689</f>
        <v/>
      </c>
      <c r="AA35" s="1667" t="str">
        <f>Gen_form!AZ689</f>
        <v/>
      </c>
      <c r="AB35" s="1667" t="str">
        <f>Gen_form!BA689</f>
        <v/>
      </c>
      <c r="AC35" s="1667" t="str">
        <f>Gen_form!BB689</f>
        <v/>
      </c>
    </row>
    <row r="36" spans="1:29">
      <c r="B36" s="1667">
        <f>Gen_form!AA690</f>
        <v>60</v>
      </c>
      <c r="C36" s="1667">
        <f>Gen_form!AB690</f>
        <v>400</v>
      </c>
      <c r="D36" s="1667">
        <f>Gen_form!AC690</f>
        <v>0.05</v>
      </c>
      <c r="E36" s="1667">
        <f>Gen_form!AD690</f>
        <v>0</v>
      </c>
      <c r="F36" s="1667" t="str">
        <f>Gen_form!AE690</f>
        <v>50-85</v>
      </c>
      <c r="G36" s="1667">
        <f>Gen_form!AF690</f>
        <v>2.5</v>
      </c>
      <c r="H36" s="1667" t="str">
        <f>Gen_form!AG690</f>
        <v>none</v>
      </c>
      <c r="I36" s="1667">
        <f>Gen_form!AH690</f>
        <v>60</v>
      </c>
      <c r="J36" s="1667" t="str">
        <f>Gen_form!AI690</f>
        <v>cm</v>
      </c>
      <c r="K36" s="1667">
        <f>Gen_form!AJ690</f>
        <v>1</v>
      </c>
      <c r="L36" s="1667" t="str">
        <f>Gen_form!AK690</f>
        <v>Low</v>
      </c>
      <c r="M36" s="1667" t="str">
        <f>Gen_form!AL690</f>
        <v>Internal</v>
      </c>
      <c r="N36" s="1667">
        <f>Gen_form!AM690</f>
        <v>0</v>
      </c>
      <c r="O36" s="1667">
        <f>Gen_form!AN690</f>
        <v>0</v>
      </c>
      <c r="P36" s="1667" t="str">
        <f>Gen_form!AO690</f>
        <v>Large</v>
      </c>
      <c r="Q36" s="1667">
        <f>Gen_form!AP690</f>
        <v>0</v>
      </c>
      <c r="R36" s="1667">
        <f>Gen_form!AQ690</f>
        <v>0</v>
      </c>
      <c r="S36" s="1667">
        <f>Gen_form!AR690</f>
        <v>0</v>
      </c>
      <c r="T36" s="1667">
        <f>Gen_form!AS690</f>
        <v>1</v>
      </c>
      <c r="U36" s="1667">
        <f>Gen_form!AT690</f>
        <v>0</v>
      </c>
      <c r="V36" s="1667">
        <f>Gen_form!AU690</f>
        <v>0</v>
      </c>
      <c r="W36" s="1667">
        <f>Gen_form!AV690</f>
        <v>0</v>
      </c>
      <c r="X36" s="1667">
        <f>Gen_form!AW690</f>
        <v>0</v>
      </c>
      <c r="Y36" s="1667">
        <f>Gen_form!AX690</f>
        <v>0</v>
      </c>
      <c r="Z36" s="1667" t="str">
        <f>Gen_form!AY690</f>
        <v/>
      </c>
      <c r="AA36" s="1667" t="str">
        <f>Gen_form!AZ690</f>
        <v/>
      </c>
      <c r="AB36" s="1667" t="str">
        <f>Gen_form!BA690</f>
        <v/>
      </c>
      <c r="AC36" s="1667" t="str">
        <f>Gen_form!BB690</f>
        <v/>
      </c>
    </row>
    <row r="37" spans="1:29">
      <c r="B37" s="1667">
        <f>Gen_form!AA691</f>
        <v>60</v>
      </c>
      <c r="C37" s="1667">
        <f>Gen_form!AB691</f>
        <v>400</v>
      </c>
      <c r="D37" s="1667">
        <f>Gen_form!AC691</f>
        <v>0.05</v>
      </c>
      <c r="E37" s="1667">
        <f>Gen_form!AD691</f>
        <v>0</v>
      </c>
      <c r="F37" s="1667" t="str">
        <f>Gen_form!AE691</f>
        <v>50-85</v>
      </c>
      <c r="G37" s="1667">
        <f>Gen_form!AF691</f>
        <v>2.5</v>
      </c>
      <c r="H37" s="1667" t="str">
        <f>Gen_form!AG691</f>
        <v>none</v>
      </c>
      <c r="I37" s="1667">
        <f>Gen_form!AH691</f>
        <v>60</v>
      </c>
      <c r="J37" s="1667" t="str">
        <f>Gen_form!AI691</f>
        <v>cm</v>
      </c>
      <c r="K37" s="1667">
        <f>Gen_form!AJ691</f>
        <v>1</v>
      </c>
      <c r="L37" s="1667" t="str">
        <f>Gen_form!AK691</f>
        <v>Low</v>
      </c>
      <c r="M37" s="1667" t="str">
        <f>Gen_form!AL691</f>
        <v>Internal</v>
      </c>
      <c r="N37" s="1667">
        <f>Gen_form!AM691</f>
        <v>0</v>
      </c>
      <c r="O37" s="1667">
        <f>Gen_form!AN691</f>
        <v>0</v>
      </c>
      <c r="P37" s="1667" t="str">
        <f>Gen_form!AO691</f>
        <v>Large</v>
      </c>
      <c r="Q37" s="1667">
        <f>Gen_form!AP691</f>
        <v>0</v>
      </c>
      <c r="R37" s="1667">
        <f>Gen_form!AQ691</f>
        <v>0</v>
      </c>
      <c r="S37" s="1667">
        <f>Gen_form!AR691</f>
        <v>0</v>
      </c>
      <c r="T37" s="1667">
        <f>Gen_form!AS691</f>
        <v>1</v>
      </c>
      <c r="U37" s="1667">
        <f>Gen_form!AT691</f>
        <v>0</v>
      </c>
      <c r="V37" s="1667">
        <f>Gen_form!AU691</f>
        <v>0</v>
      </c>
      <c r="W37" s="1667">
        <f>Gen_form!AV691</f>
        <v>0</v>
      </c>
      <c r="X37" s="1667">
        <f>Gen_form!AW691</f>
        <v>0</v>
      </c>
      <c r="Y37" s="1667">
        <f>Gen_form!AX691</f>
        <v>0</v>
      </c>
      <c r="Z37" s="1667" t="str">
        <f>Gen_form!AY691</f>
        <v/>
      </c>
      <c r="AA37" s="1667" t="str">
        <f>Gen_form!AZ691</f>
        <v/>
      </c>
      <c r="AB37" s="1667" t="str">
        <f>Gen_form!BA691</f>
        <v/>
      </c>
      <c r="AC37" s="1667" t="str">
        <f>Gen_form!BB691</f>
        <v/>
      </c>
    </row>
    <row r="38" spans="1:29">
      <c r="B38" s="1667">
        <f>Gen_form!AA692</f>
        <v>60</v>
      </c>
      <c r="C38" s="1667">
        <f>Gen_form!AB692</f>
        <v>400</v>
      </c>
      <c r="D38" s="1667">
        <f>Gen_form!AC692</f>
        <v>0.05</v>
      </c>
      <c r="E38" s="1667">
        <f>Gen_form!AD692</f>
        <v>0</v>
      </c>
      <c r="F38" s="1667" t="str">
        <f>Gen_form!AE692</f>
        <v>50-85</v>
      </c>
      <c r="G38" s="1667">
        <f>Gen_form!AF692</f>
        <v>3</v>
      </c>
      <c r="H38" s="1667" t="str">
        <f>Gen_form!AG692</f>
        <v>none</v>
      </c>
      <c r="I38" s="1667">
        <f>Gen_form!AH692</f>
        <v>60</v>
      </c>
      <c r="J38" s="1667" t="str">
        <f>Gen_form!AI692</f>
        <v>cm</v>
      </c>
      <c r="K38" s="1667">
        <f>Gen_form!AJ692</f>
        <v>1</v>
      </c>
      <c r="L38" s="1667" t="str">
        <f>Gen_form!AK692</f>
        <v>Low</v>
      </c>
      <c r="M38" s="1667" t="str">
        <f>Gen_form!AL692</f>
        <v>Internal</v>
      </c>
      <c r="N38" s="1667">
        <f>Gen_form!AM692</f>
        <v>0</v>
      </c>
      <c r="O38" s="1667">
        <f>Gen_form!AN692</f>
        <v>0</v>
      </c>
      <c r="P38" s="1667" t="str">
        <f>Gen_form!AO692</f>
        <v>Large</v>
      </c>
      <c r="Q38" s="1667">
        <f>Gen_form!AP692</f>
        <v>0</v>
      </c>
      <c r="R38" s="1667">
        <f>Gen_form!AQ692</f>
        <v>0</v>
      </c>
      <c r="S38" s="1667">
        <f>Gen_form!AR692</f>
        <v>0</v>
      </c>
      <c r="T38" s="1667">
        <f>Gen_form!AS692</f>
        <v>1</v>
      </c>
      <c r="U38" s="1667">
        <f>Gen_form!AT692</f>
        <v>0</v>
      </c>
      <c r="V38" s="1667">
        <f>Gen_form!AU692</f>
        <v>0</v>
      </c>
      <c r="W38" s="1667">
        <f>Gen_form!AV692</f>
        <v>0</v>
      </c>
      <c r="X38" s="1667">
        <f>Gen_form!AW692</f>
        <v>0</v>
      </c>
      <c r="Y38" s="1667">
        <f>Gen_form!AX692</f>
        <v>0</v>
      </c>
      <c r="Z38" s="1667" t="str">
        <f>Gen_form!AY692</f>
        <v/>
      </c>
      <c r="AA38" s="1667" t="str">
        <f>Gen_form!AZ692</f>
        <v/>
      </c>
      <c r="AB38" s="1667" t="str">
        <f>Gen_form!BA692</f>
        <v/>
      </c>
      <c r="AC38" s="1667" t="str">
        <f>Gen_form!BB692</f>
        <v/>
      </c>
    </row>
    <row r="39" spans="1:29">
      <c r="B39" s="1667">
        <f>Gen_form!AA693</f>
        <v>60</v>
      </c>
      <c r="C39" s="1667">
        <f>Gen_form!AB693</f>
        <v>400</v>
      </c>
      <c r="D39" s="1667">
        <f>Gen_form!AC693</f>
        <v>0.05</v>
      </c>
      <c r="E39" s="1667">
        <f>Gen_form!AD693</f>
        <v>0</v>
      </c>
      <c r="F39" s="1667" t="str">
        <f>Gen_form!AE693</f>
        <v>50-85</v>
      </c>
      <c r="G39" s="1667">
        <f>Gen_form!AF693</f>
        <v>3</v>
      </c>
      <c r="H39" s="1667" t="str">
        <f>Gen_form!AG693</f>
        <v>none</v>
      </c>
      <c r="I39" s="1667">
        <f>Gen_form!AH693</f>
        <v>60</v>
      </c>
      <c r="J39" s="1667" t="str">
        <f>Gen_form!AI693</f>
        <v>cm</v>
      </c>
      <c r="K39" s="1667">
        <f>Gen_form!AJ693</f>
        <v>1</v>
      </c>
      <c r="L39" s="1667" t="str">
        <f>Gen_form!AK693</f>
        <v>Low</v>
      </c>
      <c r="M39" s="1667" t="str">
        <f>Gen_form!AL693</f>
        <v>Internal</v>
      </c>
      <c r="N39" s="1667">
        <f>Gen_form!AM693</f>
        <v>0</v>
      </c>
      <c r="O39" s="1667">
        <f>Gen_form!AN693</f>
        <v>0</v>
      </c>
      <c r="P39" s="1667" t="str">
        <f>Gen_form!AO693</f>
        <v>Large</v>
      </c>
      <c r="Q39" s="1667">
        <f>Gen_form!AP693</f>
        <v>0</v>
      </c>
      <c r="R39" s="1667">
        <f>Gen_form!AQ693</f>
        <v>0</v>
      </c>
      <c r="S39" s="1667">
        <f>Gen_form!AR693</f>
        <v>0</v>
      </c>
      <c r="T39" s="1667">
        <f>Gen_form!AS693</f>
        <v>1</v>
      </c>
      <c r="U39" s="1667">
        <f>Gen_form!AT693</f>
        <v>0</v>
      </c>
      <c r="V39" s="1667">
        <f>Gen_form!AU693</f>
        <v>0</v>
      </c>
      <c r="W39" s="1667">
        <f>Gen_form!AV693</f>
        <v>0</v>
      </c>
      <c r="X39" s="1667">
        <f>Gen_form!AW693</f>
        <v>0</v>
      </c>
      <c r="Y39" s="1667">
        <f>Gen_form!AX693</f>
        <v>0</v>
      </c>
      <c r="Z39" s="1667" t="str">
        <f>Gen_form!AY693</f>
        <v/>
      </c>
      <c r="AA39" s="1667" t="str">
        <f>Gen_form!AZ693</f>
        <v/>
      </c>
      <c r="AB39" s="1667" t="str">
        <f>Gen_form!BA693</f>
        <v/>
      </c>
      <c r="AC39" s="1667" t="str">
        <f>Gen_form!BB693</f>
        <v/>
      </c>
    </row>
    <row r="40" spans="1:29">
      <c r="B40" s="1667">
        <f>Gen_form!AA694</f>
        <v>60</v>
      </c>
      <c r="C40" s="1667">
        <f>Gen_form!AB694</f>
        <v>400</v>
      </c>
      <c r="D40" s="1667">
        <f>Gen_form!AC694</f>
        <v>0.05</v>
      </c>
      <c r="E40" s="1667">
        <f>Gen_form!AD694</f>
        <v>0</v>
      </c>
      <c r="F40" s="1667" t="str">
        <f>Gen_form!AE694</f>
        <v>50-85</v>
      </c>
      <c r="G40" s="1667">
        <f>Gen_form!AF694</f>
        <v>2</v>
      </c>
      <c r="H40" s="1667" t="str">
        <f>Gen_form!AG694</f>
        <v>none</v>
      </c>
      <c r="I40" s="1667">
        <f>Gen_form!AH694</f>
        <v>60</v>
      </c>
      <c r="J40" s="1667" t="str">
        <f>Gen_form!AI694</f>
        <v>cm</v>
      </c>
      <c r="K40" s="1667">
        <f>Gen_form!AJ694</f>
        <v>1</v>
      </c>
      <c r="L40" s="1667" t="str">
        <f>Gen_form!AK694</f>
        <v>Low</v>
      </c>
      <c r="M40" s="1667" t="str">
        <f>Gen_form!AL694</f>
        <v>Internal</v>
      </c>
      <c r="N40" s="1667">
        <f>Gen_form!AM694</f>
        <v>0</v>
      </c>
      <c r="O40" s="1667">
        <f>Gen_form!AN694</f>
        <v>0</v>
      </c>
      <c r="P40" s="1667" t="str">
        <f>Gen_form!AO694</f>
        <v>Large</v>
      </c>
      <c r="Q40" s="1667">
        <f>Gen_form!AP694</f>
        <v>0</v>
      </c>
      <c r="R40" s="1667">
        <f>Gen_form!AQ694</f>
        <v>0</v>
      </c>
      <c r="S40" s="1667">
        <f>Gen_form!AR694</f>
        <v>0</v>
      </c>
      <c r="T40" s="1667">
        <f>Gen_form!AS694</f>
        <v>1</v>
      </c>
      <c r="U40" s="1667">
        <f>Gen_form!AT694</f>
        <v>0</v>
      </c>
      <c r="V40" s="1667">
        <f>Gen_form!AU694</f>
        <v>0</v>
      </c>
      <c r="W40" s="1667">
        <f>Gen_form!AV694</f>
        <v>0</v>
      </c>
      <c r="X40" s="1667">
        <f>Gen_form!AW694</f>
        <v>0</v>
      </c>
      <c r="Y40" s="1667">
        <f>Gen_form!AX694</f>
        <v>0</v>
      </c>
      <c r="Z40" s="1667" t="str">
        <f>Gen_form!AY694</f>
        <v/>
      </c>
      <c r="AA40" s="1667" t="str">
        <f>Gen_form!AZ694</f>
        <v/>
      </c>
      <c r="AB40" s="1667" t="str">
        <f>Gen_form!BA694</f>
        <v/>
      </c>
      <c r="AC40" s="1667" t="str">
        <f>Gen_form!BB694</f>
        <v/>
      </c>
    </row>
    <row r="41" spans="1:29">
      <c r="B41" s="1667">
        <f>Gen_form!AA695</f>
        <v>60</v>
      </c>
      <c r="C41" s="1667">
        <f>Gen_form!AB695</f>
        <v>400</v>
      </c>
      <c r="D41" s="1667">
        <f>Gen_form!AC695</f>
        <v>0.05</v>
      </c>
      <c r="E41" s="1667">
        <f>Gen_form!AD695</f>
        <v>0</v>
      </c>
      <c r="F41" s="1667" t="str">
        <f>Gen_form!AE695</f>
        <v>50-85</v>
      </c>
      <c r="G41" s="1667">
        <f>Gen_form!AF695</f>
        <v>2</v>
      </c>
      <c r="H41" s="1667" t="str">
        <f>Gen_form!AG695</f>
        <v>none</v>
      </c>
      <c r="I41" s="1667">
        <f>Gen_form!AH695</f>
        <v>60</v>
      </c>
      <c r="J41" s="1667" t="str">
        <f>Gen_form!AI695</f>
        <v>cm</v>
      </c>
      <c r="K41" s="1667">
        <f>Gen_form!AJ695</f>
        <v>1</v>
      </c>
      <c r="L41" s="1667" t="str">
        <f>Gen_form!AK695</f>
        <v>Low</v>
      </c>
      <c r="M41" s="1667" t="str">
        <f>Gen_form!AL695</f>
        <v>Internal</v>
      </c>
      <c r="N41" s="1667">
        <f>Gen_form!AM695</f>
        <v>0</v>
      </c>
      <c r="O41" s="1667">
        <f>Gen_form!AN695</f>
        <v>0</v>
      </c>
      <c r="P41" s="1667" t="str">
        <f>Gen_form!AO695</f>
        <v>Large</v>
      </c>
      <c r="Q41" s="1667">
        <f>Gen_form!AP695</f>
        <v>0</v>
      </c>
      <c r="R41" s="1667">
        <f>Gen_form!AQ695</f>
        <v>0</v>
      </c>
      <c r="S41" s="1667">
        <f>Gen_form!AR695</f>
        <v>0</v>
      </c>
      <c r="T41" s="1667">
        <f>Gen_form!AS695</f>
        <v>1</v>
      </c>
      <c r="U41" s="1667">
        <f>Gen_form!AT695</f>
        <v>0</v>
      </c>
      <c r="V41" s="1667">
        <f>Gen_form!AU695</f>
        <v>0</v>
      </c>
      <c r="W41" s="1667">
        <f>Gen_form!AV695</f>
        <v>0</v>
      </c>
      <c r="X41" s="1667">
        <f>Gen_form!AW695</f>
        <v>0</v>
      </c>
      <c r="Y41" s="1667">
        <f>Gen_form!AX695</f>
        <v>0</v>
      </c>
      <c r="Z41" s="1667" t="str">
        <f>Gen_form!AY695</f>
        <v/>
      </c>
      <c r="AA41" s="1667" t="str">
        <f>Gen_form!AZ695</f>
        <v/>
      </c>
      <c r="AB41" s="1667" t="str">
        <f>Gen_form!BA695</f>
        <v/>
      </c>
      <c r="AC41" s="1667" t="str">
        <f>Gen_form!BB695</f>
        <v/>
      </c>
    </row>
    <row r="42" spans="1:29">
      <c r="B42" s="1667">
        <f>Gen_form!AA696</f>
        <v>80</v>
      </c>
      <c r="C42" s="1667">
        <f>Gen_form!AB696</f>
        <v>400</v>
      </c>
      <c r="D42" s="1667">
        <f>Gen_form!AC696</f>
        <v>0.05</v>
      </c>
      <c r="E42" s="1667">
        <f>Gen_form!AD696</f>
        <v>0</v>
      </c>
      <c r="F42" s="1667" t="str">
        <f>Gen_form!AE696</f>
        <v>70-120</v>
      </c>
      <c r="G42" s="1667">
        <f>Gen_form!AF696</f>
        <v>0</v>
      </c>
      <c r="H42" s="1667" t="str">
        <f>Gen_form!AG696</f>
        <v>none</v>
      </c>
      <c r="I42" s="1667">
        <f>Gen_form!AH696</f>
        <v>60</v>
      </c>
      <c r="J42" s="1667" t="str">
        <f>Gen_form!AI696</f>
        <v>cm</v>
      </c>
      <c r="K42" s="1667">
        <f>Gen_form!AJ696</f>
        <v>1</v>
      </c>
      <c r="L42" s="1667" t="str">
        <f>Gen_form!AK696</f>
        <v>Low</v>
      </c>
      <c r="M42" s="1667" t="str">
        <f>Gen_form!AL696</f>
        <v>Internal</v>
      </c>
      <c r="N42" s="1667">
        <f>Gen_form!AM696</f>
        <v>0</v>
      </c>
      <c r="O42" s="1667">
        <f>Gen_form!AN696</f>
        <v>0</v>
      </c>
      <c r="P42" s="1667" t="str">
        <f>Gen_form!AO696</f>
        <v>Large</v>
      </c>
      <c r="Q42" s="1667">
        <f>Gen_form!AP696</f>
        <v>0</v>
      </c>
      <c r="R42" s="1667">
        <f>Gen_form!AQ696</f>
        <v>1</v>
      </c>
      <c r="S42" s="1667">
        <f>Gen_form!AR696</f>
        <v>1</v>
      </c>
      <c r="T42" s="1667">
        <f>Gen_form!AS696</f>
        <v>0</v>
      </c>
      <c r="U42" s="1667">
        <f>Gen_form!AT696</f>
        <v>0</v>
      </c>
      <c r="V42" s="1667">
        <f>Gen_form!AU696</f>
        <v>1</v>
      </c>
      <c r="W42" s="1667">
        <f>Gen_form!AV696</f>
        <v>0</v>
      </c>
      <c r="X42" s="1667">
        <f>Gen_form!AW696</f>
        <v>0</v>
      </c>
      <c r="Y42" s="1667">
        <f>Gen_form!AX696</f>
        <v>0</v>
      </c>
      <c r="Z42" s="1667" t="str">
        <f>Gen_form!AY696</f>
        <v/>
      </c>
      <c r="AA42" s="1667" t="str">
        <f>Gen_form!AZ696</f>
        <v/>
      </c>
      <c r="AB42" s="1667" t="str">
        <f>Gen_form!BA696</f>
        <v/>
      </c>
      <c r="AC42" s="1667" t="str">
        <f>Gen_form!BB696</f>
        <v/>
      </c>
    </row>
    <row r="43" spans="1:29">
      <c r="B43" s="1667">
        <f>Gen_form!AA697</f>
        <v>80</v>
      </c>
      <c r="C43" s="1667">
        <f>Gen_form!AB697</f>
        <v>400</v>
      </c>
      <c r="D43" s="1667">
        <f>Gen_form!AC697</f>
        <v>0.05</v>
      </c>
      <c r="E43" s="1667">
        <f>Gen_form!AD697</f>
        <v>0</v>
      </c>
      <c r="F43" s="1667" t="str">
        <f>Gen_form!AE697</f>
        <v>70-120</v>
      </c>
      <c r="G43" s="1667">
        <f>Gen_form!AF697</f>
        <v>0</v>
      </c>
      <c r="H43" s="1667" t="str">
        <f>Gen_form!AG697</f>
        <v>none</v>
      </c>
      <c r="I43" s="1667">
        <f>Gen_form!AH697</f>
        <v>60</v>
      </c>
      <c r="J43" s="1667" t="str">
        <f>Gen_form!AI697</f>
        <v>cm</v>
      </c>
      <c r="K43" s="1667">
        <f>Gen_form!AJ697</f>
        <v>1</v>
      </c>
      <c r="L43" s="1667" t="str">
        <f>Gen_form!AK697</f>
        <v>Low</v>
      </c>
      <c r="M43" s="1667" t="str">
        <f>Gen_form!AL697</f>
        <v>Internal</v>
      </c>
      <c r="N43" s="1667">
        <f>Gen_form!AM697</f>
        <v>0</v>
      </c>
      <c r="O43" s="1667">
        <f>Gen_form!AN697</f>
        <v>0</v>
      </c>
      <c r="P43" s="1667" t="str">
        <f>Gen_form!AO697</f>
        <v>Large</v>
      </c>
      <c r="Q43" s="1667">
        <f>Gen_form!AP697</f>
        <v>0</v>
      </c>
      <c r="R43" s="1667">
        <f>Gen_form!AQ697</f>
        <v>0</v>
      </c>
      <c r="S43" s="1667">
        <f>Gen_form!AR697</f>
        <v>0</v>
      </c>
      <c r="T43" s="1667">
        <f>Gen_form!AS697</f>
        <v>0</v>
      </c>
      <c r="U43" s="1667">
        <f>Gen_form!AT697</f>
        <v>0</v>
      </c>
      <c r="V43" s="1667">
        <f>Gen_form!AU697</f>
        <v>1</v>
      </c>
      <c r="W43" s="1667">
        <f>Gen_form!AV697</f>
        <v>0</v>
      </c>
      <c r="X43" s="1667">
        <f>Gen_form!AW697</f>
        <v>0</v>
      </c>
      <c r="Y43" s="1667">
        <f>Gen_form!AX697</f>
        <v>0</v>
      </c>
      <c r="Z43" s="1667" t="str">
        <f>Gen_form!AY697</f>
        <v/>
      </c>
      <c r="AA43" s="1667" t="str">
        <f>Gen_form!AZ697</f>
        <v/>
      </c>
      <c r="AB43" s="1667" t="str">
        <f>Gen_form!BA697</f>
        <v/>
      </c>
      <c r="AC43" s="1667" t="str">
        <f>Gen_form!BB697</f>
        <v/>
      </c>
    </row>
    <row r="44" spans="1:29">
      <c r="B44" s="1667">
        <f>Gen_form!AA698</f>
        <v>80</v>
      </c>
      <c r="C44" s="1667">
        <f>Gen_form!AB698</f>
        <v>400</v>
      </c>
      <c r="D44" s="1667">
        <f>Gen_form!AC698</f>
        <v>0.05</v>
      </c>
      <c r="E44" s="1667">
        <f>Gen_form!AD698</f>
        <v>0</v>
      </c>
      <c r="F44" s="1667" t="str">
        <f>Gen_form!AE698</f>
        <v>70-120</v>
      </c>
      <c r="G44" s="1667">
        <f>Gen_form!AF698</f>
        <v>0</v>
      </c>
      <c r="H44" s="1667" t="str">
        <f>Gen_form!AG698</f>
        <v>none</v>
      </c>
      <c r="I44" s="1667">
        <f>Gen_form!AH698</f>
        <v>60</v>
      </c>
      <c r="J44" s="1667" t="str">
        <f>Gen_form!AI698</f>
        <v>cm</v>
      </c>
      <c r="K44" s="1667">
        <f>Gen_form!AJ698</f>
        <v>1</v>
      </c>
      <c r="L44" s="1667" t="str">
        <f>Gen_form!AK698</f>
        <v>Low</v>
      </c>
      <c r="M44" s="1667" t="str">
        <f>Gen_form!AL698</f>
        <v>Internal</v>
      </c>
      <c r="N44" s="1667">
        <f>Gen_form!AM698</f>
        <v>0</v>
      </c>
      <c r="O44" s="1667">
        <f>Gen_form!AN698</f>
        <v>1</v>
      </c>
      <c r="P44" s="1667" t="str">
        <f>Gen_form!AO698</f>
        <v>Large</v>
      </c>
      <c r="Q44" s="1667">
        <f>Gen_form!AP698</f>
        <v>0</v>
      </c>
      <c r="R44" s="1667">
        <f>Gen_form!AQ698</f>
        <v>0</v>
      </c>
      <c r="S44" s="1667">
        <f>Gen_form!AR698</f>
        <v>0</v>
      </c>
      <c r="T44" s="1667">
        <f>Gen_form!AS698</f>
        <v>0</v>
      </c>
      <c r="U44" s="1667">
        <f>Gen_form!AT698</f>
        <v>0</v>
      </c>
      <c r="V44" s="1667">
        <f>Gen_form!AU698</f>
        <v>1</v>
      </c>
      <c r="W44" s="1667">
        <f>Gen_form!AV698</f>
        <v>0</v>
      </c>
      <c r="X44" s="1667">
        <f>Gen_form!AW698</f>
        <v>0</v>
      </c>
      <c r="Y44" s="1667">
        <f>Gen_form!AX698</f>
        <v>0</v>
      </c>
      <c r="Z44" s="1667" t="str">
        <f>Gen_form!AY698</f>
        <v/>
      </c>
      <c r="AA44" s="1667" t="str">
        <f>Gen_form!AZ698</f>
        <v/>
      </c>
      <c r="AB44" s="1667" t="str">
        <f>Gen_form!BA698</f>
        <v/>
      </c>
      <c r="AC44" s="1667" t="str">
        <f>Gen_form!BB698</f>
        <v/>
      </c>
    </row>
    <row r="45" spans="1:29">
      <c r="B45" s="1667">
        <f>Gen_form!AA699</f>
        <v>80</v>
      </c>
      <c r="C45" s="1667">
        <f>Gen_form!AB699</f>
        <v>400</v>
      </c>
      <c r="D45" s="1667">
        <f>Gen_form!AC699</f>
        <v>0.05</v>
      </c>
      <c r="E45" s="1667">
        <f>Gen_form!AD699</f>
        <v>0</v>
      </c>
      <c r="F45" s="1667" t="str">
        <f>Gen_form!AE699</f>
        <v>70-120</v>
      </c>
      <c r="G45" s="1667">
        <f>Gen_form!AF699</f>
        <v>0</v>
      </c>
      <c r="H45" s="1667" t="str">
        <f>Gen_form!AG699</f>
        <v>none</v>
      </c>
      <c r="I45" s="1667">
        <f>Gen_form!AH699</f>
        <v>60</v>
      </c>
      <c r="J45" s="1667" t="str">
        <f>Gen_form!AI699</f>
        <v>cm</v>
      </c>
      <c r="K45" s="1667">
        <f>Gen_form!AJ699</f>
        <v>1</v>
      </c>
      <c r="L45" s="1667" t="str">
        <f>Gen_form!AK699</f>
        <v>Low</v>
      </c>
      <c r="M45" s="1667" t="str">
        <f>Gen_form!AL699</f>
        <v>Internal</v>
      </c>
      <c r="N45" s="1667">
        <f>Gen_form!AM699</f>
        <v>0</v>
      </c>
      <c r="O45" s="1667">
        <f>Gen_form!AN699</f>
        <v>0</v>
      </c>
      <c r="P45" s="1667" t="str">
        <f>Gen_form!AO699</f>
        <v>Large</v>
      </c>
      <c r="Q45" s="1667">
        <f>Gen_form!AP699</f>
        <v>0</v>
      </c>
      <c r="R45" s="1667">
        <f>Gen_form!AQ699</f>
        <v>0</v>
      </c>
      <c r="S45" s="1667">
        <f>Gen_form!AR699</f>
        <v>0</v>
      </c>
      <c r="T45" s="1667">
        <f>Gen_form!AS699</f>
        <v>1</v>
      </c>
      <c r="U45" s="1667">
        <f>Gen_form!AT699</f>
        <v>0</v>
      </c>
      <c r="V45" s="1667">
        <f>Gen_form!AU699</f>
        <v>1</v>
      </c>
      <c r="W45" s="1667">
        <f>Gen_form!AV699</f>
        <v>0</v>
      </c>
      <c r="X45" s="1667">
        <f>Gen_form!AW699</f>
        <v>0</v>
      </c>
      <c r="Y45" s="1667">
        <f>Gen_form!AX699</f>
        <v>0</v>
      </c>
      <c r="Z45" s="1667" t="str">
        <f>Gen_form!AY699</f>
        <v/>
      </c>
      <c r="AA45" s="1667" t="str">
        <f>Gen_form!AZ699</f>
        <v/>
      </c>
      <c r="AB45" s="1667" t="str">
        <f>Gen_form!BA699</f>
        <v/>
      </c>
      <c r="AC45" s="1667" t="str">
        <f>Gen_form!BB699</f>
        <v/>
      </c>
    </row>
    <row r="46" spans="1:29">
      <c r="B46" s="1667">
        <f>Gen_form!AA700</f>
        <v>80</v>
      </c>
      <c r="C46" s="1667">
        <f>Gen_form!AB700</f>
        <v>400</v>
      </c>
      <c r="D46" s="1667">
        <f>Gen_form!AC700</f>
        <v>0.05</v>
      </c>
      <c r="E46" s="1667">
        <f>Gen_form!AD700</f>
        <v>0</v>
      </c>
      <c r="F46" s="1667" t="str">
        <f>Gen_form!AE700</f>
        <v>70-120</v>
      </c>
      <c r="G46" s="1667">
        <f>Gen_form!AF700</f>
        <v>0</v>
      </c>
      <c r="H46" s="1667" t="str">
        <f>Gen_form!AG700</f>
        <v>none</v>
      </c>
      <c r="I46" s="1667">
        <f>Gen_form!AH700</f>
        <v>60</v>
      </c>
      <c r="J46" s="1667" t="str">
        <f>Gen_form!AI700</f>
        <v>cm</v>
      </c>
      <c r="K46" s="1667">
        <f>Gen_form!AJ700</f>
        <v>1</v>
      </c>
      <c r="L46" s="1667" t="str">
        <f>Gen_form!AK700</f>
        <v>Low</v>
      </c>
      <c r="M46" s="1667" t="str">
        <f>Gen_form!AL700</f>
        <v>Internal</v>
      </c>
      <c r="N46" s="1667">
        <f>Gen_form!AM700</f>
        <v>0</v>
      </c>
      <c r="O46" s="1667">
        <f>Gen_form!AN700</f>
        <v>0</v>
      </c>
      <c r="P46" s="1667" t="str">
        <f>Gen_form!AO700</f>
        <v>Large</v>
      </c>
      <c r="Q46" s="1667">
        <f>Gen_form!AP700</f>
        <v>0</v>
      </c>
      <c r="R46" s="1667">
        <f>Gen_form!AQ700</f>
        <v>0</v>
      </c>
      <c r="S46" s="1667">
        <f>Gen_form!AR700</f>
        <v>0</v>
      </c>
      <c r="T46" s="1667">
        <f>Gen_form!AS700</f>
        <v>1</v>
      </c>
      <c r="U46" s="1667">
        <f>Gen_form!AT700</f>
        <v>0</v>
      </c>
      <c r="V46" s="1667">
        <f>Gen_form!AU700</f>
        <v>1</v>
      </c>
      <c r="W46" s="1667">
        <f>Gen_form!AV700</f>
        <v>0</v>
      </c>
      <c r="X46" s="1667">
        <f>Gen_form!AW700</f>
        <v>0</v>
      </c>
      <c r="Y46" s="1667">
        <f>Gen_form!AX700</f>
        <v>0</v>
      </c>
      <c r="Z46" s="1667" t="str">
        <f>Gen_form!AY700</f>
        <v/>
      </c>
      <c r="AA46" s="1667" t="str">
        <f>Gen_form!AZ700</f>
        <v/>
      </c>
      <c r="AB46" s="1667" t="str">
        <f>Gen_form!BA700</f>
        <v/>
      </c>
      <c r="AC46" s="1667" t="str">
        <f>Gen_form!BB700</f>
        <v/>
      </c>
    </row>
    <row r="47" spans="1:29">
      <c r="B47" s="1667">
        <f>Gen_form!AA701</f>
        <v>80</v>
      </c>
      <c r="C47" s="1667">
        <f>Gen_form!AB701</f>
        <v>400</v>
      </c>
      <c r="D47" s="1667">
        <f>Gen_form!AC701</f>
        <v>0.05</v>
      </c>
      <c r="E47" s="1667">
        <f>Gen_form!AD701</f>
        <v>0</v>
      </c>
      <c r="F47" s="1667" t="str">
        <f>Gen_form!AE701</f>
        <v>70-120</v>
      </c>
      <c r="G47" s="1667">
        <f>Gen_form!AF701</f>
        <v>3</v>
      </c>
      <c r="H47" s="1667" t="str">
        <f>Gen_form!AG701</f>
        <v>Aluminum</v>
      </c>
      <c r="I47" s="1667">
        <f>Gen_form!AH701</f>
        <v>60</v>
      </c>
      <c r="J47" s="1667" t="str">
        <f>Gen_form!AI701</f>
        <v>cm</v>
      </c>
      <c r="K47" s="1667">
        <f>Gen_form!AJ701</f>
        <v>1</v>
      </c>
      <c r="L47" s="1667" t="str">
        <f>Gen_form!AK701</f>
        <v>Low</v>
      </c>
      <c r="M47" s="1667" t="str">
        <f>Gen_form!AL701</f>
        <v>Internal</v>
      </c>
      <c r="N47" s="1667">
        <f>Gen_form!AM701</f>
        <v>0</v>
      </c>
      <c r="O47" s="1667">
        <f>Gen_form!AN701</f>
        <v>0</v>
      </c>
      <c r="P47" s="1667" t="str">
        <f>Gen_form!AO701</f>
        <v>Large</v>
      </c>
      <c r="Q47" s="1667">
        <f>Gen_form!AP701</f>
        <v>0</v>
      </c>
      <c r="R47" s="1667">
        <f>Gen_form!AQ701</f>
        <v>0</v>
      </c>
      <c r="S47" s="1667">
        <f>Gen_form!AR701</f>
        <v>0</v>
      </c>
      <c r="T47" s="1667">
        <f>Gen_form!AS701</f>
        <v>1</v>
      </c>
      <c r="U47" s="1667">
        <f>Gen_form!AT701</f>
        <v>0</v>
      </c>
      <c r="V47" s="1667">
        <f>Gen_form!AU701</f>
        <v>0</v>
      </c>
      <c r="W47" s="1667">
        <f>Gen_form!AV701</f>
        <v>0</v>
      </c>
      <c r="X47" s="1667">
        <f>Gen_form!AW701</f>
        <v>0</v>
      </c>
      <c r="Y47" s="1667">
        <f>Gen_form!AX701</f>
        <v>0</v>
      </c>
      <c r="Z47" s="1667" t="str">
        <f>Gen_form!AY701</f>
        <v/>
      </c>
      <c r="AA47" s="1667" t="str">
        <f>Gen_form!AZ701</f>
        <v/>
      </c>
      <c r="AB47" s="1667" t="str">
        <f>Gen_form!BA701</f>
        <v/>
      </c>
      <c r="AC47" s="1667" t="str">
        <f>Gen_form!BB701</f>
        <v/>
      </c>
    </row>
    <row r="48" spans="1:29">
      <c r="B48" s="1667">
        <f>Gen_form!AA702</f>
        <v>80</v>
      </c>
      <c r="C48" s="1667">
        <f>Gen_form!AB702</f>
        <v>400</v>
      </c>
      <c r="D48" s="1667">
        <f>Gen_form!AC702</f>
        <v>0.05</v>
      </c>
      <c r="E48" s="1667">
        <f>Gen_form!AD702</f>
        <v>0</v>
      </c>
      <c r="F48" s="1667" t="str">
        <f>Gen_form!AE702</f>
        <v>70-120</v>
      </c>
      <c r="G48" s="1667">
        <f>Gen_form!AF702</f>
        <v>3</v>
      </c>
      <c r="H48" s="1667" t="str">
        <f>Gen_form!AG702</f>
        <v>Aluminum</v>
      </c>
      <c r="I48" s="1667">
        <f>Gen_form!AH702</f>
        <v>60</v>
      </c>
      <c r="J48" s="1667" t="str">
        <f>Gen_form!AI702</f>
        <v>cm</v>
      </c>
      <c r="K48" s="1667">
        <f>Gen_form!AJ702</f>
        <v>1</v>
      </c>
      <c r="L48" s="1667" t="str">
        <f>Gen_form!AK702</f>
        <v>Low</v>
      </c>
      <c r="M48" s="1667" t="str">
        <f>Gen_form!AL702</f>
        <v>Internal</v>
      </c>
      <c r="N48" s="1667">
        <f>Gen_form!AM702</f>
        <v>0</v>
      </c>
      <c r="O48" s="1667">
        <f>Gen_form!AN702</f>
        <v>0</v>
      </c>
      <c r="P48" s="1667" t="str">
        <f>Gen_form!AO702</f>
        <v>Large</v>
      </c>
      <c r="Q48" s="1667">
        <f>Gen_form!AP702</f>
        <v>0</v>
      </c>
      <c r="R48" s="1667">
        <f>Gen_form!AQ702</f>
        <v>0</v>
      </c>
      <c r="S48" s="1667">
        <f>Gen_form!AR702</f>
        <v>0</v>
      </c>
      <c r="T48" s="1667">
        <f>Gen_form!AS702</f>
        <v>1</v>
      </c>
      <c r="U48" s="1667">
        <f>Gen_form!AT702</f>
        <v>0</v>
      </c>
      <c r="V48" s="1667">
        <f>Gen_form!AU702</f>
        <v>0</v>
      </c>
      <c r="W48" s="1667">
        <f>Gen_form!AV702</f>
        <v>0</v>
      </c>
      <c r="X48" s="1667">
        <f>Gen_form!AW702</f>
        <v>0</v>
      </c>
      <c r="Y48" s="1667">
        <f>Gen_form!AX702</f>
        <v>0</v>
      </c>
      <c r="Z48" s="1667" t="str">
        <f>Gen_form!AY702</f>
        <v/>
      </c>
      <c r="AA48" s="1667" t="str">
        <f>Gen_form!AZ702</f>
        <v/>
      </c>
      <c r="AB48" s="1667" t="str">
        <f>Gen_form!BA702</f>
        <v/>
      </c>
      <c r="AC48" s="1667" t="str">
        <f>Gen_form!BB702</f>
        <v/>
      </c>
    </row>
    <row r="49" spans="2:29">
      <c r="B49" s="1667">
        <f>Gen_form!AA703</f>
        <v>80</v>
      </c>
      <c r="C49" s="1667">
        <f>Gen_form!AB703</f>
        <v>400</v>
      </c>
      <c r="D49" s="1667">
        <f>Gen_form!AC703</f>
        <v>0.05</v>
      </c>
      <c r="E49" s="1667">
        <f>Gen_form!AD703</f>
        <v>0</v>
      </c>
      <c r="F49" s="1667" t="str">
        <f>Gen_form!AE703</f>
        <v>70-120</v>
      </c>
      <c r="G49" s="1667">
        <f>Gen_form!AF703</f>
        <v>3.5</v>
      </c>
      <c r="H49" s="1667" t="str">
        <f>Gen_form!AG703</f>
        <v>Aluminum</v>
      </c>
      <c r="I49" s="1667">
        <f>Gen_form!AH703</f>
        <v>60</v>
      </c>
      <c r="J49" s="1667" t="str">
        <f>Gen_form!AI703</f>
        <v>cm</v>
      </c>
      <c r="K49" s="1667">
        <f>Gen_form!AJ703</f>
        <v>1</v>
      </c>
      <c r="L49" s="1667" t="str">
        <f>Gen_form!AK703</f>
        <v>Low</v>
      </c>
      <c r="M49" s="1667" t="str">
        <f>Gen_form!AL703</f>
        <v>Internal</v>
      </c>
      <c r="N49" s="1667">
        <f>Gen_form!AM703</f>
        <v>0</v>
      </c>
      <c r="O49" s="1667">
        <f>Gen_form!AN703</f>
        <v>0</v>
      </c>
      <c r="P49" s="1667" t="str">
        <f>Gen_form!AO703</f>
        <v>Large</v>
      </c>
      <c r="Q49" s="1667">
        <f>Gen_form!AP703</f>
        <v>0</v>
      </c>
      <c r="R49" s="1667">
        <f>Gen_form!AQ703</f>
        <v>0</v>
      </c>
      <c r="S49" s="1667">
        <f>Gen_form!AR703</f>
        <v>0</v>
      </c>
      <c r="T49" s="1667">
        <f>Gen_form!AS703</f>
        <v>1</v>
      </c>
      <c r="U49" s="1667">
        <f>Gen_form!AT703</f>
        <v>0</v>
      </c>
      <c r="V49" s="1667">
        <f>Gen_form!AU703</f>
        <v>0</v>
      </c>
      <c r="W49" s="1667">
        <f>Gen_form!AV703</f>
        <v>0</v>
      </c>
      <c r="X49" s="1667">
        <f>Gen_form!AW703</f>
        <v>0</v>
      </c>
      <c r="Y49" s="1667">
        <f>Gen_form!AX703</f>
        <v>0</v>
      </c>
      <c r="Z49" s="1667" t="str">
        <f>Gen_form!AY703</f>
        <v/>
      </c>
      <c r="AA49" s="1667" t="str">
        <f>Gen_form!AZ703</f>
        <v/>
      </c>
      <c r="AB49" s="1667" t="str">
        <f>Gen_form!BA703</f>
        <v/>
      </c>
      <c r="AC49" s="1667" t="str">
        <f>Gen_form!BB703</f>
        <v/>
      </c>
    </row>
    <row r="50" spans="2:29">
      <c r="B50" s="1667">
        <f>Gen_form!AA704</f>
        <v>80</v>
      </c>
      <c r="C50" s="1667">
        <f>Gen_form!AB704</f>
        <v>400</v>
      </c>
      <c r="D50" s="1667">
        <f>Gen_form!AC704</f>
        <v>0.05</v>
      </c>
      <c r="E50" s="1667">
        <f>Gen_form!AD704</f>
        <v>0</v>
      </c>
      <c r="F50" s="1667" t="str">
        <f>Gen_form!AE704</f>
        <v>70-120</v>
      </c>
      <c r="G50" s="1667">
        <f>Gen_form!AF704</f>
        <v>3.5</v>
      </c>
      <c r="H50" s="1667" t="str">
        <f>Gen_form!AG704</f>
        <v>Aluminum</v>
      </c>
      <c r="I50" s="1667">
        <f>Gen_form!AH704</f>
        <v>60</v>
      </c>
      <c r="J50" s="1667" t="str">
        <f>Gen_form!AI704</f>
        <v>cm</v>
      </c>
      <c r="K50" s="1667">
        <f>Gen_form!AJ704</f>
        <v>1</v>
      </c>
      <c r="L50" s="1667" t="str">
        <f>Gen_form!AK704</f>
        <v>Low</v>
      </c>
      <c r="M50" s="1667" t="str">
        <f>Gen_form!AL704</f>
        <v>Internal</v>
      </c>
      <c r="N50" s="1667">
        <f>Gen_form!AM704</f>
        <v>0</v>
      </c>
      <c r="O50" s="1667">
        <f>Gen_form!AN704</f>
        <v>0</v>
      </c>
      <c r="P50" s="1667" t="str">
        <f>Gen_form!AO704</f>
        <v>Large</v>
      </c>
      <c r="Q50" s="1667">
        <f>Gen_form!AP704</f>
        <v>0</v>
      </c>
      <c r="R50" s="1667">
        <f>Gen_form!AQ704</f>
        <v>0</v>
      </c>
      <c r="S50" s="1667">
        <f>Gen_form!AR704</f>
        <v>0</v>
      </c>
      <c r="T50" s="1667">
        <f>Gen_form!AS704</f>
        <v>1</v>
      </c>
      <c r="U50" s="1667">
        <f>Gen_form!AT704</f>
        <v>0</v>
      </c>
      <c r="V50" s="1667">
        <f>Gen_form!AU704</f>
        <v>0</v>
      </c>
      <c r="W50" s="1667">
        <f>Gen_form!AV704</f>
        <v>0</v>
      </c>
      <c r="X50" s="1667">
        <f>Gen_form!AW704</f>
        <v>0</v>
      </c>
      <c r="Y50" s="1667">
        <f>Gen_form!AX704</f>
        <v>0</v>
      </c>
      <c r="Z50" s="1667" t="str">
        <f>Gen_form!AY704</f>
        <v/>
      </c>
      <c r="AA50" s="1667" t="str">
        <f>Gen_form!AZ704</f>
        <v/>
      </c>
      <c r="AB50" s="1667" t="str">
        <f>Gen_form!BA704</f>
        <v/>
      </c>
      <c r="AC50" s="1667" t="str">
        <f>Gen_form!BB704</f>
        <v/>
      </c>
    </row>
    <row r="51" spans="2:29">
      <c r="B51" s="1667">
        <f>Gen_form!AA705</f>
        <v>80</v>
      </c>
      <c r="C51" s="1667">
        <f>Gen_form!AB705</f>
        <v>400</v>
      </c>
      <c r="D51" s="1667">
        <f>Gen_form!AC705</f>
        <v>0.05</v>
      </c>
      <c r="E51" s="1667">
        <f>Gen_form!AD705</f>
        <v>0</v>
      </c>
      <c r="F51" s="1667" t="str">
        <f>Gen_form!AE705</f>
        <v>70-120</v>
      </c>
      <c r="G51" s="1667">
        <f>Gen_form!AF705</f>
        <v>2.5</v>
      </c>
      <c r="H51" s="1667" t="str">
        <f>Gen_form!AG705</f>
        <v>Aluminum</v>
      </c>
      <c r="I51" s="1667">
        <f>Gen_form!AH705</f>
        <v>60</v>
      </c>
      <c r="J51" s="1667" t="str">
        <f>Gen_form!AI705</f>
        <v>cm</v>
      </c>
      <c r="K51" s="1667">
        <f>Gen_form!AJ705</f>
        <v>1</v>
      </c>
      <c r="L51" s="1667" t="str">
        <f>Gen_form!AK705</f>
        <v>Low</v>
      </c>
      <c r="M51" s="1667" t="str">
        <f>Gen_form!AL705</f>
        <v>Internal</v>
      </c>
      <c r="N51" s="1667">
        <f>Gen_form!AM705</f>
        <v>0</v>
      </c>
      <c r="O51" s="1667">
        <f>Gen_form!AN705</f>
        <v>0</v>
      </c>
      <c r="P51" s="1667" t="str">
        <f>Gen_form!AO705</f>
        <v>Large</v>
      </c>
      <c r="Q51" s="1667">
        <f>Gen_form!AP705</f>
        <v>0</v>
      </c>
      <c r="R51" s="1667">
        <f>Gen_form!AQ705</f>
        <v>0</v>
      </c>
      <c r="S51" s="1667">
        <f>Gen_form!AR705</f>
        <v>0</v>
      </c>
      <c r="T51" s="1667">
        <f>Gen_form!AS705</f>
        <v>1</v>
      </c>
      <c r="U51" s="1667">
        <f>Gen_form!AT705</f>
        <v>0</v>
      </c>
      <c r="V51" s="1667">
        <f>Gen_form!AU705</f>
        <v>0</v>
      </c>
      <c r="W51" s="1667">
        <f>Gen_form!AV705</f>
        <v>0</v>
      </c>
      <c r="X51" s="1667">
        <f>Gen_form!AW705</f>
        <v>0</v>
      </c>
      <c r="Y51" s="1667">
        <f>Gen_form!AX705</f>
        <v>0</v>
      </c>
      <c r="Z51" s="1667" t="str">
        <f>Gen_form!AY705</f>
        <v/>
      </c>
      <c r="AA51" s="1667" t="str">
        <f>Gen_form!AZ705</f>
        <v/>
      </c>
      <c r="AB51" s="1667" t="str">
        <f>Gen_form!BA705</f>
        <v/>
      </c>
      <c r="AC51" s="1667" t="str">
        <f>Gen_form!BB705</f>
        <v/>
      </c>
    </row>
    <row r="52" spans="2:29">
      <c r="B52" s="1667">
        <f>Gen_form!AA706</f>
        <v>80</v>
      </c>
      <c r="C52" s="1667">
        <f>Gen_form!AB706</f>
        <v>400</v>
      </c>
      <c r="D52" s="1667">
        <f>Gen_form!AC706</f>
        <v>0.05</v>
      </c>
      <c r="E52" s="1667">
        <f>Gen_form!AD706</f>
        <v>0</v>
      </c>
      <c r="F52" s="1667" t="str">
        <f>Gen_form!AE706</f>
        <v>70-120</v>
      </c>
      <c r="G52" s="1667">
        <f>Gen_form!AF706</f>
        <v>2.5</v>
      </c>
      <c r="H52" s="1667" t="str">
        <f>Gen_form!AG706</f>
        <v>Aluminum</v>
      </c>
      <c r="I52" s="1667">
        <f>Gen_form!AH706</f>
        <v>60</v>
      </c>
      <c r="J52" s="1667" t="str">
        <f>Gen_form!AI706</f>
        <v>cm</v>
      </c>
      <c r="K52" s="1667">
        <f>Gen_form!AJ706</f>
        <v>1</v>
      </c>
      <c r="L52" s="1667" t="str">
        <f>Gen_form!AK706</f>
        <v>Low</v>
      </c>
      <c r="M52" s="1667" t="str">
        <f>Gen_form!AL706</f>
        <v>Internal</v>
      </c>
      <c r="N52" s="1667">
        <f>Gen_form!AM706</f>
        <v>0</v>
      </c>
      <c r="O52" s="1667">
        <f>Gen_form!AN706</f>
        <v>0</v>
      </c>
      <c r="P52" s="1667" t="str">
        <f>Gen_form!AO706</f>
        <v>Large</v>
      </c>
      <c r="Q52" s="1667">
        <f>Gen_form!AP706</f>
        <v>0</v>
      </c>
      <c r="R52" s="1667">
        <f>Gen_form!AQ706</f>
        <v>0</v>
      </c>
      <c r="S52" s="1667">
        <f>Gen_form!AR706</f>
        <v>0</v>
      </c>
      <c r="T52" s="1667">
        <f>Gen_form!AS706</f>
        <v>1</v>
      </c>
      <c r="U52" s="1667">
        <f>Gen_form!AT706</f>
        <v>0</v>
      </c>
      <c r="V52" s="1667">
        <f>Gen_form!AU706</f>
        <v>0</v>
      </c>
      <c r="W52" s="1667">
        <f>Gen_form!AV706</f>
        <v>0</v>
      </c>
      <c r="X52" s="1667">
        <f>Gen_form!AW706</f>
        <v>0</v>
      </c>
      <c r="Y52" s="1667">
        <f>Gen_form!AX706</f>
        <v>0</v>
      </c>
      <c r="Z52" s="1667" t="str">
        <f>Gen_form!AY706</f>
        <v/>
      </c>
      <c r="AA52" s="1667" t="str">
        <f>Gen_form!AZ706</f>
        <v/>
      </c>
      <c r="AB52" s="1667" t="str">
        <f>Gen_form!BA706</f>
        <v/>
      </c>
      <c r="AC52" s="1667" t="str">
        <f>Gen_form!BB706</f>
        <v/>
      </c>
    </row>
    <row r="53" spans="2:29">
      <c r="B53" s="1667">
        <f>Gen_form!AA707</f>
        <v>80</v>
      </c>
      <c r="C53" s="1667">
        <f>Gen_form!AB707</f>
        <v>500</v>
      </c>
      <c r="D53" s="1667">
        <f>Gen_form!AC707</f>
        <v>0.05</v>
      </c>
      <c r="E53" s="1667">
        <f>Gen_form!AD707</f>
        <v>0</v>
      </c>
      <c r="F53" s="1667" t="str">
        <f>Gen_form!AE707</f>
        <v>70-120</v>
      </c>
      <c r="G53" s="1667">
        <f>Gen_form!AF707</f>
        <v>0</v>
      </c>
      <c r="H53" s="1667" t="str">
        <f>Gen_form!AG707</f>
        <v>none</v>
      </c>
      <c r="I53" s="1667">
        <f>Gen_form!AH707</f>
        <v>60</v>
      </c>
      <c r="J53" s="1667" t="str">
        <f>Gen_form!AI707</f>
        <v>cm</v>
      </c>
      <c r="K53" s="1667">
        <f>Gen_form!AJ707</f>
        <v>1</v>
      </c>
      <c r="L53" s="1667" t="str">
        <f>Gen_form!AK707</f>
        <v>Low</v>
      </c>
      <c r="M53" s="1667" t="str">
        <f>Gen_form!AL707</f>
        <v>Internal</v>
      </c>
      <c r="N53" s="1667">
        <f>Gen_form!AM707</f>
        <v>0</v>
      </c>
      <c r="O53" s="1667">
        <f>Gen_form!AN707</f>
        <v>0</v>
      </c>
      <c r="P53" s="1667" t="str">
        <f>Gen_form!AO707</f>
        <v>Large</v>
      </c>
      <c r="Q53" s="1667">
        <f>Gen_form!AP707</f>
        <v>0</v>
      </c>
      <c r="R53" s="1667">
        <f>Gen_form!AQ707</f>
        <v>1</v>
      </c>
      <c r="S53" s="1667">
        <f>Gen_form!AR707</f>
        <v>0</v>
      </c>
      <c r="T53" s="1667">
        <f>Gen_form!AS707</f>
        <v>0</v>
      </c>
      <c r="U53" s="1667">
        <f>Gen_form!AT707</f>
        <v>0</v>
      </c>
      <c r="V53" s="1667">
        <f>Gen_form!AU707</f>
        <v>0</v>
      </c>
      <c r="W53" s="1667">
        <f>Gen_form!AV707</f>
        <v>0</v>
      </c>
      <c r="X53" s="1667">
        <f>Gen_form!AW707</f>
        <v>0</v>
      </c>
      <c r="Y53" s="1667">
        <f>Gen_form!AX707</f>
        <v>0</v>
      </c>
      <c r="Z53" s="1667" t="str">
        <f>Gen_form!AY707</f>
        <v/>
      </c>
      <c r="AA53" s="1667" t="str">
        <f>Gen_form!AZ707</f>
        <v/>
      </c>
      <c r="AB53" s="1667" t="str">
        <f>Gen_form!BA707</f>
        <v/>
      </c>
      <c r="AC53" s="1667" t="str">
        <f>Gen_form!BB707</f>
        <v/>
      </c>
    </row>
    <row r="54" spans="2:29">
      <c r="B54" s="1667">
        <f>Gen_form!AA708</f>
        <v>80</v>
      </c>
      <c r="C54" s="1667">
        <f>Gen_form!AB708</f>
        <v>50</v>
      </c>
      <c r="D54" s="1667">
        <f>Gen_form!AC708</f>
        <v>0.05</v>
      </c>
      <c r="E54" s="1667">
        <f>Gen_form!AD708</f>
        <v>0</v>
      </c>
      <c r="F54" s="1667" t="str">
        <f>Gen_form!AE708</f>
        <v>70-120</v>
      </c>
      <c r="G54" s="1667">
        <f>Gen_form!AF708</f>
        <v>0</v>
      </c>
      <c r="H54" s="1667" t="str">
        <f>Gen_form!AG708</f>
        <v>none</v>
      </c>
      <c r="I54" s="1667">
        <f>Gen_form!AH708</f>
        <v>60</v>
      </c>
      <c r="J54" s="1667" t="str">
        <f>Gen_form!AI708</f>
        <v>cm</v>
      </c>
      <c r="K54" s="1667">
        <f>Gen_form!AJ708</f>
        <v>1</v>
      </c>
      <c r="L54" s="1667" t="str">
        <f>Gen_form!AK708</f>
        <v>High</v>
      </c>
      <c r="M54" s="1667" t="str">
        <f>Gen_form!AL708</f>
        <v>Internal</v>
      </c>
      <c r="N54" s="1667">
        <f>Gen_form!AM708</f>
        <v>0</v>
      </c>
      <c r="O54" s="1667">
        <f>Gen_form!AN708</f>
        <v>0</v>
      </c>
      <c r="P54" s="1667" t="str">
        <f>Gen_form!AO708</f>
        <v>Large</v>
      </c>
      <c r="Q54" s="1667">
        <f>Gen_form!AP708</f>
        <v>0</v>
      </c>
      <c r="R54" s="1667">
        <f>Gen_form!AQ708</f>
        <v>1</v>
      </c>
      <c r="S54" s="1667">
        <f>Gen_form!AR708</f>
        <v>0</v>
      </c>
      <c r="T54" s="1667">
        <f>Gen_form!AS708</f>
        <v>0</v>
      </c>
      <c r="U54" s="1667">
        <f>Gen_form!AT708</f>
        <v>0</v>
      </c>
      <c r="V54" s="1667">
        <f>Gen_form!AU708</f>
        <v>0</v>
      </c>
      <c r="W54" s="1667">
        <f>Gen_form!AV708</f>
        <v>0</v>
      </c>
      <c r="X54" s="1667">
        <f>Gen_form!AW708</f>
        <v>0</v>
      </c>
      <c r="Y54" s="1667">
        <f>Gen_form!AX708</f>
        <v>0</v>
      </c>
      <c r="Z54" s="1667" t="str">
        <f>Gen_form!AY708</f>
        <v/>
      </c>
      <c r="AA54" s="1667" t="str">
        <f>Gen_form!AZ708</f>
        <v/>
      </c>
      <c r="AB54" s="1667" t="str">
        <f>Gen_form!BA708</f>
        <v/>
      </c>
      <c r="AC54" s="1667" t="str">
        <f>Gen_form!BB708</f>
        <v/>
      </c>
    </row>
    <row r="55" spans="2:29">
      <c r="B55" s="1667">
        <f>Gen_form!AA709</f>
        <v>80</v>
      </c>
      <c r="C55" s="1667">
        <f>Gen_form!AB709</f>
        <v>800</v>
      </c>
      <c r="D55" s="1667">
        <f>Gen_form!AC709</f>
        <v>0.05</v>
      </c>
      <c r="E55" s="1667">
        <f>Gen_form!AD709</f>
        <v>0</v>
      </c>
      <c r="F55" s="1667" t="str">
        <f>Gen_form!AE709</f>
        <v>70-120</v>
      </c>
      <c r="G55" s="1667">
        <f>Gen_form!AF709</f>
        <v>0</v>
      </c>
      <c r="H55" s="1667" t="str">
        <f>Gen_form!AG709</f>
        <v>none</v>
      </c>
      <c r="I55" s="1667">
        <f>Gen_form!AH709</f>
        <v>60</v>
      </c>
      <c r="J55" s="1667" t="str">
        <f>Gen_form!AI709</f>
        <v>cm</v>
      </c>
      <c r="K55" s="1667">
        <f>Gen_form!AJ709</f>
        <v>1</v>
      </c>
      <c r="L55" s="1667" t="str">
        <f>Gen_form!AK709</f>
        <v>Low</v>
      </c>
      <c r="M55" s="1667" t="str">
        <f>Gen_form!AL709</f>
        <v>Internal</v>
      </c>
      <c r="N55" s="1667">
        <f>Gen_form!AM709</f>
        <v>0</v>
      </c>
      <c r="O55" s="1667">
        <f>Gen_form!AN709</f>
        <v>0</v>
      </c>
      <c r="P55" s="1667" t="str">
        <f>Gen_form!AO709</f>
        <v>Large</v>
      </c>
      <c r="Q55" s="1667">
        <f>Gen_form!AP709</f>
        <v>0</v>
      </c>
      <c r="R55" s="1667">
        <f>Gen_form!AQ709</f>
        <v>1</v>
      </c>
      <c r="S55" s="1667">
        <f>Gen_form!AR709</f>
        <v>0</v>
      </c>
      <c r="T55" s="1667">
        <f>Gen_form!AS709</f>
        <v>0</v>
      </c>
      <c r="U55" s="1667">
        <f>Gen_form!AT709</f>
        <v>0</v>
      </c>
      <c r="V55" s="1667">
        <f>Gen_form!AU709</f>
        <v>0</v>
      </c>
      <c r="W55" s="1667">
        <f>Gen_form!AV709</f>
        <v>0</v>
      </c>
      <c r="X55" s="1667">
        <f>Gen_form!AW709</f>
        <v>0</v>
      </c>
      <c r="Y55" s="1667">
        <f>Gen_form!AX709</f>
        <v>0</v>
      </c>
      <c r="Z55" s="1667" t="str">
        <f>Gen_form!AY709</f>
        <v/>
      </c>
      <c r="AA55" s="1667" t="str">
        <f>Gen_form!AZ709</f>
        <v/>
      </c>
      <c r="AB55" s="1667" t="str">
        <f>Gen_form!BA709</f>
        <v/>
      </c>
      <c r="AC55" s="1667" t="str">
        <f>Gen_form!BB709</f>
        <v/>
      </c>
    </row>
    <row r="56" spans="2:29">
      <c r="B56" s="1667">
        <f>Gen_form!AA710</f>
        <v>80</v>
      </c>
      <c r="C56" s="1667">
        <f>Gen_form!AB710</f>
        <v>250</v>
      </c>
      <c r="D56" s="1667">
        <f>Gen_form!AC710</f>
        <v>0.05</v>
      </c>
      <c r="E56" s="1667">
        <f>Gen_form!AD710</f>
        <v>0</v>
      </c>
      <c r="F56" s="1667" t="str">
        <f>Gen_form!AE710</f>
        <v>70-120</v>
      </c>
      <c r="G56" s="1667">
        <f>Gen_form!AF710</f>
        <v>0</v>
      </c>
      <c r="H56" s="1667" t="str">
        <f>Gen_form!AG710</f>
        <v>none</v>
      </c>
      <c r="I56" s="1667">
        <f>Gen_form!AH710</f>
        <v>60</v>
      </c>
      <c r="J56" s="1667" t="str">
        <f>Gen_form!AI710</f>
        <v>cm</v>
      </c>
      <c r="K56" s="1667">
        <f>Gen_form!AJ710</f>
        <v>1</v>
      </c>
      <c r="L56" s="1667" t="str">
        <f>Gen_form!AK710</f>
        <v>Low</v>
      </c>
      <c r="M56" s="1667" t="str">
        <f>Gen_form!AL710</f>
        <v>Internal</v>
      </c>
      <c r="N56" s="1667">
        <f>Gen_form!AM710</f>
        <v>0</v>
      </c>
      <c r="O56" s="1667">
        <f>Gen_form!AN710</f>
        <v>0</v>
      </c>
      <c r="P56" s="1667" t="str">
        <f>Gen_form!AO710</f>
        <v>Large</v>
      </c>
      <c r="Q56" s="1667">
        <f>Gen_form!AP710</f>
        <v>0</v>
      </c>
      <c r="R56" s="1667">
        <f>Gen_form!AQ710</f>
        <v>1</v>
      </c>
      <c r="S56" s="1667">
        <f>Gen_form!AR710</f>
        <v>0</v>
      </c>
      <c r="T56" s="1667">
        <f>Gen_form!AS710</f>
        <v>0</v>
      </c>
      <c r="U56" s="1667">
        <f>Gen_form!AT710</f>
        <v>0</v>
      </c>
      <c r="V56" s="1667">
        <f>Gen_form!AU710</f>
        <v>0</v>
      </c>
      <c r="W56" s="1667">
        <f>Gen_form!AV710</f>
        <v>0</v>
      </c>
      <c r="X56" s="1667">
        <f>Gen_form!AW710</f>
        <v>0</v>
      </c>
      <c r="Y56" s="1667">
        <f>Gen_form!AX710</f>
        <v>0</v>
      </c>
      <c r="Z56" s="1667" t="str">
        <f>Gen_form!AY710</f>
        <v/>
      </c>
      <c r="AA56" s="1667" t="str">
        <f>Gen_form!AZ710</f>
        <v/>
      </c>
      <c r="AB56" s="1667" t="str">
        <f>Gen_form!BA710</f>
        <v/>
      </c>
      <c r="AC56" s="1667" t="str">
        <f>Gen_form!BB710</f>
        <v/>
      </c>
    </row>
    <row r="57" spans="2:29">
      <c r="B57" s="1667">
        <f>Gen_form!AA711</f>
        <v>100</v>
      </c>
      <c r="C57" s="1667">
        <f>Gen_form!AB711</f>
        <v>400</v>
      </c>
      <c r="D57" s="1667">
        <f>Gen_form!AC711</f>
        <v>0.05</v>
      </c>
      <c r="E57" s="1667">
        <f>Gen_form!AD711</f>
        <v>0</v>
      </c>
      <c r="F57" s="1667" t="str">
        <f>Gen_form!AE711</f>
        <v>70-120</v>
      </c>
      <c r="G57" s="1667">
        <f>Gen_form!AF711</f>
        <v>0</v>
      </c>
      <c r="H57" s="1667" t="str">
        <f>Gen_form!AG711</f>
        <v>none</v>
      </c>
      <c r="I57" s="1667">
        <f>Gen_form!AH711</f>
        <v>60</v>
      </c>
      <c r="J57" s="1667" t="str">
        <f>Gen_form!AI711</f>
        <v>cm</v>
      </c>
      <c r="K57" s="1667">
        <f>Gen_form!AJ711</f>
        <v>1</v>
      </c>
      <c r="L57" s="1667" t="str">
        <f>Gen_form!AK711</f>
        <v>Low</v>
      </c>
      <c r="M57" s="1667" t="str">
        <f>Gen_form!AL711</f>
        <v>Internal</v>
      </c>
      <c r="N57" s="1667">
        <f>Gen_form!AM711</f>
        <v>0</v>
      </c>
      <c r="O57" s="1667">
        <f>Gen_form!AN711</f>
        <v>0</v>
      </c>
      <c r="P57" s="1667" t="str">
        <f>Gen_form!AO711</f>
        <v>Large</v>
      </c>
      <c r="Q57" s="1667">
        <f>Gen_form!AP711</f>
        <v>0</v>
      </c>
      <c r="R57" s="1667">
        <f>Gen_form!AQ711</f>
        <v>0</v>
      </c>
      <c r="S57" s="1667">
        <f>Gen_form!AR711</f>
        <v>1</v>
      </c>
      <c r="T57" s="1667">
        <f>Gen_form!AS711</f>
        <v>0</v>
      </c>
      <c r="U57" s="1667">
        <f>Gen_form!AT711</f>
        <v>0</v>
      </c>
      <c r="V57" s="1667">
        <f>Gen_form!AU711</f>
        <v>0</v>
      </c>
      <c r="W57" s="1667">
        <f>Gen_form!AV711</f>
        <v>0</v>
      </c>
      <c r="X57" s="1667">
        <f>Gen_form!AW711</f>
        <v>0</v>
      </c>
      <c r="Y57" s="1667">
        <f>Gen_form!AX711</f>
        <v>0</v>
      </c>
      <c r="Z57" s="1667" t="str">
        <f>Gen_form!AY711</f>
        <v/>
      </c>
      <c r="AA57" s="1667" t="str">
        <f>Gen_form!AZ711</f>
        <v/>
      </c>
      <c r="AB57" s="1667" t="str">
        <f>Gen_form!BA711</f>
        <v/>
      </c>
      <c r="AC57" s="1667" t="str">
        <f>Gen_form!BB711</f>
        <v/>
      </c>
    </row>
    <row r="58" spans="2:29">
      <c r="B58" s="1667">
        <f>Gen_form!AA712</f>
        <v>100</v>
      </c>
      <c r="C58" s="1667">
        <f>Gen_form!AB712</f>
        <v>400</v>
      </c>
      <c r="D58" s="1667">
        <f>Gen_form!AC712</f>
        <v>0.05</v>
      </c>
      <c r="E58" s="1667">
        <f>Gen_form!AD712</f>
        <v>0</v>
      </c>
      <c r="F58" s="1667" t="str">
        <f>Gen_form!AE712</f>
        <v>100-155</v>
      </c>
      <c r="G58" s="1667">
        <f>Gen_form!AF712</f>
        <v>0</v>
      </c>
      <c r="H58" s="1667" t="str">
        <f>Gen_form!AG712</f>
        <v>none</v>
      </c>
      <c r="I58" s="1667">
        <f>Gen_form!AH712</f>
        <v>60</v>
      </c>
      <c r="J58" s="1667" t="str">
        <f>Gen_form!AI712</f>
        <v>cm</v>
      </c>
      <c r="K58" s="1667">
        <f>Gen_form!AJ712</f>
        <v>1</v>
      </c>
      <c r="L58" s="1667" t="str">
        <f>Gen_form!AK712</f>
        <v>Low</v>
      </c>
      <c r="M58" s="1667" t="str">
        <f>Gen_form!AL712</f>
        <v>Internal</v>
      </c>
      <c r="N58" s="1667">
        <f>Gen_form!AM712</f>
        <v>0</v>
      </c>
      <c r="O58" s="1667">
        <f>Gen_form!AN712</f>
        <v>0</v>
      </c>
      <c r="P58" s="1667" t="str">
        <f>Gen_form!AO712</f>
        <v>Large</v>
      </c>
      <c r="Q58" s="1667">
        <f>Gen_form!AP712</f>
        <v>0</v>
      </c>
      <c r="R58" s="1667">
        <f>Gen_form!AQ712</f>
        <v>0</v>
      </c>
      <c r="S58" s="1667">
        <f>Gen_form!AR712</f>
        <v>1</v>
      </c>
      <c r="T58" s="1667">
        <f>Gen_form!AS712</f>
        <v>1</v>
      </c>
      <c r="U58" s="1667">
        <f>Gen_form!AT712</f>
        <v>0</v>
      </c>
      <c r="V58" s="1667">
        <f>Gen_form!AU712</f>
        <v>0</v>
      </c>
      <c r="W58" s="1667">
        <f>Gen_form!AV712</f>
        <v>0</v>
      </c>
      <c r="X58" s="1667">
        <f>Gen_form!AW712</f>
        <v>0</v>
      </c>
      <c r="Y58" s="1667">
        <f>Gen_form!AX712</f>
        <v>0</v>
      </c>
      <c r="Z58" s="1667" t="str">
        <f>Gen_form!AY712</f>
        <v/>
      </c>
      <c r="AA58" s="1667" t="str">
        <f>Gen_form!AZ712</f>
        <v/>
      </c>
      <c r="AB58" s="1667" t="str">
        <f>Gen_form!BA712</f>
        <v/>
      </c>
      <c r="AC58" s="1667" t="str">
        <f>Gen_form!BB712</f>
        <v/>
      </c>
    </row>
    <row r="59" spans="2:29">
      <c r="B59" s="1667">
        <f>Gen_form!AA713</f>
        <v>100</v>
      </c>
      <c r="C59" s="1667">
        <f>Gen_form!AB713</f>
        <v>400</v>
      </c>
      <c r="D59" s="1667">
        <f>Gen_form!AC713</f>
        <v>0.05</v>
      </c>
      <c r="E59" s="1667">
        <f>Gen_form!AD713</f>
        <v>0</v>
      </c>
      <c r="F59" s="1667" t="str">
        <f>Gen_form!AE713</f>
        <v>100-155</v>
      </c>
      <c r="G59" s="1667">
        <f>Gen_form!AF713</f>
        <v>3.5</v>
      </c>
      <c r="H59" s="1667" t="str">
        <f>Gen_form!AG713</f>
        <v>none</v>
      </c>
      <c r="I59" s="1667">
        <f>Gen_form!AH713</f>
        <v>60</v>
      </c>
      <c r="J59" s="1667" t="str">
        <f>Gen_form!AI713</f>
        <v>cm</v>
      </c>
      <c r="K59" s="1667">
        <f>Gen_form!AJ713</f>
        <v>1</v>
      </c>
      <c r="L59" s="1667" t="str">
        <f>Gen_form!AK713</f>
        <v>Low</v>
      </c>
      <c r="M59" s="1667" t="str">
        <f>Gen_form!AL713</f>
        <v>Internal</v>
      </c>
      <c r="N59" s="1667">
        <f>Gen_form!AM713</f>
        <v>0</v>
      </c>
      <c r="O59" s="1667">
        <f>Gen_form!AN713</f>
        <v>0</v>
      </c>
      <c r="P59" s="1667" t="str">
        <f>Gen_form!AO713</f>
        <v>Large</v>
      </c>
      <c r="Q59" s="1667">
        <f>Gen_form!AP713</f>
        <v>0</v>
      </c>
      <c r="R59" s="1667">
        <f>Gen_form!AQ713</f>
        <v>0</v>
      </c>
      <c r="S59" s="1667">
        <f>Gen_form!AR713</f>
        <v>0</v>
      </c>
      <c r="T59" s="1667">
        <f>Gen_form!AS713</f>
        <v>1</v>
      </c>
      <c r="U59" s="1667">
        <f>Gen_form!AT713</f>
        <v>0</v>
      </c>
      <c r="V59" s="1667">
        <f>Gen_form!AU713</f>
        <v>0</v>
      </c>
      <c r="W59" s="1667">
        <f>Gen_form!AV713</f>
        <v>0</v>
      </c>
      <c r="X59" s="1667">
        <f>Gen_form!AW713</f>
        <v>0</v>
      </c>
      <c r="Y59" s="1667">
        <f>Gen_form!AX713</f>
        <v>0</v>
      </c>
      <c r="Z59" s="1667" t="str">
        <f>Gen_form!AY713</f>
        <v/>
      </c>
      <c r="AA59" s="1667" t="str">
        <f>Gen_form!AZ713</f>
        <v/>
      </c>
      <c r="AB59" s="1667" t="str">
        <f>Gen_form!BA713</f>
        <v/>
      </c>
      <c r="AC59" s="1667" t="str">
        <f>Gen_form!BB713</f>
        <v/>
      </c>
    </row>
    <row r="60" spans="2:29">
      <c r="B60" s="1667">
        <f>Gen_form!AA714</f>
        <v>100</v>
      </c>
      <c r="C60" s="1667">
        <f>Gen_form!AB714</f>
        <v>400</v>
      </c>
      <c r="D60" s="1667">
        <f>Gen_form!AC714</f>
        <v>0.05</v>
      </c>
      <c r="E60" s="1667">
        <f>Gen_form!AD714</f>
        <v>0</v>
      </c>
      <c r="F60" s="1667" t="str">
        <f>Gen_form!AE714</f>
        <v>100-155</v>
      </c>
      <c r="G60" s="1667">
        <f>Gen_form!AF714</f>
        <v>3.5</v>
      </c>
      <c r="H60" s="1667" t="str">
        <f>Gen_form!AG714</f>
        <v>none</v>
      </c>
      <c r="I60" s="1667">
        <f>Gen_form!AH714</f>
        <v>60</v>
      </c>
      <c r="J60" s="1667" t="str">
        <f>Gen_form!AI714</f>
        <v>cm</v>
      </c>
      <c r="K60" s="1667">
        <f>Gen_form!AJ714</f>
        <v>1</v>
      </c>
      <c r="L60" s="1667" t="str">
        <f>Gen_form!AK714</f>
        <v>Low</v>
      </c>
      <c r="M60" s="1667" t="str">
        <f>Gen_form!AL714</f>
        <v>Internal</v>
      </c>
      <c r="N60" s="1667">
        <f>Gen_form!AM714</f>
        <v>0</v>
      </c>
      <c r="O60" s="1667">
        <f>Gen_form!AN714</f>
        <v>0</v>
      </c>
      <c r="P60" s="1667" t="str">
        <f>Gen_form!AO714</f>
        <v>Large</v>
      </c>
      <c r="Q60" s="1667">
        <f>Gen_form!AP714</f>
        <v>0</v>
      </c>
      <c r="R60" s="1667">
        <f>Gen_form!AQ714</f>
        <v>0</v>
      </c>
      <c r="S60" s="1667">
        <f>Gen_form!AR714</f>
        <v>0</v>
      </c>
      <c r="T60" s="1667">
        <f>Gen_form!AS714</f>
        <v>1</v>
      </c>
      <c r="U60" s="1667">
        <f>Gen_form!AT714</f>
        <v>0</v>
      </c>
      <c r="V60" s="1667">
        <f>Gen_form!AU714</f>
        <v>0</v>
      </c>
      <c r="W60" s="1667">
        <f>Gen_form!AV714</f>
        <v>0</v>
      </c>
      <c r="X60" s="1667">
        <f>Gen_form!AW714</f>
        <v>0</v>
      </c>
      <c r="Y60" s="1667">
        <f>Gen_form!AX714</f>
        <v>0</v>
      </c>
      <c r="Z60" s="1667" t="str">
        <f>Gen_form!AY714</f>
        <v/>
      </c>
      <c r="AA60" s="1667" t="str">
        <f>Gen_form!AZ714</f>
        <v/>
      </c>
      <c r="AB60" s="1667" t="str">
        <f>Gen_form!BA714</f>
        <v/>
      </c>
      <c r="AC60" s="1667" t="str">
        <f>Gen_form!BB714</f>
        <v/>
      </c>
    </row>
    <row r="61" spans="2:29">
      <c r="B61" s="1667">
        <f>Gen_form!AA715</f>
        <v>100</v>
      </c>
      <c r="C61" s="1667">
        <f>Gen_form!AB715</f>
        <v>400</v>
      </c>
      <c r="D61" s="1667">
        <f>Gen_form!AC715</f>
        <v>0.05</v>
      </c>
      <c r="E61" s="1667">
        <f>Gen_form!AD715</f>
        <v>0</v>
      </c>
      <c r="F61" s="1667" t="str">
        <f>Gen_form!AE715</f>
        <v>100-155</v>
      </c>
      <c r="G61" s="1667">
        <f>Gen_form!AF715</f>
        <v>4</v>
      </c>
      <c r="H61" s="1667" t="str">
        <f>Gen_form!AG715</f>
        <v>none</v>
      </c>
      <c r="I61" s="1667">
        <f>Gen_form!AH715</f>
        <v>60</v>
      </c>
      <c r="J61" s="1667" t="str">
        <f>Gen_form!AI715</f>
        <v>cm</v>
      </c>
      <c r="K61" s="1667">
        <f>Gen_form!AJ715</f>
        <v>1</v>
      </c>
      <c r="L61" s="1667" t="str">
        <f>Gen_form!AK715</f>
        <v>Low</v>
      </c>
      <c r="M61" s="1667" t="str">
        <f>Gen_form!AL715</f>
        <v>Internal</v>
      </c>
      <c r="N61" s="1667">
        <f>Gen_form!AM715</f>
        <v>0</v>
      </c>
      <c r="O61" s="1667">
        <f>Gen_form!AN715</f>
        <v>0</v>
      </c>
      <c r="P61" s="1667" t="str">
        <f>Gen_form!AO715</f>
        <v>Large</v>
      </c>
      <c r="Q61" s="1667">
        <f>Gen_form!AP715</f>
        <v>0</v>
      </c>
      <c r="R61" s="1667">
        <f>Gen_form!AQ715</f>
        <v>0</v>
      </c>
      <c r="S61" s="1667">
        <f>Gen_form!AR715</f>
        <v>0</v>
      </c>
      <c r="T61" s="1667">
        <f>Gen_form!AS715</f>
        <v>1</v>
      </c>
      <c r="U61" s="1667">
        <f>Gen_form!AT715</f>
        <v>0</v>
      </c>
      <c r="V61" s="1667">
        <f>Gen_form!AU715</f>
        <v>0</v>
      </c>
      <c r="W61" s="1667">
        <f>Gen_form!AV715</f>
        <v>0</v>
      </c>
      <c r="X61" s="1667">
        <f>Gen_form!AW715</f>
        <v>0</v>
      </c>
      <c r="Y61" s="1667">
        <f>Gen_form!AX715</f>
        <v>0</v>
      </c>
      <c r="Z61" s="1667" t="str">
        <f>Gen_form!AY715</f>
        <v/>
      </c>
      <c r="AA61" s="1667" t="str">
        <f>Gen_form!AZ715</f>
        <v/>
      </c>
      <c r="AB61" s="1667" t="str">
        <f>Gen_form!BA715</f>
        <v/>
      </c>
      <c r="AC61" s="1667" t="str">
        <f>Gen_form!BB715</f>
        <v/>
      </c>
    </row>
    <row r="62" spans="2:29">
      <c r="B62" s="1667">
        <f>Gen_form!AA716</f>
        <v>100</v>
      </c>
      <c r="C62" s="1667">
        <f>Gen_form!AB716</f>
        <v>400</v>
      </c>
      <c r="D62" s="1667">
        <f>Gen_form!AC716</f>
        <v>0.05</v>
      </c>
      <c r="E62" s="1667">
        <f>Gen_form!AD716</f>
        <v>0</v>
      </c>
      <c r="F62" s="1667" t="str">
        <f>Gen_form!AE716</f>
        <v>100-155</v>
      </c>
      <c r="G62" s="1667">
        <f>Gen_form!AF716</f>
        <v>4</v>
      </c>
      <c r="H62" s="1667" t="str">
        <f>Gen_form!AG716</f>
        <v>none</v>
      </c>
      <c r="I62" s="1667">
        <f>Gen_form!AH716</f>
        <v>60</v>
      </c>
      <c r="J62" s="1667" t="str">
        <f>Gen_form!AI716</f>
        <v>cm</v>
      </c>
      <c r="K62" s="1667">
        <f>Gen_form!AJ716</f>
        <v>1</v>
      </c>
      <c r="L62" s="1667" t="str">
        <f>Gen_form!AK716</f>
        <v>Low</v>
      </c>
      <c r="M62" s="1667" t="str">
        <f>Gen_form!AL716</f>
        <v>Internal</v>
      </c>
      <c r="N62" s="1667">
        <f>Gen_form!AM716</f>
        <v>0</v>
      </c>
      <c r="O62" s="1667">
        <f>Gen_form!AN716</f>
        <v>0</v>
      </c>
      <c r="P62" s="1667" t="str">
        <f>Gen_form!AO716</f>
        <v>Large</v>
      </c>
      <c r="Q62" s="1667">
        <f>Gen_form!AP716</f>
        <v>0</v>
      </c>
      <c r="R62" s="1667">
        <f>Gen_form!AQ716</f>
        <v>0</v>
      </c>
      <c r="S62" s="1667">
        <f>Gen_form!AR716</f>
        <v>0</v>
      </c>
      <c r="T62" s="1667">
        <f>Gen_form!AS716</f>
        <v>1</v>
      </c>
      <c r="U62" s="1667">
        <f>Gen_form!AT716</f>
        <v>0</v>
      </c>
      <c r="V62" s="1667">
        <f>Gen_form!AU716</f>
        <v>0</v>
      </c>
      <c r="W62" s="1667">
        <f>Gen_form!AV716</f>
        <v>0</v>
      </c>
      <c r="X62" s="1667">
        <f>Gen_form!AW716</f>
        <v>0</v>
      </c>
      <c r="Y62" s="1667">
        <f>Gen_form!AX716</f>
        <v>0</v>
      </c>
      <c r="Z62" s="1667" t="str">
        <f>Gen_form!AY716</f>
        <v/>
      </c>
      <c r="AA62" s="1667" t="str">
        <f>Gen_form!AZ716</f>
        <v/>
      </c>
      <c r="AB62" s="1667" t="str">
        <f>Gen_form!BA716</f>
        <v/>
      </c>
      <c r="AC62" s="1667" t="str">
        <f>Gen_form!BB716</f>
        <v/>
      </c>
    </row>
    <row r="63" spans="2:29">
      <c r="B63" s="1667">
        <f>Gen_form!AA717</f>
        <v>100</v>
      </c>
      <c r="C63" s="1667">
        <f>Gen_form!AB717</f>
        <v>400</v>
      </c>
      <c r="D63" s="1667">
        <f>Gen_form!AC717</f>
        <v>0.05</v>
      </c>
      <c r="E63" s="1667">
        <f>Gen_form!AD717</f>
        <v>0</v>
      </c>
      <c r="F63" s="1667" t="str">
        <f>Gen_form!AE717</f>
        <v>100-155</v>
      </c>
      <c r="G63" s="1667">
        <f>Gen_form!AF717</f>
        <v>3</v>
      </c>
      <c r="H63" s="1667" t="str">
        <f>Gen_form!AG717</f>
        <v>none</v>
      </c>
      <c r="I63" s="1667">
        <f>Gen_form!AH717</f>
        <v>60</v>
      </c>
      <c r="J63" s="1667" t="str">
        <f>Gen_form!AI717</f>
        <v>cm</v>
      </c>
      <c r="K63" s="1667">
        <f>Gen_form!AJ717</f>
        <v>1</v>
      </c>
      <c r="L63" s="1667" t="str">
        <f>Gen_form!AK717</f>
        <v>Low</v>
      </c>
      <c r="M63" s="1667" t="str">
        <f>Gen_form!AL717</f>
        <v>Internal</v>
      </c>
      <c r="N63" s="1667">
        <f>Gen_form!AM717</f>
        <v>0</v>
      </c>
      <c r="O63" s="1667">
        <f>Gen_form!AN717</f>
        <v>0</v>
      </c>
      <c r="P63" s="1667" t="str">
        <f>Gen_form!AO717</f>
        <v>Large</v>
      </c>
      <c r="Q63" s="1667">
        <f>Gen_form!AP717</f>
        <v>0</v>
      </c>
      <c r="R63" s="1667">
        <f>Gen_form!AQ717</f>
        <v>0</v>
      </c>
      <c r="S63" s="1667">
        <f>Gen_form!AR717</f>
        <v>0</v>
      </c>
      <c r="T63" s="1667">
        <f>Gen_form!AS717</f>
        <v>1</v>
      </c>
      <c r="U63" s="1667">
        <f>Gen_form!AT717</f>
        <v>0</v>
      </c>
      <c r="V63" s="1667">
        <f>Gen_form!AU717</f>
        <v>0</v>
      </c>
      <c r="W63" s="1667">
        <f>Gen_form!AV717</f>
        <v>0</v>
      </c>
      <c r="X63" s="1667">
        <f>Gen_form!AW717</f>
        <v>0</v>
      </c>
      <c r="Y63" s="1667">
        <f>Gen_form!AX717</f>
        <v>0</v>
      </c>
      <c r="Z63" s="1667" t="str">
        <f>Gen_form!AY717</f>
        <v/>
      </c>
      <c r="AA63" s="1667" t="str">
        <f>Gen_form!AZ717</f>
        <v/>
      </c>
      <c r="AB63" s="1667" t="str">
        <f>Gen_form!BA717</f>
        <v/>
      </c>
      <c r="AC63" s="1667" t="str">
        <f>Gen_form!BB717</f>
        <v/>
      </c>
    </row>
    <row r="64" spans="2:29">
      <c r="B64" s="1667">
        <f>Gen_form!AA718</f>
        <v>100</v>
      </c>
      <c r="C64" s="1667">
        <f>Gen_form!AB718</f>
        <v>400</v>
      </c>
      <c r="D64" s="1667">
        <f>Gen_form!AC718</f>
        <v>0.05</v>
      </c>
      <c r="E64" s="1667">
        <f>Gen_form!AD718</f>
        <v>0</v>
      </c>
      <c r="F64" s="1667" t="str">
        <f>Gen_form!AE718</f>
        <v>100-155</v>
      </c>
      <c r="G64" s="1667">
        <f>Gen_form!AF718</f>
        <v>3</v>
      </c>
      <c r="H64" s="1667" t="str">
        <f>Gen_form!AG718</f>
        <v>none</v>
      </c>
      <c r="I64" s="1667">
        <f>Gen_form!AH718</f>
        <v>60</v>
      </c>
      <c r="J64" s="1667" t="str">
        <f>Gen_form!AI718</f>
        <v>cm</v>
      </c>
      <c r="K64" s="1667">
        <f>Gen_form!AJ718</f>
        <v>1</v>
      </c>
      <c r="L64" s="1667" t="str">
        <f>Gen_form!AK718</f>
        <v>Low</v>
      </c>
      <c r="M64" s="1667" t="str">
        <f>Gen_form!AL718</f>
        <v>Internal</v>
      </c>
      <c r="N64" s="1667">
        <f>Gen_form!AM718</f>
        <v>0</v>
      </c>
      <c r="O64" s="1667">
        <f>Gen_form!AN718</f>
        <v>0</v>
      </c>
      <c r="P64" s="1667" t="str">
        <f>Gen_form!AO718</f>
        <v>Large</v>
      </c>
      <c r="Q64" s="1667">
        <f>Gen_form!AP718</f>
        <v>0</v>
      </c>
      <c r="R64" s="1667">
        <f>Gen_form!AQ718</f>
        <v>0</v>
      </c>
      <c r="S64" s="1667">
        <f>Gen_form!AR718</f>
        <v>0</v>
      </c>
      <c r="T64" s="1667">
        <f>Gen_form!AS718</f>
        <v>1</v>
      </c>
      <c r="U64" s="1667">
        <f>Gen_form!AT718</f>
        <v>0</v>
      </c>
      <c r="V64" s="1667">
        <f>Gen_form!AU718</f>
        <v>0</v>
      </c>
      <c r="W64" s="1667">
        <f>Gen_form!AV718</f>
        <v>0</v>
      </c>
      <c r="X64" s="1667">
        <f>Gen_form!AW718</f>
        <v>0</v>
      </c>
      <c r="Y64" s="1667">
        <f>Gen_form!AX718</f>
        <v>0</v>
      </c>
      <c r="Z64" s="1667" t="str">
        <f>Gen_form!AY718</f>
        <v/>
      </c>
      <c r="AA64" s="1667" t="str">
        <f>Gen_form!AZ718</f>
        <v/>
      </c>
      <c r="AB64" s="1667" t="str">
        <f>Gen_form!BA718</f>
        <v/>
      </c>
      <c r="AC64" s="1667" t="str">
        <f>Gen_form!BB718</f>
        <v/>
      </c>
    </row>
    <row r="65" spans="2:29">
      <c r="B65" s="1667">
        <f>Gen_form!AA719</f>
        <v>120</v>
      </c>
      <c r="C65" s="1667">
        <f>Gen_form!AB719</f>
        <v>400</v>
      </c>
      <c r="D65" s="1667">
        <f>Gen_form!AC719</f>
        <v>0.05</v>
      </c>
      <c r="E65" s="1667">
        <f>Gen_form!AD719</f>
        <v>0</v>
      </c>
      <c r="F65" s="1667" t="str">
        <f>Gen_form!AE719</f>
        <v>100-155</v>
      </c>
      <c r="G65" s="1667">
        <f>Gen_form!AF719</f>
        <v>0</v>
      </c>
      <c r="H65" s="1667" t="str">
        <f>Gen_form!AG719</f>
        <v>none</v>
      </c>
      <c r="I65" s="1667">
        <f>Gen_form!AH719</f>
        <v>60</v>
      </c>
      <c r="J65" s="1667" t="str">
        <f>Gen_form!AI719</f>
        <v>cm</v>
      </c>
      <c r="K65" s="1667">
        <f>Gen_form!AJ719</f>
        <v>1</v>
      </c>
      <c r="L65" s="1667" t="str">
        <f>Gen_form!AK719</f>
        <v>Low</v>
      </c>
      <c r="M65" s="1667" t="str">
        <f>Gen_form!AL719</f>
        <v>Internal</v>
      </c>
      <c r="N65" s="1667">
        <f>Gen_form!AM719</f>
        <v>0</v>
      </c>
      <c r="O65" s="1667">
        <f>Gen_form!AN719</f>
        <v>0</v>
      </c>
      <c r="P65" s="1667" t="str">
        <f>Gen_form!AO719</f>
        <v>Large</v>
      </c>
      <c r="Q65" s="1667">
        <f>Gen_form!AP719</f>
        <v>0</v>
      </c>
      <c r="R65" s="1667">
        <f>Gen_form!AQ719</f>
        <v>0</v>
      </c>
      <c r="S65" s="1667">
        <f>Gen_form!AR719</f>
        <v>1</v>
      </c>
      <c r="T65" s="1667">
        <f>Gen_form!AS719</f>
        <v>0</v>
      </c>
      <c r="U65" s="1667">
        <f>Gen_form!AT719</f>
        <v>0</v>
      </c>
      <c r="V65" s="1667">
        <f>Gen_form!AU719</f>
        <v>0</v>
      </c>
      <c r="W65" s="1667">
        <f>Gen_form!AV719</f>
        <v>0</v>
      </c>
      <c r="X65" s="1667">
        <f>Gen_form!AW719</f>
        <v>0</v>
      </c>
      <c r="Y65" s="1667">
        <f>Gen_form!AX719</f>
        <v>0</v>
      </c>
      <c r="Z65" s="1667" t="str">
        <f>Gen_form!AY719</f>
        <v/>
      </c>
      <c r="AA65" s="1667" t="str">
        <f>Gen_form!AZ719</f>
        <v/>
      </c>
      <c r="AB65" s="1667" t="str">
        <f>Gen_form!BA719</f>
        <v/>
      </c>
      <c r="AC65" s="1667" t="str">
        <f>Gen_form!BB719</f>
        <v/>
      </c>
    </row>
    <row r="66" spans="2:29">
      <c r="B66" s="1667">
        <f>Gen_form!AA720</f>
        <v>120</v>
      </c>
      <c r="C66" s="1667">
        <f>Gen_form!AB720</f>
        <v>400</v>
      </c>
      <c r="D66" s="1667">
        <f>Gen_form!AC720</f>
        <v>0.05</v>
      </c>
      <c r="E66" s="1667">
        <f>Gen_form!AD720</f>
        <v>0</v>
      </c>
      <c r="F66" s="1667" t="str">
        <f>Gen_form!AE720</f>
        <v>100-155</v>
      </c>
      <c r="G66" s="1667">
        <f>Gen_form!AF720</f>
        <v>0</v>
      </c>
      <c r="H66" s="1667" t="str">
        <f>Gen_form!AG720</f>
        <v>none</v>
      </c>
      <c r="I66" s="1667">
        <f>Gen_form!AH720</f>
        <v>60</v>
      </c>
      <c r="J66" s="1667" t="str">
        <f>Gen_form!AI720</f>
        <v>cm</v>
      </c>
      <c r="K66" s="1667">
        <f>Gen_form!AJ720</f>
        <v>1</v>
      </c>
      <c r="L66" s="1667" t="str">
        <f>Gen_form!AK720</f>
        <v>Low</v>
      </c>
      <c r="M66" s="1667" t="str">
        <f>Gen_form!AL720</f>
        <v>Internal</v>
      </c>
      <c r="N66" s="1667">
        <f>Gen_form!AM720</f>
        <v>0</v>
      </c>
      <c r="O66" s="1667">
        <f>Gen_form!AN720</f>
        <v>0</v>
      </c>
      <c r="P66" s="1667" t="str">
        <f>Gen_form!AO720</f>
        <v>Large</v>
      </c>
      <c r="Q66" s="1667">
        <f>Gen_form!AP720</f>
        <v>0</v>
      </c>
      <c r="R66" s="1667">
        <f>Gen_form!AQ720</f>
        <v>0</v>
      </c>
      <c r="S66" s="1667">
        <f>Gen_form!AR720</f>
        <v>1</v>
      </c>
      <c r="T66" s="1667">
        <f>Gen_form!AS720</f>
        <v>1</v>
      </c>
      <c r="U66" s="1667">
        <f>Gen_form!AT720</f>
        <v>0</v>
      </c>
      <c r="V66" s="1667">
        <f>Gen_form!AU720</f>
        <v>0</v>
      </c>
      <c r="W66" s="1667">
        <f>Gen_form!AV720</f>
        <v>0</v>
      </c>
      <c r="X66" s="1667">
        <f>Gen_form!AW720</f>
        <v>0</v>
      </c>
      <c r="Y66" s="1667">
        <f>Gen_form!AX720</f>
        <v>0</v>
      </c>
      <c r="Z66" s="1667" t="str">
        <f>Gen_form!AY720</f>
        <v/>
      </c>
      <c r="AA66" s="1667" t="str">
        <f>Gen_form!AZ720</f>
        <v/>
      </c>
      <c r="AB66" s="1667" t="str">
        <f>Gen_form!BA720</f>
        <v/>
      </c>
      <c r="AC66" s="1667" t="str">
        <f>Gen_form!BB720</f>
        <v/>
      </c>
    </row>
    <row r="67" spans="2:29">
      <c r="B67" s="1667">
        <f>Gen_form!AA721</f>
        <v>120</v>
      </c>
      <c r="C67" s="1667">
        <f>Gen_form!AB721</f>
        <v>400</v>
      </c>
      <c r="D67" s="1667">
        <f>Gen_form!AC721</f>
        <v>0.05</v>
      </c>
      <c r="E67" s="1667">
        <f>Gen_form!AD721</f>
        <v>0</v>
      </c>
      <c r="F67" s="1667" t="str">
        <f>Gen_form!AE721</f>
        <v>100-155</v>
      </c>
      <c r="G67" s="1667">
        <f>Gen_form!AF721</f>
        <v>4</v>
      </c>
      <c r="H67" s="1667" t="str">
        <f>Gen_form!AG721</f>
        <v>none</v>
      </c>
      <c r="I67" s="1667">
        <f>Gen_form!AH721</f>
        <v>60</v>
      </c>
      <c r="J67" s="1667" t="str">
        <f>Gen_form!AI721</f>
        <v>cm</v>
      </c>
      <c r="K67" s="1667">
        <f>Gen_form!AJ721</f>
        <v>1</v>
      </c>
      <c r="L67" s="1667" t="str">
        <f>Gen_form!AK721</f>
        <v>Low</v>
      </c>
      <c r="M67" s="1667" t="str">
        <f>Gen_form!AL721</f>
        <v>Internal</v>
      </c>
      <c r="N67" s="1667">
        <f>Gen_form!AM721</f>
        <v>0</v>
      </c>
      <c r="O67" s="1667">
        <f>Gen_form!AN721</f>
        <v>0</v>
      </c>
      <c r="P67" s="1667" t="str">
        <f>Gen_form!AO721</f>
        <v>Large</v>
      </c>
      <c r="Q67" s="1667">
        <f>Gen_form!AP721</f>
        <v>0</v>
      </c>
      <c r="R67" s="1667">
        <f>Gen_form!AQ721</f>
        <v>0</v>
      </c>
      <c r="S67" s="1667">
        <f>Gen_form!AR721</f>
        <v>0</v>
      </c>
      <c r="T67" s="1667">
        <f>Gen_form!AS721</f>
        <v>1</v>
      </c>
      <c r="U67" s="1667">
        <f>Gen_form!AT721</f>
        <v>0</v>
      </c>
      <c r="V67" s="1667">
        <f>Gen_form!AU721</f>
        <v>0</v>
      </c>
      <c r="W67" s="1667">
        <f>Gen_form!AV721</f>
        <v>0</v>
      </c>
      <c r="X67" s="1667">
        <f>Gen_form!AW721</f>
        <v>0</v>
      </c>
      <c r="Y67" s="1667">
        <f>Gen_form!AX721</f>
        <v>0</v>
      </c>
      <c r="Z67" s="1667" t="str">
        <f>Gen_form!AY721</f>
        <v/>
      </c>
      <c r="AA67" s="1667" t="str">
        <f>Gen_form!AZ721</f>
        <v/>
      </c>
      <c r="AB67" s="1667" t="str">
        <f>Gen_form!BA721</f>
        <v/>
      </c>
      <c r="AC67" s="1667" t="str">
        <f>Gen_form!BB721</f>
        <v/>
      </c>
    </row>
    <row r="68" spans="2:29">
      <c r="B68" s="1667">
        <f>Gen_form!AA722</f>
        <v>120</v>
      </c>
      <c r="C68" s="1667">
        <f>Gen_form!AB722</f>
        <v>400</v>
      </c>
      <c r="D68" s="1667">
        <f>Gen_form!AC722</f>
        <v>0.05</v>
      </c>
      <c r="E68" s="1667">
        <f>Gen_form!AD722</f>
        <v>0</v>
      </c>
      <c r="F68" s="1667" t="str">
        <f>Gen_form!AE722</f>
        <v>100-155</v>
      </c>
      <c r="G68" s="1667">
        <f>Gen_form!AF722</f>
        <v>4</v>
      </c>
      <c r="H68" s="1667" t="str">
        <f>Gen_form!AG722</f>
        <v>none</v>
      </c>
      <c r="I68" s="1667">
        <f>Gen_form!AH722</f>
        <v>60</v>
      </c>
      <c r="J68" s="1667" t="str">
        <f>Gen_form!AI722</f>
        <v>cm</v>
      </c>
      <c r="K68" s="1667">
        <f>Gen_form!AJ722</f>
        <v>1</v>
      </c>
      <c r="L68" s="1667" t="str">
        <f>Gen_form!AK722</f>
        <v>Low</v>
      </c>
      <c r="M68" s="1667" t="str">
        <f>Gen_form!AL722</f>
        <v>Internal</v>
      </c>
      <c r="N68" s="1667">
        <f>Gen_form!AM722</f>
        <v>0</v>
      </c>
      <c r="O68" s="1667">
        <f>Gen_form!AN722</f>
        <v>0</v>
      </c>
      <c r="P68" s="1667" t="str">
        <f>Gen_form!AO722</f>
        <v>Large</v>
      </c>
      <c r="Q68" s="1667">
        <f>Gen_form!AP722</f>
        <v>0</v>
      </c>
      <c r="R68" s="1667">
        <f>Gen_form!AQ722</f>
        <v>0</v>
      </c>
      <c r="S68" s="1667">
        <f>Gen_form!AR722</f>
        <v>0</v>
      </c>
      <c r="T68" s="1667">
        <f>Gen_form!AS722</f>
        <v>1</v>
      </c>
      <c r="U68" s="1667">
        <f>Gen_form!AT722</f>
        <v>0</v>
      </c>
      <c r="V68" s="1667">
        <f>Gen_form!AU722</f>
        <v>0</v>
      </c>
      <c r="W68" s="1667">
        <f>Gen_form!AV722</f>
        <v>0</v>
      </c>
      <c r="X68" s="1667">
        <f>Gen_form!AW722</f>
        <v>0</v>
      </c>
      <c r="Y68" s="1667">
        <f>Gen_form!AX722</f>
        <v>0</v>
      </c>
      <c r="Z68" s="1667" t="str">
        <f>Gen_form!AY722</f>
        <v/>
      </c>
      <c r="AA68" s="1667" t="str">
        <f>Gen_form!AZ722</f>
        <v/>
      </c>
      <c r="AB68" s="1667" t="str">
        <f>Gen_form!BA722</f>
        <v/>
      </c>
      <c r="AC68" s="1667" t="str">
        <f>Gen_form!BB722</f>
        <v/>
      </c>
    </row>
    <row r="69" spans="2:29">
      <c r="B69" s="1667">
        <f>Gen_form!AA723</f>
        <v>120</v>
      </c>
      <c r="C69" s="1667">
        <f>Gen_form!AB723</f>
        <v>400</v>
      </c>
      <c r="D69" s="1667">
        <f>Gen_form!AC723</f>
        <v>0.05</v>
      </c>
      <c r="E69" s="1667">
        <f>Gen_form!AD723</f>
        <v>0</v>
      </c>
      <c r="F69" s="1667" t="str">
        <f>Gen_form!AE723</f>
        <v>100-155</v>
      </c>
      <c r="G69" s="1667">
        <f>Gen_form!AF723</f>
        <v>4.5</v>
      </c>
      <c r="H69" s="1667" t="str">
        <f>Gen_form!AG723</f>
        <v>none</v>
      </c>
      <c r="I69" s="1667">
        <f>Gen_form!AH723</f>
        <v>60</v>
      </c>
      <c r="J69" s="1667" t="str">
        <f>Gen_form!AI723</f>
        <v>cm</v>
      </c>
      <c r="K69" s="1667">
        <f>Gen_form!AJ723</f>
        <v>1</v>
      </c>
      <c r="L69" s="1667" t="str">
        <f>Gen_form!AK723</f>
        <v>Low</v>
      </c>
      <c r="M69" s="1667" t="str">
        <f>Gen_form!AL723</f>
        <v>Internal</v>
      </c>
      <c r="N69" s="1667">
        <f>Gen_form!AM723</f>
        <v>0</v>
      </c>
      <c r="O69" s="1667">
        <f>Gen_form!AN723</f>
        <v>0</v>
      </c>
      <c r="P69" s="1667" t="str">
        <f>Gen_form!AO723</f>
        <v>Large</v>
      </c>
      <c r="Q69" s="1667">
        <f>Gen_form!AP723</f>
        <v>0</v>
      </c>
      <c r="R69" s="1667">
        <f>Gen_form!AQ723</f>
        <v>0</v>
      </c>
      <c r="S69" s="1667">
        <f>Gen_form!AR723</f>
        <v>0</v>
      </c>
      <c r="T69" s="1667">
        <f>Gen_form!AS723</f>
        <v>1</v>
      </c>
      <c r="U69" s="1667">
        <f>Gen_form!AT723</f>
        <v>0</v>
      </c>
      <c r="V69" s="1667">
        <f>Gen_form!AU723</f>
        <v>0</v>
      </c>
      <c r="W69" s="1667">
        <f>Gen_form!AV723</f>
        <v>0</v>
      </c>
      <c r="X69" s="1667">
        <f>Gen_form!AW723</f>
        <v>0</v>
      </c>
      <c r="Y69" s="1667">
        <f>Gen_form!AX723</f>
        <v>0</v>
      </c>
      <c r="Z69" s="1667" t="str">
        <f>Gen_form!AY723</f>
        <v/>
      </c>
      <c r="AA69" s="1667" t="str">
        <f>Gen_form!AZ723</f>
        <v/>
      </c>
      <c r="AB69" s="1667" t="str">
        <f>Gen_form!BA723</f>
        <v/>
      </c>
      <c r="AC69" s="1667" t="str">
        <f>Gen_form!BB723</f>
        <v/>
      </c>
    </row>
    <row r="70" spans="2:29">
      <c r="B70" s="1667">
        <f>Gen_form!AA724</f>
        <v>120</v>
      </c>
      <c r="C70" s="1667">
        <f>Gen_form!AB724</f>
        <v>400</v>
      </c>
      <c r="D70" s="1667">
        <f>Gen_form!AC724</f>
        <v>0.05</v>
      </c>
      <c r="E70" s="1667">
        <f>Gen_form!AD724</f>
        <v>0</v>
      </c>
      <c r="F70" s="1667" t="str">
        <f>Gen_form!AE724</f>
        <v>100-155</v>
      </c>
      <c r="G70" s="1667">
        <f>Gen_form!AF724</f>
        <v>4.5</v>
      </c>
      <c r="H70" s="1667" t="str">
        <f>Gen_form!AG724</f>
        <v>none</v>
      </c>
      <c r="I70" s="1667">
        <f>Gen_form!AH724</f>
        <v>60</v>
      </c>
      <c r="J70" s="1667" t="str">
        <f>Gen_form!AI724</f>
        <v>cm</v>
      </c>
      <c r="K70" s="1667">
        <f>Gen_form!AJ724</f>
        <v>1</v>
      </c>
      <c r="L70" s="1667" t="str">
        <f>Gen_form!AK724</f>
        <v>Low</v>
      </c>
      <c r="M70" s="1667" t="str">
        <f>Gen_form!AL724</f>
        <v>Internal</v>
      </c>
      <c r="N70" s="1667">
        <f>Gen_form!AM724</f>
        <v>0</v>
      </c>
      <c r="O70" s="1667">
        <f>Gen_form!AN724</f>
        <v>0</v>
      </c>
      <c r="P70" s="1667" t="str">
        <f>Gen_form!AO724</f>
        <v>Large</v>
      </c>
      <c r="Q70" s="1667">
        <f>Gen_form!AP724</f>
        <v>0</v>
      </c>
      <c r="R70" s="1667">
        <f>Gen_form!AQ724</f>
        <v>0</v>
      </c>
      <c r="S70" s="1667">
        <f>Gen_form!AR724</f>
        <v>0</v>
      </c>
      <c r="T70" s="1667">
        <f>Gen_form!AS724</f>
        <v>1</v>
      </c>
      <c r="U70" s="1667">
        <f>Gen_form!AT724</f>
        <v>0</v>
      </c>
      <c r="V70" s="1667">
        <f>Gen_form!AU724</f>
        <v>0</v>
      </c>
      <c r="W70" s="1667">
        <f>Gen_form!AV724</f>
        <v>0</v>
      </c>
      <c r="X70" s="1667">
        <f>Gen_form!AW724</f>
        <v>0</v>
      </c>
      <c r="Y70" s="1667">
        <f>Gen_form!AX724</f>
        <v>0</v>
      </c>
      <c r="Z70" s="1667" t="str">
        <f>Gen_form!AY724</f>
        <v/>
      </c>
      <c r="AA70" s="1667" t="str">
        <f>Gen_form!AZ724</f>
        <v/>
      </c>
      <c r="AB70" s="1667" t="str">
        <f>Gen_form!BA724</f>
        <v/>
      </c>
      <c r="AC70" s="1667" t="str">
        <f>Gen_form!BB724</f>
        <v/>
      </c>
    </row>
    <row r="71" spans="2:29">
      <c r="B71" s="1667">
        <f>Gen_form!AA725</f>
        <v>120</v>
      </c>
      <c r="C71" s="1667">
        <f>Gen_form!AB725</f>
        <v>400</v>
      </c>
      <c r="D71" s="1667">
        <f>Gen_form!AC725</f>
        <v>0.05</v>
      </c>
      <c r="E71" s="1667">
        <f>Gen_form!AD725</f>
        <v>0</v>
      </c>
      <c r="F71" s="1667" t="str">
        <f>Gen_form!AE725</f>
        <v>100-155</v>
      </c>
      <c r="G71" s="1667">
        <f>Gen_form!AF725</f>
        <v>3.5</v>
      </c>
      <c r="H71" s="1667" t="str">
        <f>Gen_form!AG725</f>
        <v>none</v>
      </c>
      <c r="I71" s="1667">
        <f>Gen_form!AH725</f>
        <v>60</v>
      </c>
      <c r="J71" s="1667" t="str">
        <f>Gen_form!AI725</f>
        <v>cm</v>
      </c>
      <c r="K71" s="1667">
        <f>Gen_form!AJ725</f>
        <v>1</v>
      </c>
      <c r="L71" s="1667" t="str">
        <f>Gen_form!AK725</f>
        <v>Low</v>
      </c>
      <c r="M71" s="1667" t="str">
        <f>Gen_form!AL725</f>
        <v>Internal</v>
      </c>
      <c r="N71" s="1667">
        <f>Gen_form!AM725</f>
        <v>0</v>
      </c>
      <c r="O71" s="1667">
        <f>Gen_form!AN725</f>
        <v>0</v>
      </c>
      <c r="P71" s="1667" t="str">
        <f>Gen_form!AO725</f>
        <v>Large</v>
      </c>
      <c r="Q71" s="1667">
        <f>Gen_form!AP725</f>
        <v>0</v>
      </c>
      <c r="R71" s="1667">
        <f>Gen_form!AQ725</f>
        <v>0</v>
      </c>
      <c r="S71" s="1667">
        <f>Gen_form!AR725</f>
        <v>0</v>
      </c>
      <c r="T71" s="1667">
        <f>Gen_form!AS725</f>
        <v>1</v>
      </c>
      <c r="U71" s="1667">
        <f>Gen_form!AT725</f>
        <v>0</v>
      </c>
      <c r="V71" s="1667">
        <f>Gen_form!AU725</f>
        <v>0</v>
      </c>
      <c r="W71" s="1667">
        <f>Gen_form!AV725</f>
        <v>0</v>
      </c>
      <c r="X71" s="1667">
        <f>Gen_form!AW725</f>
        <v>0</v>
      </c>
      <c r="Y71" s="1667">
        <f>Gen_form!AX725</f>
        <v>0</v>
      </c>
      <c r="Z71" s="1667" t="str">
        <f>Gen_form!AY725</f>
        <v/>
      </c>
      <c r="AA71" s="1667" t="str">
        <f>Gen_form!AZ725</f>
        <v/>
      </c>
      <c r="AB71" s="1667" t="str">
        <f>Gen_form!BA725</f>
        <v/>
      </c>
      <c r="AC71" s="1667" t="str">
        <f>Gen_form!BB725</f>
        <v/>
      </c>
    </row>
    <row r="72" spans="2:29">
      <c r="B72" s="1667">
        <f>Gen_form!AA726</f>
        <v>120</v>
      </c>
      <c r="C72" s="1667">
        <f>Gen_form!AB726</f>
        <v>400</v>
      </c>
      <c r="D72" s="1667">
        <f>Gen_form!AC726</f>
        <v>0.05</v>
      </c>
      <c r="E72" s="1667">
        <f>Gen_form!AD726</f>
        <v>0</v>
      </c>
      <c r="F72" s="1667" t="str">
        <f>Gen_form!AE726</f>
        <v>100-155</v>
      </c>
      <c r="G72" s="1667">
        <f>Gen_form!AF726</f>
        <v>3.5</v>
      </c>
      <c r="H72" s="1667" t="str">
        <f>Gen_form!AG726</f>
        <v>none</v>
      </c>
      <c r="I72" s="1667">
        <f>Gen_form!AH726</f>
        <v>60</v>
      </c>
      <c r="J72" s="1667" t="str">
        <f>Gen_form!AI726</f>
        <v>cm</v>
      </c>
      <c r="K72" s="1667">
        <f>Gen_form!AJ726</f>
        <v>1</v>
      </c>
      <c r="L72" s="1667" t="str">
        <f>Gen_form!AK726</f>
        <v>Low</v>
      </c>
      <c r="M72" s="1667" t="str">
        <f>Gen_form!AL726</f>
        <v>Internal</v>
      </c>
      <c r="N72" s="1667">
        <f>Gen_form!AM726</f>
        <v>0</v>
      </c>
      <c r="O72" s="1667">
        <f>Gen_form!AN726</f>
        <v>0</v>
      </c>
      <c r="P72" s="1667" t="str">
        <f>Gen_form!AO726</f>
        <v>Large</v>
      </c>
      <c r="Q72" s="1667">
        <f>Gen_form!AP726</f>
        <v>0</v>
      </c>
      <c r="R72" s="1667">
        <f>Gen_form!AQ726</f>
        <v>0</v>
      </c>
      <c r="S72" s="1667">
        <f>Gen_form!AR726</f>
        <v>0</v>
      </c>
      <c r="T72" s="1667">
        <f>Gen_form!AS726</f>
        <v>1</v>
      </c>
      <c r="U72" s="1667">
        <f>Gen_form!AT726</f>
        <v>0</v>
      </c>
      <c r="V72" s="1667">
        <f>Gen_form!AU726</f>
        <v>0</v>
      </c>
      <c r="W72" s="1667">
        <f>Gen_form!AV726</f>
        <v>0</v>
      </c>
      <c r="X72" s="1667">
        <f>Gen_form!AW726</f>
        <v>0</v>
      </c>
      <c r="Y72" s="1667">
        <f>Gen_form!AX726</f>
        <v>0</v>
      </c>
      <c r="Z72" s="1667" t="str">
        <f>Gen_form!AY726</f>
        <v/>
      </c>
      <c r="AA72" s="1667" t="str">
        <f>Gen_form!AZ726</f>
        <v/>
      </c>
      <c r="AB72" s="1667" t="str">
        <f>Gen_form!BA726</f>
        <v/>
      </c>
      <c r="AC72" s="1667" t="str">
        <f>Gen_form!BB726</f>
        <v/>
      </c>
    </row>
    <row r="73" spans="2:29">
      <c r="B73" s="1667">
        <f>Gen_form!AA727</f>
        <v>140</v>
      </c>
      <c r="C73" s="1667">
        <f>Gen_form!AB727</f>
        <v>400</v>
      </c>
      <c r="D73" s="1667">
        <f>Gen_form!AC727</f>
        <v>0.05</v>
      </c>
      <c r="E73" s="1667">
        <f>Gen_form!AD727</f>
        <v>0</v>
      </c>
      <c r="F73" s="1667" t="str">
        <f>Gen_form!AE727</f>
        <v>100-155</v>
      </c>
      <c r="G73" s="1667">
        <f>Gen_form!AF727</f>
        <v>0</v>
      </c>
      <c r="H73" s="1667" t="str">
        <f>Gen_form!AG727</f>
        <v>none</v>
      </c>
      <c r="I73" s="1667">
        <f>Gen_form!AH727</f>
        <v>60</v>
      </c>
      <c r="J73" s="1667" t="str">
        <f>Gen_form!AI727</f>
        <v>cm</v>
      </c>
      <c r="K73" s="1667">
        <f>Gen_form!AJ727</f>
        <v>1</v>
      </c>
      <c r="L73" s="1667" t="str">
        <f>Gen_form!AK727</f>
        <v>Low</v>
      </c>
      <c r="M73" s="1667" t="str">
        <f>Gen_form!AL727</f>
        <v>Internal</v>
      </c>
      <c r="N73" s="1667">
        <f>Gen_form!AM727</f>
        <v>0</v>
      </c>
      <c r="O73" s="1667">
        <f>Gen_form!AN727</f>
        <v>0</v>
      </c>
      <c r="P73" s="1667" t="str">
        <f>Gen_form!AO727</f>
        <v>Large</v>
      </c>
      <c r="Q73" s="1667">
        <f>Gen_form!AP727</f>
        <v>0</v>
      </c>
      <c r="R73" s="1667">
        <f>Gen_form!AQ727</f>
        <v>0</v>
      </c>
      <c r="S73" s="1667">
        <f>Gen_form!AR727</f>
        <v>1</v>
      </c>
      <c r="T73" s="1667">
        <f>Gen_form!AS727</f>
        <v>0</v>
      </c>
      <c r="U73" s="1667">
        <f>Gen_form!AT727</f>
        <v>0</v>
      </c>
      <c r="V73" s="1667">
        <f>Gen_form!AU727</f>
        <v>0</v>
      </c>
      <c r="W73" s="1667">
        <f>Gen_form!AV727</f>
        <v>0</v>
      </c>
      <c r="X73" s="1667">
        <f>Gen_form!AW727</f>
        <v>0</v>
      </c>
      <c r="Y73" s="1667">
        <f>Gen_form!AX727</f>
        <v>0</v>
      </c>
      <c r="Z73" s="1667" t="str">
        <f>Gen_form!AY727</f>
        <v/>
      </c>
      <c r="AA73" s="1667" t="str">
        <f>Gen_form!AZ727</f>
        <v/>
      </c>
      <c r="AB73" s="1667" t="str">
        <f>Gen_form!BA727</f>
        <v/>
      </c>
      <c r="AC73" s="1667" t="str">
        <f>Gen_form!BB727</f>
        <v/>
      </c>
    </row>
    <row r="74" spans="2:29">
      <c r="B74" s="1667">
        <f>Gen_form!AA728</f>
        <v>50</v>
      </c>
      <c r="C74" s="1667">
        <f>Gen_form!AB728</f>
        <v>100</v>
      </c>
      <c r="D74" s="1667">
        <f>Gen_form!AC728</f>
        <v>0.1</v>
      </c>
      <c r="E74" s="1667">
        <f>Gen_form!AD728</f>
        <v>0</v>
      </c>
      <c r="F74" s="1667" t="str">
        <f>Gen_form!AE728</f>
        <v>35-60</v>
      </c>
      <c r="G74" s="1667">
        <f>Gen_form!AF728</f>
        <v>0</v>
      </c>
      <c r="H74" s="1667" t="str">
        <f>Gen_form!AG728</f>
        <v>none</v>
      </c>
      <c r="I74" s="1667">
        <f>Gen_form!AH728</f>
        <v>60</v>
      </c>
      <c r="J74" s="1667" t="str">
        <f>Gen_form!AI728</f>
        <v>cm</v>
      </c>
      <c r="K74" s="1667">
        <f>Gen_form!AJ728</f>
        <v>1</v>
      </c>
      <c r="L74" s="1667" t="str">
        <f>Gen_form!AK728</f>
        <v>Low</v>
      </c>
      <c r="M74" s="1667" t="str">
        <f>Gen_form!AL728</f>
        <v>Internal</v>
      </c>
      <c r="N74" s="1667">
        <f>Gen_form!AM728</f>
        <v>0</v>
      </c>
      <c r="O74" s="1667">
        <f>Gen_form!AN728</f>
        <v>0</v>
      </c>
      <c r="P74" s="1667" t="str">
        <f>Gen_form!AO728</f>
        <v>Small</v>
      </c>
      <c r="Q74" s="1667">
        <f>Gen_form!AP728</f>
        <v>0</v>
      </c>
      <c r="R74" s="1667">
        <f>Gen_form!AQ728</f>
        <v>0</v>
      </c>
      <c r="S74" s="1667">
        <f>Gen_form!AR728</f>
        <v>1</v>
      </c>
      <c r="T74" s="1667">
        <f>Gen_form!AS728</f>
        <v>0</v>
      </c>
      <c r="U74" s="1667">
        <f>Gen_form!AT728</f>
        <v>0</v>
      </c>
      <c r="V74" s="1667">
        <f>Gen_form!AU728</f>
        <v>0</v>
      </c>
      <c r="W74" s="1667">
        <f>Gen_form!AV728</f>
        <v>0</v>
      </c>
      <c r="X74" s="1667">
        <f>Gen_form!AW728</f>
        <v>0</v>
      </c>
      <c r="Y74" s="1667">
        <f>Gen_form!AX728</f>
        <v>0</v>
      </c>
      <c r="Z74" s="1667" t="str">
        <f>Gen_form!AY728</f>
        <v/>
      </c>
      <c r="AA74" s="1667" t="str">
        <f>Gen_form!AZ728</f>
        <v/>
      </c>
      <c r="AB74" s="1667" t="str">
        <f>Gen_form!BA728</f>
        <v/>
      </c>
      <c r="AC74" s="1667" t="str">
        <f>Gen_form!BB728</f>
        <v/>
      </c>
    </row>
    <row r="75" spans="2:29">
      <c r="B75" s="1667">
        <f>Gen_form!AA729</f>
        <v>70</v>
      </c>
      <c r="C75" s="1667">
        <f>Gen_form!AB729</f>
        <v>100</v>
      </c>
      <c r="D75" s="1667">
        <f>Gen_form!AC729</f>
        <v>0.1</v>
      </c>
      <c r="E75" s="1667">
        <f>Gen_form!AD729</f>
        <v>0</v>
      </c>
      <c r="F75" s="1667" t="str">
        <f>Gen_form!AE729</f>
        <v>50-85</v>
      </c>
      <c r="G75" s="1667">
        <f>Gen_form!AF729</f>
        <v>0</v>
      </c>
      <c r="H75" s="1667" t="str">
        <f>Gen_form!AG729</f>
        <v>none</v>
      </c>
      <c r="I75" s="1667">
        <f>Gen_form!AH729</f>
        <v>60</v>
      </c>
      <c r="J75" s="1667" t="str">
        <f>Gen_form!AI729</f>
        <v>cm</v>
      </c>
      <c r="K75" s="1667">
        <f>Gen_form!AJ729</f>
        <v>1</v>
      </c>
      <c r="L75" s="1667" t="str">
        <f>Gen_form!AK729</f>
        <v>Low</v>
      </c>
      <c r="M75" s="1667" t="str">
        <f>Gen_form!AL729</f>
        <v>Internal</v>
      </c>
      <c r="N75" s="1667">
        <f>Gen_form!AM729</f>
        <v>0</v>
      </c>
      <c r="O75" s="1667">
        <f>Gen_form!AN729</f>
        <v>0</v>
      </c>
      <c r="P75" s="1667" t="str">
        <f>Gen_form!AO729</f>
        <v>Small</v>
      </c>
      <c r="Q75" s="1667">
        <f>Gen_form!AP729</f>
        <v>0</v>
      </c>
      <c r="R75" s="1667">
        <f>Gen_form!AQ729</f>
        <v>0</v>
      </c>
      <c r="S75" s="1667">
        <f>Gen_form!AR729</f>
        <v>1</v>
      </c>
      <c r="T75" s="1667">
        <f>Gen_form!AS729</f>
        <v>0</v>
      </c>
      <c r="U75" s="1667">
        <f>Gen_form!AT729</f>
        <v>0</v>
      </c>
      <c r="V75" s="1667">
        <f>Gen_form!AU729</f>
        <v>0</v>
      </c>
      <c r="W75" s="1667">
        <f>Gen_form!AV729</f>
        <v>0</v>
      </c>
      <c r="X75" s="1667">
        <f>Gen_form!AW729</f>
        <v>0</v>
      </c>
      <c r="Y75" s="1667">
        <f>Gen_form!AX729</f>
        <v>0</v>
      </c>
      <c r="Z75" s="1667" t="str">
        <f>Gen_form!AY729</f>
        <v/>
      </c>
      <c r="AA75" s="1667" t="str">
        <f>Gen_form!AZ729</f>
        <v/>
      </c>
      <c r="AB75" s="1667" t="str">
        <f>Gen_form!BA729</f>
        <v/>
      </c>
      <c r="AC75" s="1667" t="str">
        <f>Gen_form!BB729</f>
        <v/>
      </c>
    </row>
    <row r="76" spans="2:29">
      <c r="B76" s="1667">
        <f>Gen_form!AA730</f>
        <v>90</v>
      </c>
      <c r="C76" s="1667">
        <f>Gen_form!AB730</f>
        <v>100</v>
      </c>
      <c r="D76" s="1667">
        <f>Gen_form!AC730</f>
        <v>0.1</v>
      </c>
      <c r="E76" s="1667">
        <f>Gen_form!AD730</f>
        <v>0</v>
      </c>
      <c r="F76" s="1667" t="str">
        <f>Gen_form!AE730</f>
        <v>70-120</v>
      </c>
      <c r="G76" s="1667">
        <f>Gen_form!AF730</f>
        <v>0</v>
      </c>
      <c r="H76" s="1667" t="str">
        <f>Gen_form!AG730</f>
        <v>none</v>
      </c>
      <c r="I76" s="1667">
        <f>Gen_form!AH730</f>
        <v>60</v>
      </c>
      <c r="J76" s="1667" t="str">
        <f>Gen_form!AI730</f>
        <v>cm</v>
      </c>
      <c r="K76" s="1667">
        <f>Gen_form!AJ730</f>
        <v>1</v>
      </c>
      <c r="L76" s="1667" t="str">
        <f>Gen_form!AK730</f>
        <v>Low</v>
      </c>
      <c r="M76" s="1667" t="str">
        <f>Gen_form!AL730</f>
        <v>Internal</v>
      </c>
      <c r="N76" s="1667">
        <f>Gen_form!AM730</f>
        <v>0</v>
      </c>
      <c r="O76" s="1667">
        <f>Gen_form!AN730</f>
        <v>0</v>
      </c>
      <c r="P76" s="1667" t="str">
        <f>Gen_form!AO730</f>
        <v>Small</v>
      </c>
      <c r="Q76" s="1667">
        <f>Gen_form!AP730</f>
        <v>0</v>
      </c>
      <c r="R76" s="1667">
        <f>Gen_form!AQ730</f>
        <v>0</v>
      </c>
      <c r="S76" s="1667">
        <f>Gen_form!AR730</f>
        <v>1</v>
      </c>
      <c r="T76" s="1667">
        <f>Gen_form!AS730</f>
        <v>0</v>
      </c>
      <c r="U76" s="1667">
        <f>Gen_form!AT730</f>
        <v>0</v>
      </c>
      <c r="V76" s="1667">
        <f>Gen_form!AU730</f>
        <v>1</v>
      </c>
      <c r="W76" s="1667">
        <f>Gen_form!AV730</f>
        <v>0</v>
      </c>
      <c r="X76" s="1667">
        <f>Gen_form!AW730</f>
        <v>0</v>
      </c>
      <c r="Y76" s="1667">
        <f>Gen_form!AX730</f>
        <v>0</v>
      </c>
      <c r="Z76" s="1667" t="str">
        <f>Gen_form!AY730</f>
        <v/>
      </c>
      <c r="AA76" s="1667" t="str">
        <f>Gen_form!AZ730</f>
        <v/>
      </c>
      <c r="AB76" s="1667" t="str">
        <f>Gen_form!BA730</f>
        <v/>
      </c>
      <c r="AC76" s="1667" t="str">
        <f>Gen_form!BB730</f>
        <v/>
      </c>
    </row>
    <row r="77" spans="2:29">
      <c r="B77" s="1667">
        <f>Gen_form!AA731</f>
        <v>90</v>
      </c>
      <c r="C77" s="1667">
        <f>Gen_form!AB731</f>
        <v>100</v>
      </c>
      <c r="D77" s="1667">
        <f>Gen_form!AC731</f>
        <v>0.1</v>
      </c>
      <c r="E77" s="1667">
        <f>Gen_form!AD731</f>
        <v>0</v>
      </c>
      <c r="F77" s="1667" t="str">
        <f>Gen_form!AE731</f>
        <v>70-120</v>
      </c>
      <c r="G77" s="1667">
        <f>Gen_form!AF731</f>
        <v>0</v>
      </c>
      <c r="H77" s="1667" t="str">
        <f>Gen_form!AG731</f>
        <v>none</v>
      </c>
      <c r="I77" s="1667">
        <f>Gen_form!AH731</f>
        <v>60</v>
      </c>
      <c r="J77" s="1667" t="str">
        <f>Gen_form!AI731</f>
        <v>cm</v>
      </c>
      <c r="K77" s="1667">
        <f>Gen_form!AJ731</f>
        <v>1</v>
      </c>
      <c r="L77" s="1667" t="str">
        <f>Gen_form!AK731</f>
        <v>Low</v>
      </c>
      <c r="M77" s="1667" t="str">
        <f>Gen_form!AL731</f>
        <v>Internal</v>
      </c>
      <c r="N77" s="1667">
        <f>Gen_form!AM731</f>
        <v>0</v>
      </c>
      <c r="O77" s="1667">
        <f>Gen_form!AN731</f>
        <v>0</v>
      </c>
      <c r="P77" s="1667" t="str">
        <f>Gen_form!AO731</f>
        <v>Small</v>
      </c>
      <c r="Q77" s="1667">
        <f>Gen_form!AP731</f>
        <v>0</v>
      </c>
      <c r="R77" s="1667">
        <f>Gen_form!AQ731</f>
        <v>0</v>
      </c>
      <c r="S77" s="1667">
        <f>Gen_form!AR731</f>
        <v>0</v>
      </c>
      <c r="T77" s="1667">
        <f>Gen_form!AS731</f>
        <v>0</v>
      </c>
      <c r="U77" s="1667">
        <f>Gen_form!AT731</f>
        <v>0</v>
      </c>
      <c r="V77" s="1667">
        <f>Gen_form!AU731</f>
        <v>1</v>
      </c>
      <c r="W77" s="1667">
        <f>Gen_form!AV731</f>
        <v>0</v>
      </c>
      <c r="X77" s="1667">
        <f>Gen_form!AW731</f>
        <v>0</v>
      </c>
      <c r="Y77" s="1667">
        <f>Gen_form!AX731</f>
        <v>0</v>
      </c>
      <c r="Z77" s="1667" t="str">
        <f>Gen_form!AY731</f>
        <v/>
      </c>
      <c r="AA77" s="1667" t="str">
        <f>Gen_form!AZ731</f>
        <v/>
      </c>
      <c r="AB77" s="1667" t="str">
        <f>Gen_form!BA731</f>
        <v/>
      </c>
      <c r="AC77" s="1667" t="str">
        <f>Gen_form!BB731</f>
        <v/>
      </c>
    </row>
    <row r="78" spans="2:29">
      <c r="B78" s="1667">
        <f>Gen_form!AA732</f>
        <v>90</v>
      </c>
      <c r="C78" s="1667">
        <f>Gen_form!AB732</f>
        <v>100</v>
      </c>
      <c r="D78" s="1667">
        <f>Gen_form!AC732</f>
        <v>0.1</v>
      </c>
      <c r="E78" s="1667">
        <f>Gen_form!AD732</f>
        <v>0</v>
      </c>
      <c r="F78" s="1667" t="str">
        <f>Gen_form!AE732</f>
        <v>70-120</v>
      </c>
      <c r="G78" s="1667">
        <f>Gen_form!AF732</f>
        <v>0</v>
      </c>
      <c r="H78" s="1667" t="str">
        <f>Gen_form!AG732</f>
        <v>none</v>
      </c>
      <c r="I78" s="1667">
        <f>Gen_form!AH732</f>
        <v>60</v>
      </c>
      <c r="J78" s="1667" t="str">
        <f>Gen_form!AI732</f>
        <v>cm</v>
      </c>
      <c r="K78" s="1667">
        <f>Gen_form!AJ732</f>
        <v>1</v>
      </c>
      <c r="L78" s="1667" t="str">
        <f>Gen_form!AK732</f>
        <v>Low</v>
      </c>
      <c r="M78" s="1667" t="str">
        <f>Gen_form!AL732</f>
        <v>Internal</v>
      </c>
      <c r="N78" s="1667">
        <f>Gen_form!AM732</f>
        <v>0</v>
      </c>
      <c r="O78" s="1667">
        <f>Gen_form!AN732</f>
        <v>1</v>
      </c>
      <c r="P78" s="1667" t="str">
        <f>Gen_form!AO732</f>
        <v>Small</v>
      </c>
      <c r="Q78" s="1667">
        <f>Gen_form!AP732</f>
        <v>0</v>
      </c>
      <c r="R78" s="1667">
        <f>Gen_form!AQ732</f>
        <v>0</v>
      </c>
      <c r="S78" s="1667">
        <f>Gen_form!AR732</f>
        <v>0</v>
      </c>
      <c r="T78" s="1667">
        <f>Gen_form!AS732</f>
        <v>0</v>
      </c>
      <c r="U78" s="1667">
        <f>Gen_form!AT732</f>
        <v>0</v>
      </c>
      <c r="V78" s="1667">
        <f>Gen_form!AU732</f>
        <v>1</v>
      </c>
      <c r="W78" s="1667">
        <f>Gen_form!AV732</f>
        <v>0</v>
      </c>
      <c r="X78" s="1667">
        <f>Gen_form!AW732</f>
        <v>0</v>
      </c>
      <c r="Y78" s="1667">
        <f>Gen_form!AX732</f>
        <v>0</v>
      </c>
      <c r="Z78" s="1667" t="str">
        <f>Gen_form!AY732</f>
        <v/>
      </c>
      <c r="AA78" s="1667" t="str">
        <f>Gen_form!AZ732</f>
        <v/>
      </c>
      <c r="AB78" s="1667" t="str">
        <f>Gen_form!BA732</f>
        <v/>
      </c>
      <c r="AC78" s="1667" t="str">
        <f>Gen_form!BB732</f>
        <v/>
      </c>
    </row>
    <row r="79" spans="2:29">
      <c r="B79" s="1667">
        <f>Gen_form!AA733</f>
        <v>90</v>
      </c>
      <c r="C79" s="1667">
        <f>Gen_form!AB733</f>
        <v>100</v>
      </c>
      <c r="D79" s="1667">
        <f>Gen_form!AC733</f>
        <v>0.1</v>
      </c>
      <c r="E79" s="1667">
        <f>Gen_form!AD733</f>
        <v>0</v>
      </c>
      <c r="F79" s="1667" t="str">
        <f>Gen_form!AE733</f>
        <v>70-120</v>
      </c>
      <c r="G79" s="1667">
        <f>Gen_form!AF733</f>
        <v>0</v>
      </c>
      <c r="H79" s="1667" t="str">
        <f>Gen_form!AG733</f>
        <v>none</v>
      </c>
      <c r="I79" s="1667">
        <f>Gen_form!AH733</f>
        <v>60</v>
      </c>
      <c r="J79" s="1667" t="str">
        <f>Gen_form!AI733</f>
        <v>cm</v>
      </c>
      <c r="K79" s="1667">
        <f>Gen_form!AJ733</f>
        <v>1</v>
      </c>
      <c r="L79" s="1667" t="str">
        <f>Gen_form!AK733</f>
        <v>Low</v>
      </c>
      <c r="M79" s="1667" t="str">
        <f>Gen_form!AL733</f>
        <v>Internal</v>
      </c>
      <c r="N79" s="1667">
        <f>Gen_form!AM733</f>
        <v>0</v>
      </c>
      <c r="O79" s="1667">
        <f>Gen_form!AN733</f>
        <v>0</v>
      </c>
      <c r="P79" s="1667" t="str">
        <f>Gen_form!AO733</f>
        <v>Small</v>
      </c>
      <c r="Q79" s="1667">
        <f>Gen_form!AP733</f>
        <v>0</v>
      </c>
      <c r="R79" s="1667">
        <f>Gen_form!AQ733</f>
        <v>0</v>
      </c>
      <c r="S79" s="1667">
        <f>Gen_form!AR733</f>
        <v>0</v>
      </c>
      <c r="T79" s="1667">
        <f>Gen_form!AS733</f>
        <v>0</v>
      </c>
      <c r="U79" s="1667">
        <f>Gen_form!AT733</f>
        <v>0</v>
      </c>
      <c r="V79" s="1667">
        <f>Gen_form!AU733</f>
        <v>1</v>
      </c>
      <c r="W79" s="1667">
        <f>Gen_form!AV733</f>
        <v>0</v>
      </c>
      <c r="X79" s="1667">
        <f>Gen_form!AW733</f>
        <v>0</v>
      </c>
      <c r="Y79" s="1667">
        <f>Gen_form!AX733</f>
        <v>0</v>
      </c>
      <c r="Z79" s="1667" t="str">
        <f>Gen_form!AY733</f>
        <v/>
      </c>
      <c r="AA79" s="1667" t="str">
        <f>Gen_form!AZ733</f>
        <v/>
      </c>
      <c r="AB79" s="1667" t="str">
        <f>Gen_form!BA733</f>
        <v/>
      </c>
      <c r="AC79" s="1667" t="str">
        <f>Gen_form!BB733</f>
        <v/>
      </c>
    </row>
    <row r="80" spans="2:29">
      <c r="B80" s="1667">
        <f>Gen_form!AA734</f>
        <v>90</v>
      </c>
      <c r="C80" s="1667">
        <f>Gen_form!AB734</f>
        <v>100</v>
      </c>
      <c r="D80" s="1667">
        <f>Gen_form!AC734</f>
        <v>0.1</v>
      </c>
      <c r="E80" s="1667">
        <f>Gen_form!AD734</f>
        <v>0</v>
      </c>
      <c r="F80" s="1667" t="str">
        <f>Gen_form!AE734</f>
        <v>70-120</v>
      </c>
      <c r="G80" s="1667">
        <f>Gen_form!AF734</f>
        <v>0</v>
      </c>
      <c r="H80" s="1667" t="str">
        <f>Gen_form!AG734</f>
        <v>none</v>
      </c>
      <c r="I80" s="1667">
        <f>Gen_form!AH734</f>
        <v>60</v>
      </c>
      <c r="J80" s="1667" t="str">
        <f>Gen_form!AI734</f>
        <v>cm</v>
      </c>
      <c r="K80" s="1667">
        <f>Gen_form!AJ734</f>
        <v>1</v>
      </c>
      <c r="L80" s="1667" t="str">
        <f>Gen_form!AK734</f>
        <v>Low</v>
      </c>
      <c r="M80" s="1667" t="str">
        <f>Gen_form!AL734</f>
        <v>Internal</v>
      </c>
      <c r="N80" s="1667">
        <f>Gen_form!AM734</f>
        <v>0</v>
      </c>
      <c r="O80" s="1667">
        <f>Gen_form!AN734</f>
        <v>0</v>
      </c>
      <c r="P80" s="1667" t="str">
        <f>Gen_form!AO734</f>
        <v>Small</v>
      </c>
      <c r="Q80" s="1667">
        <f>Gen_form!AP734</f>
        <v>0</v>
      </c>
      <c r="R80" s="1667">
        <f>Gen_form!AQ734</f>
        <v>0</v>
      </c>
      <c r="S80" s="1667">
        <f>Gen_form!AR734</f>
        <v>0</v>
      </c>
      <c r="T80" s="1667">
        <f>Gen_form!AS734</f>
        <v>0</v>
      </c>
      <c r="U80" s="1667">
        <f>Gen_form!AT734</f>
        <v>0</v>
      </c>
      <c r="V80" s="1667">
        <f>Gen_form!AU734</f>
        <v>1</v>
      </c>
      <c r="W80" s="1667">
        <f>Gen_form!AV734</f>
        <v>0</v>
      </c>
      <c r="X80" s="1667">
        <f>Gen_form!AW734</f>
        <v>0</v>
      </c>
      <c r="Y80" s="1667">
        <f>Gen_form!AX734</f>
        <v>0</v>
      </c>
      <c r="Z80" s="1667" t="str">
        <f>Gen_form!AY734</f>
        <v/>
      </c>
      <c r="AA80" s="1667" t="str">
        <f>Gen_form!AZ734</f>
        <v/>
      </c>
      <c r="AB80" s="1667" t="str">
        <f>Gen_form!BA734</f>
        <v/>
      </c>
      <c r="AC80" s="1667" t="str">
        <f>Gen_form!BB734</f>
        <v/>
      </c>
    </row>
    <row r="81" spans="1:29">
      <c r="B81" s="1667">
        <f>Gen_form!AA735</f>
        <v>80</v>
      </c>
      <c r="C81" s="1667">
        <f>Gen_form!AB735</f>
        <v>100</v>
      </c>
      <c r="D81" s="1667">
        <f>Gen_form!AC735</f>
        <v>0.1</v>
      </c>
      <c r="E81" s="1667">
        <f>Gen_form!AD735</f>
        <v>0</v>
      </c>
      <c r="F81" s="1667" t="str">
        <f>Gen_form!AE735</f>
        <v>70-120</v>
      </c>
      <c r="G81" s="1667">
        <f>Gen_form!AF735</f>
        <v>0</v>
      </c>
      <c r="H81" s="1667" t="str">
        <f>Gen_form!AG735</f>
        <v>none</v>
      </c>
      <c r="I81" s="1667">
        <f>Gen_form!AH735</f>
        <v>60</v>
      </c>
      <c r="J81" s="1667" t="str">
        <f>Gen_form!AI735</f>
        <v>cm</v>
      </c>
      <c r="K81" s="1667">
        <f>Gen_form!AJ735</f>
        <v>1</v>
      </c>
      <c r="L81" s="1667" t="str">
        <f>Gen_form!AK735</f>
        <v>Low</v>
      </c>
      <c r="M81" s="1667" t="str">
        <f>Gen_form!AL735</f>
        <v>Internal</v>
      </c>
      <c r="N81" s="1667">
        <f>Gen_form!AM735</f>
        <v>0</v>
      </c>
      <c r="O81" s="1667">
        <f>Gen_form!AN735</f>
        <v>0</v>
      </c>
      <c r="P81" s="1667" t="str">
        <f>Gen_form!AO735</f>
        <v>Small</v>
      </c>
      <c r="Q81" s="1667">
        <f>Gen_form!AP735</f>
        <v>0</v>
      </c>
      <c r="R81" s="1667">
        <f>Gen_form!AQ735</f>
        <v>1</v>
      </c>
      <c r="S81" s="1667">
        <f>Gen_form!AR735</f>
        <v>0</v>
      </c>
      <c r="T81" s="1667">
        <f>Gen_form!AS735</f>
        <v>0</v>
      </c>
      <c r="U81" s="1667">
        <f>Gen_form!AT735</f>
        <v>0</v>
      </c>
      <c r="V81" s="1667">
        <f>Gen_form!AU735</f>
        <v>0</v>
      </c>
      <c r="W81" s="1667">
        <f>Gen_form!AV735</f>
        <v>0</v>
      </c>
      <c r="X81" s="1667">
        <f>Gen_form!AW735</f>
        <v>0</v>
      </c>
      <c r="Y81" s="1667">
        <f>Gen_form!AX735</f>
        <v>0</v>
      </c>
      <c r="Z81" s="1667" t="str">
        <f>Gen_form!AY735</f>
        <v/>
      </c>
      <c r="AA81" s="1667" t="str">
        <f>Gen_form!AZ735</f>
        <v/>
      </c>
      <c r="AB81" s="1667" t="str">
        <f>Gen_form!BA735</f>
        <v/>
      </c>
      <c r="AC81" s="1667" t="str">
        <f>Gen_form!BB735</f>
        <v/>
      </c>
    </row>
    <row r="82" spans="1:29">
      <c r="B82" s="1667">
        <f>Gen_form!AA736</f>
        <v>80</v>
      </c>
      <c r="C82" s="1667">
        <f>Gen_form!AB736</f>
        <v>120</v>
      </c>
      <c r="D82" s="1667">
        <f>Gen_form!AC736</f>
        <v>0.1</v>
      </c>
      <c r="E82" s="1667">
        <f>Gen_form!AD736</f>
        <v>0</v>
      </c>
      <c r="F82" s="1667" t="str">
        <f>Gen_form!AE736</f>
        <v>70-120</v>
      </c>
      <c r="G82" s="1667">
        <f>Gen_form!AF736</f>
        <v>0</v>
      </c>
      <c r="H82" s="1667" t="str">
        <f>Gen_form!AG736</f>
        <v>none</v>
      </c>
      <c r="I82" s="1667">
        <f>Gen_form!AH736</f>
        <v>60</v>
      </c>
      <c r="J82" s="1667" t="str">
        <f>Gen_form!AI736</f>
        <v>cm</v>
      </c>
      <c r="K82" s="1667">
        <f>Gen_form!AJ736</f>
        <v>1</v>
      </c>
      <c r="L82" s="1667" t="str">
        <f>Gen_form!AK736</f>
        <v>Low</v>
      </c>
      <c r="M82" s="1667" t="str">
        <f>Gen_form!AL736</f>
        <v>Internal</v>
      </c>
      <c r="N82" s="1667">
        <f>Gen_form!AM736</f>
        <v>0</v>
      </c>
      <c r="O82" s="1667">
        <f>Gen_form!AN736</f>
        <v>0</v>
      </c>
      <c r="P82" s="1667" t="str">
        <f>Gen_form!AO736</f>
        <v>Small</v>
      </c>
      <c r="Q82" s="1667">
        <f>Gen_form!AP736</f>
        <v>0</v>
      </c>
      <c r="R82" s="1667">
        <f>Gen_form!AQ736</f>
        <v>1</v>
      </c>
      <c r="S82" s="1667">
        <f>Gen_form!AR736</f>
        <v>0</v>
      </c>
      <c r="T82" s="1667">
        <f>Gen_form!AS736</f>
        <v>0</v>
      </c>
      <c r="U82" s="1667">
        <f>Gen_form!AT736</f>
        <v>0</v>
      </c>
      <c r="V82" s="1667">
        <f>Gen_form!AU736</f>
        <v>0</v>
      </c>
      <c r="W82" s="1667">
        <f>Gen_form!AV736</f>
        <v>0</v>
      </c>
      <c r="X82" s="1667">
        <f>Gen_form!AW736</f>
        <v>0</v>
      </c>
      <c r="Y82" s="1667">
        <f>Gen_form!AX736</f>
        <v>0</v>
      </c>
      <c r="Z82" s="1667" t="str">
        <f>Gen_form!AY736</f>
        <v/>
      </c>
      <c r="AA82" s="1667" t="str">
        <f>Gen_form!AZ736</f>
        <v/>
      </c>
      <c r="AB82" s="1667" t="str">
        <f>Gen_form!BA736</f>
        <v/>
      </c>
      <c r="AC82" s="1667" t="str">
        <f>Gen_form!BB736</f>
        <v/>
      </c>
    </row>
    <row r="83" spans="1:29">
      <c r="B83" s="1667">
        <f>Gen_form!AA737</f>
        <v>80</v>
      </c>
      <c r="C83" s="1667">
        <f>Gen_form!AB737</f>
        <v>250</v>
      </c>
      <c r="D83" s="1667">
        <f>Gen_form!AC737</f>
        <v>0.1</v>
      </c>
      <c r="E83" s="1667">
        <f>Gen_form!AD737</f>
        <v>0</v>
      </c>
      <c r="F83" s="1667" t="str">
        <f>Gen_form!AE737</f>
        <v>70-120</v>
      </c>
      <c r="G83" s="1667">
        <f>Gen_form!AF737</f>
        <v>0</v>
      </c>
      <c r="H83" s="1667" t="str">
        <f>Gen_form!AG737</f>
        <v>none</v>
      </c>
      <c r="I83" s="1667">
        <f>Gen_form!AH737</f>
        <v>60</v>
      </c>
      <c r="J83" s="1667" t="str">
        <f>Gen_form!AI737</f>
        <v>cm</v>
      </c>
      <c r="K83" s="1667">
        <f>Gen_form!AJ737</f>
        <v>1</v>
      </c>
      <c r="L83" s="1667" t="str">
        <f>Gen_form!AK737</f>
        <v>High</v>
      </c>
      <c r="M83" s="1667" t="str">
        <f>Gen_form!AL737</f>
        <v>Internal</v>
      </c>
      <c r="N83" s="1667">
        <f>Gen_form!AM737</f>
        <v>0</v>
      </c>
      <c r="O83" s="1667">
        <f>Gen_form!AN737</f>
        <v>0</v>
      </c>
      <c r="P83" s="1667" t="str">
        <f>Gen_form!AO737</f>
        <v>Small</v>
      </c>
      <c r="Q83" s="1667">
        <f>Gen_form!AP737</f>
        <v>0</v>
      </c>
      <c r="R83" s="1667">
        <f>Gen_form!AQ737</f>
        <v>1</v>
      </c>
      <c r="S83" s="1667">
        <f>Gen_form!AR737</f>
        <v>0</v>
      </c>
      <c r="T83" s="1667">
        <f>Gen_form!AS737</f>
        <v>0</v>
      </c>
      <c r="U83" s="1667">
        <f>Gen_form!AT737</f>
        <v>0</v>
      </c>
      <c r="V83" s="1667">
        <f>Gen_form!AU737</f>
        <v>0</v>
      </c>
      <c r="W83" s="1667">
        <f>Gen_form!AV737</f>
        <v>0</v>
      </c>
      <c r="X83" s="1667">
        <f>Gen_form!AW737</f>
        <v>0</v>
      </c>
      <c r="Y83" s="1667">
        <f>Gen_form!AX737</f>
        <v>0</v>
      </c>
      <c r="Z83" s="1667" t="str">
        <f>Gen_form!AY737</f>
        <v/>
      </c>
      <c r="AA83" s="1667" t="str">
        <f>Gen_form!AZ737</f>
        <v/>
      </c>
      <c r="AB83" s="1667" t="str">
        <f>Gen_form!BA737</f>
        <v/>
      </c>
      <c r="AC83" s="1667" t="str">
        <f>Gen_form!BB737</f>
        <v/>
      </c>
    </row>
    <row r="84" spans="1:29">
      <c r="B84" s="1667">
        <f>Gen_form!AA738</f>
        <v>80</v>
      </c>
      <c r="C84" s="1667">
        <f>Gen_form!AB738</f>
        <v>50</v>
      </c>
      <c r="D84" s="1667">
        <f>Gen_form!AC738</f>
        <v>0.1</v>
      </c>
      <c r="E84" s="1667">
        <f>Gen_form!AD738</f>
        <v>0</v>
      </c>
      <c r="F84" s="1667" t="str">
        <f>Gen_form!AE738</f>
        <v>70-120</v>
      </c>
      <c r="G84" s="1667">
        <f>Gen_form!AF738</f>
        <v>0</v>
      </c>
      <c r="H84" s="1667" t="str">
        <f>Gen_form!AG738</f>
        <v>none</v>
      </c>
      <c r="I84" s="1667">
        <f>Gen_form!AH738</f>
        <v>60</v>
      </c>
      <c r="J84" s="1667" t="str">
        <f>Gen_form!AI738</f>
        <v>cm</v>
      </c>
      <c r="K84" s="1667">
        <f>Gen_form!AJ738</f>
        <v>1</v>
      </c>
      <c r="L84" s="1667" t="str">
        <f>Gen_form!AK738</f>
        <v>High</v>
      </c>
      <c r="M84" s="1667" t="str">
        <f>Gen_form!AL738</f>
        <v>Internal</v>
      </c>
      <c r="N84" s="1667">
        <f>Gen_form!AM738</f>
        <v>0</v>
      </c>
      <c r="O84" s="1667">
        <f>Gen_form!AN738</f>
        <v>0</v>
      </c>
      <c r="P84" s="1667" t="str">
        <f>Gen_form!AO738</f>
        <v>Small</v>
      </c>
      <c r="Q84" s="1667">
        <f>Gen_form!AP738</f>
        <v>0</v>
      </c>
      <c r="R84" s="1667">
        <f>Gen_form!AQ738</f>
        <v>1</v>
      </c>
      <c r="S84" s="1667">
        <f>Gen_form!AR738</f>
        <v>0</v>
      </c>
      <c r="T84" s="1667">
        <f>Gen_form!AS738</f>
        <v>0</v>
      </c>
      <c r="U84" s="1667">
        <f>Gen_form!AT738</f>
        <v>0</v>
      </c>
      <c r="V84" s="1667">
        <f>Gen_form!AU738</f>
        <v>0</v>
      </c>
      <c r="W84" s="1667">
        <f>Gen_form!AV738</f>
        <v>0</v>
      </c>
      <c r="X84" s="1667">
        <f>Gen_form!AW738</f>
        <v>0</v>
      </c>
      <c r="Y84" s="1667">
        <f>Gen_form!AX738</f>
        <v>0</v>
      </c>
      <c r="Z84" s="1667" t="str">
        <f>Gen_form!AY738</f>
        <v/>
      </c>
      <c r="AA84" s="1667" t="str">
        <f>Gen_form!AZ738</f>
        <v/>
      </c>
      <c r="AB84" s="1667" t="str">
        <f>Gen_form!BA738</f>
        <v/>
      </c>
      <c r="AC84" s="1667" t="str">
        <f>Gen_form!BB738</f>
        <v/>
      </c>
    </row>
    <row r="85" spans="1:29">
      <c r="B85" s="1667">
        <f>Gen_form!AA739</f>
        <v>80</v>
      </c>
      <c r="C85" s="1667">
        <f>Gen_form!AB739</f>
        <v>150</v>
      </c>
      <c r="D85" s="1667">
        <f>Gen_form!AC739</f>
        <v>0.1</v>
      </c>
      <c r="E85" s="1667">
        <f>Gen_form!AD739</f>
        <v>0</v>
      </c>
      <c r="F85" s="1667" t="str">
        <f>Gen_form!AE739</f>
        <v>70-120</v>
      </c>
      <c r="G85" s="1667">
        <f>Gen_form!AF739</f>
        <v>0</v>
      </c>
      <c r="H85" s="1667" t="str">
        <f>Gen_form!AG739</f>
        <v>none</v>
      </c>
      <c r="I85" s="1667">
        <f>Gen_form!AH739</f>
        <v>60</v>
      </c>
      <c r="J85" s="1667" t="str">
        <f>Gen_form!AI739</f>
        <v>cm</v>
      </c>
      <c r="K85" s="1667">
        <f>Gen_form!AJ739</f>
        <v>1</v>
      </c>
      <c r="L85" s="1667" t="str">
        <f>Gen_form!AK739</f>
        <v>Low</v>
      </c>
      <c r="M85" s="1667" t="str">
        <f>Gen_form!AL739</f>
        <v>Internal</v>
      </c>
      <c r="N85" s="1667">
        <f>Gen_form!AM739</f>
        <v>0</v>
      </c>
      <c r="O85" s="1667">
        <f>Gen_form!AN739</f>
        <v>0</v>
      </c>
      <c r="P85" s="1667" t="str">
        <f>Gen_form!AO739</f>
        <v>Small</v>
      </c>
      <c r="Q85" s="1667">
        <f>Gen_form!AP739</f>
        <v>0</v>
      </c>
      <c r="R85" s="1667">
        <f>Gen_form!AQ739</f>
        <v>1</v>
      </c>
      <c r="S85" s="1667">
        <f>Gen_form!AR739</f>
        <v>0</v>
      </c>
      <c r="T85" s="1667">
        <f>Gen_form!AS739</f>
        <v>0</v>
      </c>
      <c r="U85" s="1667">
        <f>Gen_form!AT739</f>
        <v>0</v>
      </c>
      <c r="V85" s="1667">
        <f>Gen_form!AU739</f>
        <v>0</v>
      </c>
      <c r="W85" s="1667">
        <f>Gen_form!AV739</f>
        <v>0</v>
      </c>
      <c r="X85" s="1667">
        <f>Gen_form!AW739</f>
        <v>0</v>
      </c>
      <c r="Y85" s="1667">
        <f>Gen_form!AX739</f>
        <v>0</v>
      </c>
      <c r="Z85" s="1667" t="str">
        <f>Gen_form!AY739</f>
        <v/>
      </c>
      <c r="AA85" s="1667" t="str">
        <f>Gen_form!AZ739</f>
        <v/>
      </c>
      <c r="AB85" s="1667" t="str">
        <f>Gen_form!BA739</f>
        <v/>
      </c>
      <c r="AC85" s="1667" t="str">
        <f>Gen_form!BB739</f>
        <v/>
      </c>
    </row>
    <row r="86" spans="1:29">
      <c r="B86" s="1667">
        <f>Gen_form!AA740</f>
        <v>110</v>
      </c>
      <c r="C86" s="1667">
        <f>Gen_form!AB740</f>
        <v>100</v>
      </c>
      <c r="D86" s="1667">
        <f>Gen_form!AC740</f>
        <v>0.1</v>
      </c>
      <c r="E86" s="1667">
        <f>Gen_form!AD740</f>
        <v>0</v>
      </c>
      <c r="F86" s="1667" t="str">
        <f>Gen_form!AE740</f>
        <v>70-120</v>
      </c>
      <c r="G86" s="1667">
        <f>Gen_form!AF740</f>
        <v>0</v>
      </c>
      <c r="H86" s="1667" t="str">
        <f>Gen_form!AG740</f>
        <v>none</v>
      </c>
      <c r="I86" s="1667">
        <f>Gen_form!AH740</f>
        <v>60</v>
      </c>
      <c r="J86" s="1667" t="str">
        <f>Gen_form!AI740</f>
        <v>cm</v>
      </c>
      <c r="K86" s="1667">
        <f>Gen_form!AJ740</f>
        <v>1</v>
      </c>
      <c r="L86" s="1667" t="str">
        <f>Gen_form!AK740</f>
        <v>Low</v>
      </c>
      <c r="M86" s="1667" t="str">
        <f>Gen_form!AL740</f>
        <v>Internal</v>
      </c>
      <c r="N86" s="1667">
        <f>Gen_form!AM740</f>
        <v>0</v>
      </c>
      <c r="O86" s="1667">
        <f>Gen_form!AN740</f>
        <v>0</v>
      </c>
      <c r="P86" s="1667" t="str">
        <f>Gen_form!AO740</f>
        <v>Small</v>
      </c>
      <c r="Q86" s="1667">
        <f>Gen_form!AP740</f>
        <v>0</v>
      </c>
      <c r="R86" s="1667">
        <f>Gen_form!AQ740</f>
        <v>0</v>
      </c>
      <c r="S86" s="1667">
        <f>Gen_form!AR740</f>
        <v>1</v>
      </c>
      <c r="T86" s="1667">
        <f>Gen_form!AS740</f>
        <v>0</v>
      </c>
      <c r="U86" s="1667">
        <f>Gen_form!AT740</f>
        <v>0</v>
      </c>
      <c r="V86" s="1667">
        <f>Gen_form!AU740</f>
        <v>0</v>
      </c>
      <c r="W86" s="1667">
        <f>Gen_form!AV740</f>
        <v>0</v>
      </c>
      <c r="X86" s="1667">
        <f>Gen_form!AW740</f>
        <v>0</v>
      </c>
      <c r="Y86" s="1667">
        <f>Gen_form!AX740</f>
        <v>0</v>
      </c>
      <c r="Z86" s="1667" t="str">
        <f>Gen_form!AY740</f>
        <v/>
      </c>
      <c r="AA86" s="1667" t="str">
        <f>Gen_form!AZ740</f>
        <v/>
      </c>
      <c r="AB86" s="1667" t="str">
        <f>Gen_form!BA740</f>
        <v/>
      </c>
      <c r="AC86" s="1667" t="str">
        <f>Gen_form!BB740</f>
        <v/>
      </c>
    </row>
    <row r="87" spans="1:29">
      <c r="B87" s="1667">
        <f>Gen_form!AA741</f>
        <v>130</v>
      </c>
      <c r="C87" s="1667">
        <f>Gen_form!AB741</f>
        <v>100</v>
      </c>
      <c r="D87" s="1667">
        <f>Gen_form!AC741</f>
        <v>0.1</v>
      </c>
      <c r="E87" s="1667">
        <f>Gen_form!AD741</f>
        <v>0</v>
      </c>
      <c r="F87" s="1667" t="str">
        <f>Gen_form!AE741</f>
        <v>100-155</v>
      </c>
      <c r="G87" s="1667">
        <f>Gen_form!AF741</f>
        <v>0</v>
      </c>
      <c r="H87" s="1667" t="str">
        <f>Gen_form!AG741</f>
        <v>none</v>
      </c>
      <c r="I87" s="1667">
        <f>Gen_form!AH741</f>
        <v>60</v>
      </c>
      <c r="J87" s="1667" t="str">
        <f>Gen_form!AI741</f>
        <v>cm</v>
      </c>
      <c r="K87" s="1667">
        <f>Gen_form!AJ741</f>
        <v>1</v>
      </c>
      <c r="L87" s="1667" t="str">
        <f>Gen_form!AK741</f>
        <v>Low</v>
      </c>
      <c r="M87" s="1667" t="str">
        <f>Gen_form!AL741</f>
        <v>Internal</v>
      </c>
      <c r="N87" s="1667">
        <f>Gen_form!AM741</f>
        <v>0</v>
      </c>
      <c r="O87" s="1667">
        <f>Gen_form!AN741</f>
        <v>0</v>
      </c>
      <c r="P87" s="1667" t="str">
        <f>Gen_form!AO741</f>
        <v>Small</v>
      </c>
      <c r="Q87" s="1667">
        <f>Gen_form!AP741</f>
        <v>0</v>
      </c>
      <c r="R87" s="1667">
        <f>Gen_form!AQ741</f>
        <v>0</v>
      </c>
      <c r="S87" s="1667">
        <f>Gen_form!AR741</f>
        <v>1</v>
      </c>
      <c r="T87" s="1667">
        <f>Gen_form!AS741</f>
        <v>0</v>
      </c>
      <c r="U87" s="1667">
        <f>Gen_form!AT741</f>
        <v>0</v>
      </c>
      <c r="V87" s="1667">
        <f>Gen_form!AU741</f>
        <v>0</v>
      </c>
      <c r="W87" s="1667">
        <f>Gen_form!AV741</f>
        <v>0</v>
      </c>
      <c r="X87" s="1667">
        <f>Gen_form!AW741</f>
        <v>0</v>
      </c>
      <c r="Y87" s="1667">
        <f>Gen_form!AX741</f>
        <v>0</v>
      </c>
      <c r="Z87" s="1667" t="str">
        <f>Gen_form!AY741</f>
        <v/>
      </c>
      <c r="AA87" s="1667" t="str">
        <f>Gen_form!AZ741</f>
        <v/>
      </c>
      <c r="AB87" s="1667" t="str">
        <f>Gen_form!BA741</f>
        <v/>
      </c>
      <c r="AC87" s="1667" t="str">
        <f>Gen_form!BB741</f>
        <v/>
      </c>
    </row>
    <row r="88" spans="1:29">
      <c r="B88" s="1667">
        <f>Gen_form!AA742</f>
        <v>80</v>
      </c>
      <c r="C88" s="1667">
        <f>Gen_form!AB742</f>
        <v>200</v>
      </c>
      <c r="D88" s="1667">
        <f>Gen_form!AC742</f>
        <v>0.01</v>
      </c>
      <c r="E88" s="1667">
        <f>Gen_form!AD742</f>
        <v>0</v>
      </c>
      <c r="F88" s="1667" t="str">
        <f>Gen_form!AE742</f>
        <v>70-120</v>
      </c>
      <c r="G88" s="1667">
        <f>Gen_form!AF742</f>
        <v>0</v>
      </c>
      <c r="H88" s="1667" t="str">
        <f>Gen_form!AG742</f>
        <v>none</v>
      </c>
      <c r="I88" s="1667">
        <f>Gen_form!AH742</f>
        <v>60</v>
      </c>
      <c r="J88" s="1667" t="str">
        <f>Gen_form!AI742</f>
        <v>cm</v>
      </c>
      <c r="K88" s="1667">
        <f>Gen_form!AJ742</f>
        <v>1</v>
      </c>
      <c r="L88" s="1667" t="str">
        <f>Gen_form!AK742</f>
        <v>Low</v>
      </c>
      <c r="M88" s="1667" t="str">
        <f>Gen_form!AL742</f>
        <v>Internal</v>
      </c>
      <c r="N88" s="1667">
        <f>Gen_form!AM742</f>
        <v>0</v>
      </c>
      <c r="O88" s="1667">
        <f>Gen_form!AN742</f>
        <v>1</v>
      </c>
      <c r="P88" s="1667" t="str">
        <f>Gen_form!AO742</f>
        <v>Large</v>
      </c>
      <c r="Q88" s="1667">
        <f>Gen_form!AP742</f>
        <v>0</v>
      </c>
      <c r="R88" s="1667">
        <f>Gen_form!AQ742</f>
        <v>0</v>
      </c>
      <c r="S88" s="1667">
        <f>Gen_form!AR742</f>
        <v>1</v>
      </c>
      <c r="T88" s="1667">
        <f>Gen_form!AS742</f>
        <v>0</v>
      </c>
      <c r="U88" s="1667">
        <f>Gen_form!AT742</f>
        <v>0</v>
      </c>
      <c r="V88" s="1667">
        <f>Gen_form!AU742</f>
        <v>0</v>
      </c>
      <c r="W88" s="1667">
        <f>Gen_form!AV742</f>
        <v>0</v>
      </c>
      <c r="X88" s="1667">
        <f>Gen_form!AW742</f>
        <v>0</v>
      </c>
      <c r="Y88" s="1667">
        <f>Gen_form!AX742</f>
        <v>0</v>
      </c>
      <c r="Z88" s="1667" t="str">
        <f>Gen_form!AY742</f>
        <v/>
      </c>
      <c r="AA88" s="1667" t="str">
        <f>Gen_form!AZ742</f>
        <v/>
      </c>
      <c r="AB88" s="1667" t="str">
        <f>Gen_form!BA742</f>
        <v/>
      </c>
      <c r="AC88" s="1667" t="str">
        <f>Gen_form!BB742</f>
        <v/>
      </c>
    </row>
    <row r="89" spans="1:29">
      <c r="B89" s="1667">
        <f>Gen_form!AA743</f>
        <v>80</v>
      </c>
      <c r="C89" s="1667">
        <f>Gen_form!AB743</f>
        <v>200</v>
      </c>
      <c r="D89" s="1667">
        <f>Gen_form!AC743</f>
        <v>0.02</v>
      </c>
      <c r="E89" s="1667">
        <f>Gen_form!AD743</f>
        <v>0</v>
      </c>
      <c r="F89" s="1667" t="str">
        <f>Gen_form!AE743</f>
        <v>70-120</v>
      </c>
      <c r="G89" s="1667">
        <f>Gen_form!AF743</f>
        <v>0</v>
      </c>
      <c r="H89" s="1667" t="str">
        <f>Gen_form!AG743</f>
        <v>none</v>
      </c>
      <c r="I89" s="1667">
        <f>Gen_form!AH743</f>
        <v>60</v>
      </c>
      <c r="J89" s="1667" t="str">
        <f>Gen_form!AI743</f>
        <v>cm</v>
      </c>
      <c r="K89" s="1667">
        <f>Gen_form!AJ743</f>
        <v>1</v>
      </c>
      <c r="L89" s="1667" t="str">
        <f>Gen_form!AK743</f>
        <v>Low</v>
      </c>
      <c r="M89" s="1667" t="str">
        <f>Gen_form!AL743</f>
        <v>Internal</v>
      </c>
      <c r="N89" s="1667">
        <f>Gen_form!AM743</f>
        <v>0</v>
      </c>
      <c r="O89" s="1667">
        <f>Gen_form!AN743</f>
        <v>1</v>
      </c>
      <c r="P89" s="1667" t="str">
        <f>Gen_form!AO743</f>
        <v>Large</v>
      </c>
      <c r="Q89" s="1667">
        <f>Gen_form!AP743</f>
        <v>0</v>
      </c>
      <c r="R89" s="1667">
        <f>Gen_form!AQ743</f>
        <v>0</v>
      </c>
      <c r="S89" s="1667">
        <f>Gen_form!AR743</f>
        <v>1</v>
      </c>
      <c r="T89" s="1667">
        <f>Gen_form!AS743</f>
        <v>0</v>
      </c>
      <c r="U89" s="1667">
        <f>Gen_form!AT743</f>
        <v>0</v>
      </c>
      <c r="V89" s="1667">
        <f>Gen_form!AU743</f>
        <v>0</v>
      </c>
      <c r="W89" s="1667">
        <f>Gen_form!AV743</f>
        <v>0</v>
      </c>
      <c r="X89" s="1667">
        <f>Gen_form!AW743</f>
        <v>0</v>
      </c>
      <c r="Y89" s="1667">
        <f>Gen_form!AX743</f>
        <v>0</v>
      </c>
      <c r="Z89" s="1667" t="str">
        <f>Gen_form!AY743</f>
        <v/>
      </c>
      <c r="AA89" s="1667" t="str">
        <f>Gen_form!AZ743</f>
        <v/>
      </c>
      <c r="AB89" s="1667" t="str">
        <f>Gen_form!BA743</f>
        <v/>
      </c>
      <c r="AC89" s="1667" t="str">
        <f>Gen_form!BB743</f>
        <v/>
      </c>
    </row>
    <row r="90" spans="1:29">
      <c r="B90" s="1667">
        <f>Gen_form!AA744</f>
        <v>80</v>
      </c>
      <c r="C90" s="1667">
        <f>Gen_form!AB744</f>
        <v>200</v>
      </c>
      <c r="D90" s="1667">
        <f>Gen_form!AC744</f>
        <v>0.04</v>
      </c>
      <c r="E90" s="1667">
        <f>Gen_form!AD744</f>
        <v>0</v>
      </c>
      <c r="F90" s="1667" t="str">
        <f>Gen_form!AE744</f>
        <v>70-120</v>
      </c>
      <c r="G90" s="1667">
        <f>Gen_form!AF744</f>
        <v>0</v>
      </c>
      <c r="H90" s="1667" t="str">
        <f>Gen_form!AG744</f>
        <v>none</v>
      </c>
      <c r="I90" s="1667">
        <f>Gen_form!AH744</f>
        <v>60</v>
      </c>
      <c r="J90" s="1667" t="str">
        <f>Gen_form!AI744</f>
        <v>cm</v>
      </c>
      <c r="K90" s="1667">
        <f>Gen_form!AJ744</f>
        <v>1</v>
      </c>
      <c r="L90" s="1667" t="str">
        <f>Gen_form!AK744</f>
        <v>Low</v>
      </c>
      <c r="M90" s="1667" t="str">
        <f>Gen_form!AL744</f>
        <v>Internal</v>
      </c>
      <c r="N90" s="1667">
        <f>Gen_form!AM744</f>
        <v>0</v>
      </c>
      <c r="O90" s="1667">
        <f>Gen_form!AN744</f>
        <v>1</v>
      </c>
      <c r="P90" s="1667" t="str">
        <f>Gen_form!AO744</f>
        <v>Large</v>
      </c>
      <c r="Q90" s="1667">
        <f>Gen_form!AP744</f>
        <v>0</v>
      </c>
      <c r="R90" s="1667">
        <f>Gen_form!AQ744</f>
        <v>0</v>
      </c>
      <c r="S90" s="1667">
        <f>Gen_form!AR744</f>
        <v>1</v>
      </c>
      <c r="T90" s="1667">
        <f>Gen_form!AS744</f>
        <v>0</v>
      </c>
      <c r="U90" s="1667">
        <f>Gen_form!AT744</f>
        <v>0</v>
      </c>
      <c r="V90" s="1667">
        <f>Gen_form!AU744</f>
        <v>0</v>
      </c>
      <c r="W90" s="1667">
        <f>Gen_form!AV744</f>
        <v>0</v>
      </c>
      <c r="X90" s="1667">
        <f>Gen_form!AW744</f>
        <v>0</v>
      </c>
      <c r="Y90" s="1667">
        <f>Gen_form!AX744</f>
        <v>0</v>
      </c>
      <c r="Z90" s="1667" t="str">
        <f>Gen_form!AY744</f>
        <v/>
      </c>
      <c r="AA90" s="1667" t="str">
        <f>Gen_form!AZ744</f>
        <v/>
      </c>
      <c r="AB90" s="1667" t="str">
        <f>Gen_form!BA744</f>
        <v/>
      </c>
      <c r="AC90" s="1667" t="str">
        <f>Gen_form!BB744</f>
        <v/>
      </c>
    </row>
    <row r="91" spans="1:29">
      <c r="B91" s="1667">
        <f>Gen_form!AA745</f>
        <v>80</v>
      </c>
      <c r="C91" s="1667">
        <f>Gen_form!AB745</f>
        <v>200</v>
      </c>
      <c r="D91" s="1667">
        <f>Gen_form!AC745</f>
        <v>0.1</v>
      </c>
      <c r="E91" s="1667">
        <f>Gen_form!AD745</f>
        <v>0</v>
      </c>
      <c r="F91" s="1667" t="str">
        <f>Gen_form!AE745</f>
        <v>70-120</v>
      </c>
      <c r="G91" s="1667">
        <f>Gen_form!AF745</f>
        <v>0</v>
      </c>
      <c r="H91" s="1667" t="str">
        <f>Gen_form!AG745</f>
        <v>none</v>
      </c>
      <c r="I91" s="1667">
        <f>Gen_form!AH745</f>
        <v>60</v>
      </c>
      <c r="J91" s="1667" t="str">
        <f>Gen_form!AI745</f>
        <v>cm</v>
      </c>
      <c r="K91" s="1667">
        <f>Gen_form!AJ745</f>
        <v>1</v>
      </c>
      <c r="L91" s="1667" t="str">
        <f>Gen_form!AK745</f>
        <v>Low</v>
      </c>
      <c r="M91" s="1667" t="str">
        <f>Gen_form!AL745</f>
        <v>Internal</v>
      </c>
      <c r="N91" s="1667">
        <f>Gen_form!AM745</f>
        <v>0</v>
      </c>
      <c r="O91" s="1667">
        <f>Gen_form!AN745</f>
        <v>0</v>
      </c>
      <c r="P91" s="1667" t="str">
        <f>Gen_form!AO745</f>
        <v>Large</v>
      </c>
      <c r="Q91" s="1667">
        <f>Gen_form!AP745</f>
        <v>0</v>
      </c>
      <c r="R91" s="1667">
        <f>Gen_form!AQ745</f>
        <v>0</v>
      </c>
      <c r="S91" s="1667">
        <f>Gen_form!AR745</f>
        <v>1</v>
      </c>
      <c r="T91" s="1667">
        <f>Gen_form!AS745</f>
        <v>0</v>
      </c>
      <c r="U91" s="1667">
        <f>Gen_form!AT745</f>
        <v>0</v>
      </c>
      <c r="V91" s="1667">
        <f>Gen_form!AU745</f>
        <v>0</v>
      </c>
      <c r="W91" s="1667">
        <f>Gen_form!AV745</f>
        <v>0</v>
      </c>
      <c r="X91" s="1667">
        <f>Gen_form!AW745</f>
        <v>0</v>
      </c>
      <c r="Y91" s="1667">
        <f>Gen_form!AX745</f>
        <v>0</v>
      </c>
      <c r="Z91" s="1667" t="str">
        <f>Gen_form!AY745</f>
        <v/>
      </c>
      <c r="AA91" s="1667" t="str">
        <f>Gen_form!AZ745</f>
        <v/>
      </c>
      <c r="AB91" s="1667" t="str">
        <f>Gen_form!BA745</f>
        <v/>
      </c>
      <c r="AC91" s="1667" t="str">
        <f>Gen_form!BB745</f>
        <v/>
      </c>
    </row>
    <row r="92" spans="1:29">
      <c r="B92" s="1667">
        <f>Gen_form!AA746</f>
        <v>80</v>
      </c>
      <c r="C92" s="1667">
        <f>Gen_form!AB746</f>
        <v>200</v>
      </c>
      <c r="D92" s="1667">
        <f>Gen_form!AC746</f>
        <v>0.25</v>
      </c>
      <c r="E92" s="1667">
        <f>Gen_form!AD746</f>
        <v>0</v>
      </c>
      <c r="F92" s="1667" t="str">
        <f>Gen_form!AE746</f>
        <v>70-120</v>
      </c>
      <c r="G92" s="1667">
        <f>Gen_form!AF746</f>
        <v>0</v>
      </c>
      <c r="H92" s="1667" t="str">
        <f>Gen_form!AG746</f>
        <v>none</v>
      </c>
      <c r="I92" s="1667">
        <f>Gen_form!AH746</f>
        <v>60</v>
      </c>
      <c r="J92" s="1667" t="str">
        <f>Gen_form!AI746</f>
        <v>cm</v>
      </c>
      <c r="K92" s="1667">
        <f>Gen_form!AJ746</f>
        <v>1</v>
      </c>
      <c r="L92" s="1667" t="str">
        <f>Gen_form!AK746</f>
        <v>Low</v>
      </c>
      <c r="M92" s="1667" t="str">
        <f>Gen_form!AL746</f>
        <v>Internal</v>
      </c>
      <c r="N92" s="1667">
        <f>Gen_form!AM746</f>
        <v>0</v>
      </c>
      <c r="O92" s="1667">
        <f>Gen_form!AN746</f>
        <v>0</v>
      </c>
      <c r="P92" s="1667" t="str">
        <f>Gen_form!AO746</f>
        <v>Large</v>
      </c>
      <c r="Q92" s="1667">
        <f>Gen_form!AP746</f>
        <v>0</v>
      </c>
      <c r="R92" s="1667">
        <f>Gen_form!AQ746</f>
        <v>0</v>
      </c>
      <c r="S92" s="1667">
        <f>Gen_form!AR746</f>
        <v>1</v>
      </c>
      <c r="T92" s="1667">
        <f>Gen_form!AS746</f>
        <v>0</v>
      </c>
      <c r="U92" s="1667">
        <f>Gen_form!AT746</f>
        <v>0</v>
      </c>
      <c r="V92" s="1667">
        <f>Gen_form!AU746</f>
        <v>0</v>
      </c>
      <c r="W92" s="1667">
        <f>Gen_form!AV746</f>
        <v>0</v>
      </c>
      <c r="X92" s="1667">
        <f>Gen_form!AW746</f>
        <v>0</v>
      </c>
      <c r="Y92" s="1667">
        <f>Gen_form!AX746</f>
        <v>0</v>
      </c>
      <c r="Z92" s="1667" t="str">
        <f>Gen_form!AY746</f>
        <v/>
      </c>
      <c r="AA92" s="1667" t="str">
        <f>Gen_form!AZ746</f>
        <v/>
      </c>
      <c r="AB92" s="1667" t="str">
        <f>Gen_form!BA746</f>
        <v/>
      </c>
      <c r="AC92" s="1667" t="str">
        <f>Gen_form!BB746</f>
        <v/>
      </c>
    </row>
    <row r="93" spans="1:29">
      <c r="B93" s="1667">
        <f>Gen_form!AA747</f>
        <v>80</v>
      </c>
      <c r="C93" s="1667">
        <f>Gen_form!AB747</f>
        <v>200</v>
      </c>
      <c r="D93" s="1667">
        <f>Gen_form!AC747</f>
        <v>0.4</v>
      </c>
      <c r="E93" s="1667">
        <f>Gen_form!AD747</f>
        <v>0</v>
      </c>
      <c r="F93" s="1667" t="str">
        <f>Gen_form!AE747</f>
        <v>70-120</v>
      </c>
      <c r="G93" s="1667">
        <f>Gen_form!AF747</f>
        <v>0</v>
      </c>
      <c r="H93" s="1667" t="str">
        <f>Gen_form!AG747</f>
        <v>none</v>
      </c>
      <c r="I93" s="1667">
        <f>Gen_form!AH747</f>
        <v>60</v>
      </c>
      <c r="J93" s="1667" t="str">
        <f>Gen_form!AI747</f>
        <v>cm</v>
      </c>
      <c r="K93" s="1667">
        <f>Gen_form!AJ747</f>
        <v>1</v>
      </c>
      <c r="L93" s="1667" t="str">
        <f>Gen_form!AK747</f>
        <v>Low</v>
      </c>
      <c r="M93" s="1667" t="str">
        <f>Gen_form!AL747</f>
        <v>Internal</v>
      </c>
      <c r="N93" s="1667">
        <f>Gen_form!AM747</f>
        <v>0</v>
      </c>
      <c r="O93" s="1667">
        <f>Gen_form!AN747</f>
        <v>0</v>
      </c>
      <c r="P93" s="1667" t="str">
        <f>Gen_form!AO747</f>
        <v>Large</v>
      </c>
      <c r="Q93" s="1667">
        <f>Gen_form!AP747</f>
        <v>0</v>
      </c>
      <c r="R93" s="1667">
        <f>Gen_form!AQ747</f>
        <v>0</v>
      </c>
      <c r="S93" s="1667">
        <f>Gen_form!AR747</f>
        <v>1</v>
      </c>
      <c r="T93" s="1667">
        <f>Gen_form!AS747</f>
        <v>0</v>
      </c>
      <c r="U93" s="1667">
        <f>Gen_form!AT747</f>
        <v>0</v>
      </c>
      <c r="V93" s="1667">
        <f>Gen_form!AU747</f>
        <v>0</v>
      </c>
      <c r="W93" s="1667">
        <f>Gen_form!AV747</f>
        <v>0</v>
      </c>
      <c r="X93" s="1667">
        <f>Gen_form!AW747</f>
        <v>0</v>
      </c>
      <c r="Y93" s="1667">
        <f>Gen_form!AX747</f>
        <v>0</v>
      </c>
      <c r="Z93" s="1667" t="str">
        <f>Gen_form!AY747</f>
        <v/>
      </c>
      <c r="AA93" s="1667" t="str">
        <f>Gen_form!AZ747</f>
        <v/>
      </c>
      <c r="AB93" s="1667" t="str">
        <f>Gen_form!BA747</f>
        <v/>
      </c>
      <c r="AC93" s="1667" t="str">
        <f>Gen_form!BB747</f>
        <v/>
      </c>
    </row>
    <row r="94" spans="1:29">
      <c r="A94" t="s">
        <v>254</v>
      </c>
      <c r="B94" s="1667">
        <f>Gen_form!Y969</f>
        <v>0</v>
      </c>
      <c r="C94" s="1667">
        <f>Gen_form!Z969</f>
        <v>0</v>
      </c>
    </row>
    <row r="95" spans="1:29">
      <c r="B95" s="1667" t="e">
        <f>Gen_form!Y970</f>
        <v>#DIV/0!</v>
      </c>
      <c r="C95" s="1667" t="e">
        <f>Gen_form!Z970</f>
        <v>#DIV/0!</v>
      </c>
    </row>
    <row r="96" spans="1:29">
      <c r="B96" s="1667">
        <f>Gen_form!Y971</f>
        <v>0</v>
      </c>
      <c r="C96" s="1667">
        <f>Gen_form!Z971</f>
        <v>0</v>
      </c>
    </row>
    <row r="97" spans="2:3">
      <c r="B97" s="1667" t="e">
        <f>Gen_form!Y972</f>
        <v>#DIV/0!</v>
      </c>
      <c r="C97" s="1667" t="str">
        <f>Gen_form!Z972</f>
        <v>TBD</v>
      </c>
    </row>
    <row r="98" spans="2:3">
      <c r="B98" s="1667" t="e">
        <f>Gen_form!Y973</f>
        <v>#DIV/0!</v>
      </c>
      <c r="C98" s="1667" t="e">
        <f>Gen_form!Z973</f>
        <v>#DIV/0!</v>
      </c>
    </row>
    <row r="99" spans="2:3">
      <c r="B99" s="1667" t="e">
        <f>Gen_form!Y974</f>
        <v>#DIV/0!</v>
      </c>
      <c r="C99" s="1667" t="e">
        <f>Gen_form!Z974</f>
        <v>#DIV/0!</v>
      </c>
    </row>
    <row r="100" spans="2:3">
      <c r="B100" s="1667">
        <f>Gen_form!Y975</f>
        <v>0</v>
      </c>
      <c r="C100" s="1667">
        <f>Gen_form!Z975</f>
        <v>0</v>
      </c>
    </row>
    <row r="101" spans="2:3">
      <c r="B101" s="1667" t="e">
        <f>Gen_form!Y976</f>
        <v>#DIV/0!</v>
      </c>
      <c r="C101" s="1667" t="e">
        <f>Gen_form!Z976</f>
        <v>#DIV/0!</v>
      </c>
    </row>
    <row r="102" spans="2:3">
      <c r="B102" s="1667">
        <f>Gen_form!Y977</f>
        <v>0</v>
      </c>
      <c r="C102" s="1667">
        <f>Gen_form!Z977</f>
        <v>0</v>
      </c>
    </row>
    <row r="103" spans="2:3">
      <c r="B103" s="1667">
        <f>Gen_form!Y978</f>
        <v>0</v>
      </c>
      <c r="C103" s="1667">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2017-10-24T18:13:54Z</dcterms:modified>
</cp:coreProperties>
</file>