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80184F9B-B3D1-40DF-8CFA-20FF0CCD625F}" xr6:coauthVersionLast="45" xr6:coauthVersionMax="45" xr10:uidLastSave="{00000000-0000-0000-0000-000000000000}"/>
  <bookViews>
    <workbookView xWindow="-120" yWindow="-120" windowWidth="20730" windowHeight="11760" xr2:uid="{600693EE-9BB5-4437-A85F-4343B57EC4B0}"/>
  </bookViews>
  <sheets>
    <sheet name="Sheet1" sheetId="1" r:id="rId1"/>
    <sheet name="Tables" sheetId="3" r:id="rId2"/>
    <sheet name="Data Entry" sheetId="4" r:id="rId3"/>
  </sheets>
  <definedNames>
    <definedName name="ACRPhantom">#REF!</definedName>
    <definedName name="ALUM" localSheetId="0">Sheet1!$J$128:$J$129</definedName>
    <definedName name="AUTO_MA" localSheetId="0">Sheet1!$I$91</definedName>
    <definedName name="AUTO_MANUAL">Sheet1!$B$91</definedName>
    <definedName name="Comments">#REF!</definedName>
    <definedName name="CTDI">#REF!</definedName>
    <definedName name="DHALF">Sheet1!$I$128:$I$131</definedName>
    <definedName name="First">#REF!</definedName>
    <definedName name="Huttner">#REF!</definedName>
    <definedName name="HVL" localSheetId="0">Sheet1!$K$128</definedName>
    <definedName name="HVL_KV">Sheet1!$B$127</definedName>
    <definedName name="LEEDS_KV">Sheet1!$I$227</definedName>
    <definedName name="LeedsMS">#REF!</definedName>
    <definedName name="LeedsN3">#REF!</definedName>
    <definedName name="LNEXP" localSheetId="0">Sheet1!$K$132:$K$133</definedName>
    <definedName name="TO10Group">#REF!</definedName>
    <definedName name="TO10kVAdj">Tables!$A$30:$E$44</definedName>
    <definedName name="TO10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E287" i="1" s="1"/>
  <c r="D265" i="1"/>
  <c r="D252" i="1"/>
  <c r="D179" i="1"/>
  <c r="D196" i="1"/>
  <c r="D233" i="1"/>
  <c r="D119" i="1"/>
  <c r="S161" i="1"/>
  <c r="D282" i="1"/>
  <c r="S160" i="1"/>
  <c r="S158" i="1"/>
  <c r="S159" i="1"/>
  <c r="S157" i="1"/>
  <c r="C271" i="1"/>
  <c r="C272" i="1"/>
  <c r="C270" i="1"/>
  <c r="H191" i="1"/>
  <c r="E280" i="1"/>
  <c r="F280" i="1"/>
  <c r="G280" i="1"/>
  <c r="H280" i="1"/>
  <c r="E279" i="1"/>
  <c r="F279" i="1"/>
  <c r="G279" i="1"/>
  <c r="H279" i="1"/>
  <c r="D280" i="1"/>
  <c r="D279" i="1"/>
  <c r="D281" i="1" l="1"/>
  <c r="D284" i="1"/>
  <c r="D283" i="1"/>
  <c r="S194" i="1" l="1"/>
  <c r="S193" i="1"/>
  <c r="S192" i="1"/>
  <c r="S191" i="1"/>
  <c r="S190" i="1"/>
  <c r="S189" i="1"/>
  <c r="S188" i="1"/>
  <c r="S187" i="1"/>
  <c r="S186" i="1"/>
  <c r="S185" i="1"/>
  <c r="S184" i="1"/>
  <c r="S183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8" i="1"/>
  <c r="S167" i="1"/>
  <c r="S166" i="1"/>
  <c r="S165" i="1"/>
  <c r="S164" i="1"/>
  <c r="S163" i="1"/>
  <c r="S162" i="1"/>
  <c r="K217" i="1" l="1"/>
  <c r="K216" i="1"/>
  <c r="K215" i="1"/>
  <c r="J217" i="1"/>
  <c r="J216" i="1"/>
  <c r="J215" i="1"/>
  <c r="I215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E221" i="1" s="1"/>
  <c r="D215" i="1"/>
  <c r="C219" i="1"/>
  <c r="C218" i="1"/>
  <c r="C217" i="1"/>
  <c r="C216" i="1"/>
  <c r="C215" i="1"/>
  <c r="C221" i="1" s="1"/>
  <c r="B215" i="1"/>
  <c r="B208" i="1"/>
  <c r="H210" i="1"/>
  <c r="G210" i="1"/>
  <c r="F210" i="1"/>
  <c r="E210" i="1"/>
  <c r="D210" i="1"/>
  <c r="I210" i="1" s="1"/>
  <c r="C210" i="1"/>
  <c r="B210" i="1"/>
  <c r="H209" i="1"/>
  <c r="G209" i="1"/>
  <c r="F209" i="1"/>
  <c r="E209" i="1"/>
  <c r="D209" i="1"/>
  <c r="I209" i="1" s="1"/>
  <c r="C209" i="1"/>
  <c r="B209" i="1"/>
  <c r="H208" i="1"/>
  <c r="G208" i="1"/>
  <c r="F208" i="1"/>
  <c r="K218" i="1" s="1"/>
  <c r="E208" i="1"/>
  <c r="D208" i="1"/>
  <c r="I208" i="1" s="1"/>
  <c r="C208" i="1"/>
  <c r="J218" i="1" s="1"/>
  <c r="H207" i="1"/>
  <c r="G207" i="1"/>
  <c r="F207" i="1"/>
  <c r="E207" i="1"/>
  <c r="D207" i="1"/>
  <c r="I207" i="1" s="1"/>
  <c r="C207" i="1"/>
  <c r="B207" i="1"/>
  <c r="L101" i="1"/>
  <c r="K101" i="1"/>
  <c r="J101" i="1"/>
  <c r="I101" i="1"/>
  <c r="H101" i="1"/>
  <c r="G101" i="1"/>
  <c r="F101" i="1"/>
  <c r="E10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D101" i="1"/>
  <c r="S153" i="1"/>
  <c r="S152" i="1"/>
  <c r="S151" i="1"/>
  <c r="S150" i="1"/>
  <c r="S149" i="1"/>
  <c r="S148" i="1"/>
  <c r="S79" i="1"/>
  <c r="S136" i="1"/>
  <c r="S137" i="1"/>
  <c r="S138" i="1"/>
  <c r="S139" i="1"/>
  <c r="S140" i="1"/>
  <c r="S141" i="1"/>
  <c r="S142" i="1"/>
  <c r="S143" i="1"/>
  <c r="S144" i="1"/>
  <c r="S145" i="1"/>
  <c r="S146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23" i="1"/>
  <c r="S111" i="1"/>
  <c r="S122" i="1"/>
  <c r="S121" i="1"/>
  <c r="S120" i="1"/>
  <c r="S119" i="1"/>
  <c r="S118" i="1"/>
  <c r="S117" i="1"/>
  <c r="S116" i="1"/>
  <c r="S115" i="1"/>
  <c r="S114" i="1"/>
  <c r="S113" i="1"/>
  <c r="S112" i="1"/>
  <c r="S106" i="1"/>
  <c r="J244" i="1"/>
  <c r="I244" i="1"/>
  <c r="H244" i="1"/>
  <c r="G239" i="1"/>
  <c r="J245" i="1" s="1"/>
  <c r="S105" i="1"/>
  <c r="S96" i="1"/>
  <c r="S95" i="1"/>
  <c r="S94" i="1"/>
  <c r="S93" i="1"/>
  <c r="S92" i="1"/>
  <c r="S91" i="1"/>
  <c r="S90" i="1"/>
  <c r="S89" i="1"/>
  <c r="S88" i="1"/>
  <c r="S82" i="1"/>
  <c r="S77" i="1"/>
  <c r="S76" i="1"/>
  <c r="S75" i="1"/>
  <c r="S73" i="1"/>
  <c r="S69" i="1"/>
  <c r="S72" i="1"/>
  <c r="S71" i="1"/>
  <c r="S70" i="1"/>
  <c r="S67" i="1"/>
  <c r="S66" i="1"/>
  <c r="S65" i="1"/>
  <c r="S64" i="1"/>
  <c r="S63" i="1"/>
  <c r="S62" i="1"/>
  <c r="S61" i="1"/>
  <c r="S56" i="1"/>
  <c r="S54" i="1"/>
  <c r="S53" i="1"/>
  <c r="S52" i="1"/>
  <c r="S42" i="1"/>
  <c r="S41" i="1"/>
  <c r="S40" i="1"/>
  <c r="S37" i="1"/>
  <c r="S38" i="1"/>
  <c r="S36" i="1"/>
  <c r="S35" i="1"/>
  <c r="S34" i="1"/>
  <c r="S33" i="1"/>
  <c r="S32" i="1"/>
  <c r="S31" i="1"/>
  <c r="S30" i="1"/>
  <c r="S29" i="1"/>
  <c r="S28" i="1"/>
  <c r="S24" i="1"/>
  <c r="S25" i="1"/>
  <c r="S26" i="1"/>
  <c r="S23" i="1"/>
  <c r="S21" i="1"/>
  <c r="S22" i="1"/>
  <c r="S20" i="1"/>
  <c r="S18" i="1"/>
  <c r="S16" i="1"/>
  <c r="S17" i="1"/>
  <c r="S15" i="1"/>
  <c r="S14" i="1"/>
  <c r="S13" i="1"/>
  <c r="S12" i="1"/>
  <c r="S11" i="1"/>
  <c r="S10" i="1"/>
  <c r="S8" i="1"/>
  <c r="S9" i="1"/>
  <c r="S7" i="1"/>
  <c r="R7" i="1" s="1"/>
  <c r="F262" i="1"/>
  <c r="F261" i="1"/>
  <c r="F260" i="1"/>
  <c r="F259" i="1"/>
  <c r="B257" i="1"/>
  <c r="I261" i="1" s="1"/>
  <c r="I263" i="1" s="1"/>
  <c r="C58" i="3"/>
  <c r="C57" i="3"/>
  <c r="C56" i="3"/>
  <c r="C55" i="3"/>
  <c r="C54" i="3"/>
  <c r="C53" i="3"/>
  <c r="C52" i="3"/>
  <c r="C51" i="3"/>
  <c r="C50" i="3"/>
  <c r="C49" i="3"/>
  <c r="C48" i="3"/>
  <c r="C47" i="3"/>
  <c r="I227" i="1"/>
  <c r="Q72" i="3" s="1"/>
  <c r="H194" i="1"/>
  <c r="H193" i="1"/>
  <c r="H192" i="1"/>
  <c r="H190" i="1"/>
  <c r="H189" i="1"/>
  <c r="H188" i="1"/>
  <c r="H187" i="1"/>
  <c r="H186" i="1"/>
  <c r="F171" i="1"/>
  <c r="J171" i="1" s="1"/>
  <c r="E171" i="1"/>
  <c r="E175" i="1" s="1"/>
  <c r="D171" i="1"/>
  <c r="D175" i="1" s="1"/>
  <c r="I175" i="1"/>
  <c r="S86" i="1" s="1"/>
  <c r="H175" i="1"/>
  <c r="S84" i="1" s="1"/>
  <c r="I174" i="1"/>
  <c r="S85" i="1" s="1"/>
  <c r="H174" i="1"/>
  <c r="S83" i="1" s="1"/>
  <c r="K175" i="1"/>
  <c r="J175" i="1"/>
  <c r="K174" i="1"/>
  <c r="J174" i="1"/>
  <c r="H171" i="1"/>
  <c r="J137" i="1"/>
  <c r="K137" i="1"/>
  <c r="L111" i="1"/>
  <c r="K111" i="1"/>
  <c r="J111" i="1"/>
  <c r="I111" i="1"/>
  <c r="H111" i="1"/>
  <c r="G111" i="1"/>
  <c r="F111" i="1"/>
  <c r="E111" i="1"/>
  <c r="D111" i="1"/>
  <c r="J98" i="1"/>
  <c r="G98" i="1"/>
  <c r="D98" i="1"/>
  <c r="B108" i="1"/>
  <c r="J241" i="1" s="1"/>
  <c r="B105" i="1"/>
  <c r="D239" i="1" s="1"/>
  <c r="B102" i="1"/>
  <c r="B228" i="1" s="1"/>
  <c r="I93" i="1"/>
  <c r="I94" i="1"/>
  <c r="I92" i="1"/>
  <c r="I91" i="1"/>
  <c r="B95" i="1"/>
  <c r="B94" i="1"/>
  <c r="B93" i="1"/>
  <c r="B92" i="1"/>
  <c r="B91" i="1"/>
  <c r="F112" i="1" s="1"/>
  <c r="B35" i="1"/>
  <c r="J38" i="1"/>
  <c r="J35" i="1"/>
  <c r="I28" i="1"/>
  <c r="I27" i="1"/>
  <c r="I24" i="1"/>
  <c r="I23" i="1"/>
  <c r="I22" i="1"/>
  <c r="I16" i="1"/>
  <c r="D30" i="1"/>
  <c r="D29" i="1"/>
  <c r="D28" i="1"/>
  <c r="D26" i="1"/>
  <c r="D25" i="1"/>
  <c r="D24" i="1"/>
  <c r="D22" i="1"/>
  <c r="D21" i="1"/>
  <c r="I19" i="1"/>
  <c r="I18" i="1"/>
  <c r="I17" i="1"/>
  <c r="D18" i="1"/>
  <c r="D17" i="1"/>
  <c r="D16" i="1"/>
  <c r="I13" i="1"/>
  <c r="D14" i="1"/>
  <c r="I12" i="1"/>
  <c r="I11" i="1"/>
  <c r="I10" i="1"/>
  <c r="D13" i="1"/>
  <c r="D12" i="1"/>
  <c r="D11" i="1"/>
  <c r="D10" i="1"/>
  <c r="K6" i="1"/>
  <c r="D7" i="1"/>
  <c r="P3" i="1"/>
  <c r="S44" i="1"/>
  <c r="S45" i="1"/>
  <c r="S46" i="1"/>
  <c r="S47" i="1"/>
  <c r="S48" i="1"/>
  <c r="S49" i="1"/>
  <c r="S50" i="1"/>
  <c r="S43" i="1"/>
  <c r="J45" i="1"/>
  <c r="J44" i="1"/>
  <c r="J43" i="1"/>
  <c r="J42" i="1"/>
  <c r="J41" i="1"/>
  <c r="J40" i="1"/>
  <c r="J39" i="1"/>
  <c r="I112" i="1" l="1"/>
  <c r="L112" i="1"/>
  <c r="C220" i="1"/>
  <c r="C222" i="1" s="1"/>
  <c r="C223" i="1" s="1"/>
  <c r="E220" i="1"/>
  <c r="E222" i="1" s="1"/>
  <c r="E223" i="1" s="1"/>
  <c r="S74" i="1"/>
  <c r="D174" i="1"/>
  <c r="B229" i="1"/>
  <c r="C189" i="1"/>
  <c r="G99" i="1"/>
  <c r="P92" i="1" s="1"/>
  <c r="C193" i="1"/>
  <c r="C259" i="1"/>
  <c r="C260" i="1"/>
  <c r="S108" i="1" s="1"/>
  <c r="E23" i="3"/>
  <c r="E11" i="3"/>
  <c r="C62" i="3"/>
  <c r="E62" i="3"/>
  <c r="O62" i="3"/>
  <c r="K64" i="3"/>
  <c r="G66" i="3"/>
  <c r="Q67" i="3"/>
  <c r="G70" i="3"/>
  <c r="O70" i="3"/>
  <c r="S72" i="3"/>
  <c r="R72" i="3" s="1"/>
  <c r="E174" i="1"/>
  <c r="C186" i="1"/>
  <c r="C190" i="1"/>
  <c r="C194" i="1"/>
  <c r="B230" i="1"/>
  <c r="H241" i="1"/>
  <c r="E8" i="3"/>
  <c r="E22" i="3"/>
  <c r="E18" i="3"/>
  <c r="E14" i="3"/>
  <c r="E10" i="3"/>
  <c r="C61" i="3"/>
  <c r="C69" i="3"/>
  <c r="C65" i="3"/>
  <c r="E61" i="3"/>
  <c r="E69" i="3"/>
  <c r="E65" i="3"/>
  <c r="G61" i="3"/>
  <c r="O61" i="3"/>
  <c r="I62" i="3"/>
  <c r="Q62" i="3"/>
  <c r="K63" i="3"/>
  <c r="S63" i="3"/>
  <c r="M64" i="3"/>
  <c r="G65" i="3"/>
  <c r="O65" i="3"/>
  <c r="I66" i="3"/>
  <c r="Q66" i="3"/>
  <c r="K67" i="3"/>
  <c r="S67" i="3"/>
  <c r="M68" i="3"/>
  <c r="G69" i="3"/>
  <c r="O69" i="3"/>
  <c r="I70" i="3"/>
  <c r="Q70" i="3"/>
  <c r="K71" i="3"/>
  <c r="S71" i="3"/>
  <c r="M72" i="3"/>
  <c r="E15" i="3"/>
  <c r="E70" i="3"/>
  <c r="F70" i="3" s="1"/>
  <c r="M61" i="3"/>
  <c r="N61" i="3" s="1"/>
  <c r="I63" i="3"/>
  <c r="J63" i="3" s="1"/>
  <c r="S64" i="3"/>
  <c r="O66" i="3"/>
  <c r="P66" i="3" s="1"/>
  <c r="S68" i="3"/>
  <c r="Q71" i="3"/>
  <c r="S98" i="1"/>
  <c r="C187" i="1"/>
  <c r="C191" i="1"/>
  <c r="C239" i="1"/>
  <c r="I241" i="1"/>
  <c r="E25" i="3"/>
  <c r="E21" i="3"/>
  <c r="E17" i="3"/>
  <c r="E13" i="3"/>
  <c r="E9" i="3"/>
  <c r="C72" i="3"/>
  <c r="C68" i="3"/>
  <c r="C64" i="3"/>
  <c r="E72" i="3"/>
  <c r="E68" i="3"/>
  <c r="E64" i="3"/>
  <c r="I61" i="3"/>
  <c r="Q61" i="3"/>
  <c r="P61" i="3" s="1"/>
  <c r="K62" i="3"/>
  <c r="J62" i="3" s="1"/>
  <c r="S62" i="3"/>
  <c r="M63" i="3"/>
  <c r="L63" i="3" s="1"/>
  <c r="G64" i="3"/>
  <c r="O64" i="3"/>
  <c r="I65" i="3"/>
  <c r="Q65" i="3"/>
  <c r="P65" i="3" s="1"/>
  <c r="K66" i="3"/>
  <c r="S66" i="3"/>
  <c r="M67" i="3"/>
  <c r="G68" i="3"/>
  <c r="O68" i="3"/>
  <c r="I69" i="3"/>
  <c r="Q69" i="3"/>
  <c r="K70" i="3"/>
  <c r="J70" i="3" s="1"/>
  <c r="S70" i="3"/>
  <c r="R70" i="3" s="1"/>
  <c r="M71" i="3"/>
  <c r="G72" i="3"/>
  <c r="O72" i="3"/>
  <c r="P72" i="3" s="1"/>
  <c r="E239" i="1"/>
  <c r="E19" i="3"/>
  <c r="C70" i="3"/>
  <c r="C66" i="3"/>
  <c r="E66" i="3"/>
  <c r="F66" i="3" s="1"/>
  <c r="G62" i="3"/>
  <c r="H62" i="3" s="1"/>
  <c r="Q63" i="3"/>
  <c r="M65" i="3"/>
  <c r="N65" i="3" s="1"/>
  <c r="I67" i="3"/>
  <c r="K68" i="3"/>
  <c r="L68" i="3" s="1"/>
  <c r="M69" i="3"/>
  <c r="I71" i="3"/>
  <c r="K72" i="3"/>
  <c r="L72" i="3" s="1"/>
  <c r="C188" i="1"/>
  <c r="C192" i="1"/>
  <c r="E24" i="3"/>
  <c r="E20" i="3"/>
  <c r="E16" i="3"/>
  <c r="E12" i="3"/>
  <c r="E26" i="3"/>
  <c r="C71" i="3"/>
  <c r="C67" i="3"/>
  <c r="C63" i="3"/>
  <c r="E71" i="3"/>
  <c r="E67" i="3"/>
  <c r="E63" i="3"/>
  <c r="K61" i="3"/>
  <c r="S61" i="3"/>
  <c r="M62" i="3"/>
  <c r="N62" i="3" s="1"/>
  <c r="G63" i="3"/>
  <c r="H63" i="3" s="1"/>
  <c r="O63" i="3"/>
  <c r="P63" i="3" s="1"/>
  <c r="I64" i="3"/>
  <c r="Q64" i="3"/>
  <c r="K65" i="3"/>
  <c r="L65" i="3" s="1"/>
  <c r="S65" i="3"/>
  <c r="M66" i="3"/>
  <c r="G67" i="3"/>
  <c r="H67" i="3" s="1"/>
  <c r="O67" i="3"/>
  <c r="P67" i="3" s="1"/>
  <c r="I68" i="3"/>
  <c r="Q68" i="3"/>
  <c r="K69" i="3"/>
  <c r="S69" i="3"/>
  <c r="M70" i="3"/>
  <c r="G71" i="3"/>
  <c r="H71" i="3" s="1"/>
  <c r="O71" i="3"/>
  <c r="P71" i="3" s="1"/>
  <c r="I72" i="3"/>
  <c r="P93" i="1"/>
  <c r="B189" i="1"/>
  <c r="P91" i="1"/>
  <c r="H61" i="3"/>
  <c r="H245" i="1"/>
  <c r="I245" i="1"/>
  <c r="J64" i="3"/>
  <c r="C261" i="1"/>
  <c r="S109" i="1" s="1"/>
  <c r="C262" i="1"/>
  <c r="N64" i="3" l="1"/>
  <c r="L67" i="3"/>
  <c r="R62" i="3"/>
  <c r="L71" i="3"/>
  <c r="H69" i="3"/>
  <c r="R66" i="3"/>
  <c r="L64" i="3"/>
  <c r="J67" i="3"/>
  <c r="N66" i="3"/>
  <c r="J71" i="3"/>
  <c r="N70" i="3"/>
  <c r="J68" i="3"/>
  <c r="R65" i="3"/>
  <c r="L61" i="3"/>
  <c r="N69" i="3"/>
  <c r="R63" i="3"/>
  <c r="D70" i="3"/>
  <c r="P69" i="3"/>
  <c r="H65" i="3"/>
  <c r="R71" i="3"/>
  <c r="L70" i="3"/>
  <c r="R69" i="3"/>
  <c r="D61" i="3"/>
  <c r="L69" i="3"/>
  <c r="D63" i="3"/>
  <c r="D71" i="3"/>
  <c r="D62" i="3"/>
  <c r="P68" i="3"/>
  <c r="L66" i="3"/>
  <c r="N68" i="3"/>
  <c r="H64" i="3"/>
  <c r="D261" i="1"/>
  <c r="S110" i="1"/>
  <c r="F71" i="3"/>
  <c r="D66" i="3"/>
  <c r="H68" i="3"/>
  <c r="N63" i="3"/>
  <c r="J61" i="3"/>
  <c r="D64" i="3"/>
  <c r="R64" i="3"/>
  <c r="F61" i="3"/>
  <c r="P70" i="3"/>
  <c r="H72" i="3"/>
  <c r="N67" i="3"/>
  <c r="J65" i="3"/>
  <c r="F64" i="3"/>
  <c r="D68" i="3"/>
  <c r="N72" i="3"/>
  <c r="D65" i="3"/>
  <c r="H70" i="3"/>
  <c r="P62" i="3"/>
  <c r="F67" i="3"/>
  <c r="J72" i="3"/>
  <c r="J66" i="3"/>
  <c r="F63" i="3"/>
  <c r="D67" i="3"/>
  <c r="N71" i="3"/>
  <c r="J69" i="3"/>
  <c r="P64" i="3"/>
  <c r="L62" i="3"/>
  <c r="F68" i="3"/>
  <c r="D72" i="3"/>
  <c r="R68" i="3"/>
  <c r="F65" i="3"/>
  <c r="D69" i="3"/>
  <c r="R67" i="3"/>
  <c r="F62" i="3"/>
  <c r="R61" i="3"/>
  <c r="F72" i="3"/>
  <c r="F69" i="3"/>
  <c r="H66" i="3"/>
  <c r="D259" i="1"/>
  <c r="E259" i="1" s="1"/>
  <c r="G262" i="1" s="1"/>
  <c r="S107" i="1"/>
  <c r="E266" i="1" l="1"/>
  <c r="E253" i="1"/>
  <c r="E234" i="1"/>
  <c r="E197" i="1"/>
  <c r="E180" i="1"/>
  <c r="E160" i="1"/>
  <c r="G160" i="1" s="1"/>
  <c r="E164" i="1"/>
  <c r="G164" i="1" s="1"/>
  <c r="E163" i="1"/>
  <c r="G163" i="1" s="1"/>
  <c r="E162" i="1"/>
  <c r="G162" i="1" s="1"/>
  <c r="E161" i="1"/>
  <c r="G161" i="1" s="1"/>
  <c r="F146" i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B142" i="1"/>
  <c r="H136" i="1" a="1"/>
  <c r="H136" i="1" s="1"/>
  <c r="H135" i="1" a="1"/>
  <c r="H135" i="1" s="1"/>
  <c r="H134" i="1" a="1"/>
  <c r="H134" i="1" s="1"/>
  <c r="G146" i="1" l="1"/>
  <c r="I146" i="1" s="1"/>
  <c r="H131" i="1"/>
  <c r="I131" i="1" s="1"/>
  <c r="H130" i="1"/>
  <c r="H129" i="1"/>
  <c r="I129" i="1" s="1"/>
  <c r="H128" i="1"/>
  <c r="G131" i="1"/>
  <c r="G130" i="1"/>
  <c r="G129" i="1"/>
  <c r="G128" i="1"/>
  <c r="D134" i="1"/>
  <c r="D132" i="1"/>
  <c r="D130" i="1"/>
  <c r="E120" i="1"/>
  <c r="J99" i="1"/>
  <c r="D99" i="1"/>
  <c r="B96" i="1"/>
  <c r="C79" i="1"/>
  <c r="P96" i="1" l="1"/>
  <c r="P95" i="1"/>
  <c r="P94" i="1"/>
  <c r="P88" i="1"/>
  <c r="P90" i="1"/>
  <c r="P89" i="1"/>
  <c r="B192" i="1"/>
  <c r="B186" i="1"/>
  <c r="I130" i="1"/>
  <c r="I128" i="1"/>
  <c r="J129" i="1" s="1"/>
  <c r="J133" i="1" s="1"/>
  <c r="K133" i="1" s="1"/>
  <c r="J128" i="1" l="1"/>
  <c r="J132" i="1" s="1"/>
  <c r="K132" i="1" s="1"/>
  <c r="K128" i="1" l="1"/>
  <c r="S80" i="1" s="1"/>
  <c r="H132" i="1" l="1" a="1"/>
  <c r="H132" i="1" s="1"/>
  <c r="K135" i="1"/>
  <c r="G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A30" authorId="0" shapeId="0" xr:uid="{9272598D-225F-4E41-A83A-9D922476C802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Nominal contrast values as a function of kVp</t>
        </r>
      </text>
    </comment>
    <comment ref="A46" authorId="0" shapeId="0" xr:uid="{5BFE8CEF-E335-42C3-B065-1CE02C79BD16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nominal contrast values</t>
        </r>
      </text>
    </comment>
    <comment ref="A60" authorId="0" shapeId="0" xr:uid="{EC073E5E-1FAA-43ED-820B-B0E408A97E65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contrast values at the kVp specified in Sheet1!I229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<sst xmlns="http://schemas.openxmlformats.org/spreadsheetml/2006/main" count="645" uniqueCount="385">
  <si>
    <t>Survey ID:</t>
  </si>
  <si>
    <t>Location</t>
  </si>
  <si>
    <t>Facility:</t>
  </si>
  <si>
    <t>Department:</t>
  </si>
  <si>
    <t>Area/Division:</t>
  </si>
  <si>
    <t>X-Ray Generator</t>
  </si>
  <si>
    <t>Manufacturer:</t>
  </si>
  <si>
    <t>Model:</t>
  </si>
  <si>
    <t>Max kVp:</t>
  </si>
  <si>
    <t>Tube Designation/Use:</t>
  </si>
  <si>
    <t>Manufacture Date:</t>
  </si>
  <si>
    <t>Insert</t>
  </si>
  <si>
    <t>Serial Number:</t>
  </si>
  <si>
    <t>Housing</t>
  </si>
  <si>
    <t>Site Number:</t>
  </si>
  <si>
    <t>Authorized Use:</t>
  </si>
  <si>
    <t>Date of Installation:</t>
  </si>
  <si>
    <t>Max mA:</t>
  </si>
  <si>
    <t>Software Version:</t>
  </si>
  <si>
    <t>Focal Spot Sizes (mm)</t>
  </si>
  <si>
    <t>Large:</t>
  </si>
  <si>
    <t>Small:</t>
  </si>
  <si>
    <t>Micro:</t>
  </si>
  <si>
    <t>Filtration</t>
  </si>
  <si>
    <t>Inherent:</t>
  </si>
  <si>
    <t>Added:</t>
  </si>
  <si>
    <t>X-Ray Tube</t>
  </si>
  <si>
    <t>System Information</t>
  </si>
  <si>
    <t>Medical University of South Carolina</t>
  </si>
  <si>
    <t>Charleston, South Carolina</t>
  </si>
  <si>
    <t>O-Arm System Compliance Inspection</t>
  </si>
  <si>
    <t>Input Changes Only</t>
  </si>
  <si>
    <t>Enter 1 for YES, 2 for NO, 3 for NA</t>
  </si>
  <si>
    <t>Is this a new installation?</t>
  </si>
  <si>
    <t>DHEC Registration sticker is present, clearly visible and legible</t>
  </si>
  <si>
    <t>DHEC form SC-RHA-20 “Notice to Employees” posted or referenced</t>
  </si>
  <si>
    <t>Radiation warning label posted on the generator control panel</t>
  </si>
  <si>
    <t>Tube loading charts for each focal spot are posted</t>
  </si>
  <si>
    <t>Tube loading charts are correct for installed tube(s).</t>
  </si>
  <si>
    <t>Operator manuals are available.</t>
  </si>
  <si>
    <t>Monthly radiation monitoring reports are posted.</t>
  </si>
  <si>
    <t>Labels, Notices, Postings</t>
  </si>
  <si>
    <t>Interlock systems function to prevent fluoro while II is parked</t>
  </si>
  <si>
    <t>The minimum Source Skin Distance &gt; 38 cm (20 cm for surgical applications)</t>
  </si>
  <si>
    <t>Minimum of 2.5 mm lead equivalent shielding (i.e. drapes or sliding panels)</t>
  </si>
  <si>
    <t>The useful beam is intercepted by the image assembly at any SID</t>
  </si>
  <si>
    <t>Fluoroscopy patient dose charts are posted</t>
  </si>
  <si>
    <t>Max Entrance Exposure rate &lt;= 88 mGy/min (auto) and &lt;= 44 mGy/min (manual)</t>
  </si>
  <si>
    <t>Max Entrance Exposure Rate &lt;= 176 mGy/min (high level)</t>
  </si>
  <si>
    <t>High contrast resolution within MUSC specifications</t>
  </si>
  <si>
    <t>Low contrast resolution within MUSC specifications</t>
  </si>
  <si>
    <t>Transmission through II &lt; 2 uGy/hr for each mGy/min at patient entrance</t>
  </si>
  <si>
    <t>Beam limiting device available (functioning) to restrict the x-ray field</t>
  </si>
  <si>
    <t>The useful beam is centered on the image receptor</t>
  </si>
  <si>
    <t>Collimator edges are visible at full open</t>
  </si>
  <si>
    <t>Elapsed timer (5 min maximum) functional</t>
  </si>
  <si>
    <t>Fluoroscopic kV and mA meter present and functional</t>
  </si>
  <si>
    <t>Fluoroscopy Systems</t>
  </si>
  <si>
    <t>Radiation Safety</t>
  </si>
  <si>
    <t>Continuous pressure on exposure switch required to make an exposure with selected tube</t>
  </si>
  <si>
    <t>Operator has full visibility of the exposure factors and patient</t>
  </si>
  <si>
    <t>Lead aprons available</t>
  </si>
  <si>
    <t>Lead gloves available</t>
  </si>
  <si>
    <t>Properly designed and installed apron rack is present</t>
  </si>
  <si>
    <t>Documentation of annual protective apparel integrity inspection is available</t>
  </si>
  <si>
    <t>Patient restraint devices available</t>
  </si>
  <si>
    <t>Gonadal shielding is present and functional</t>
  </si>
  <si>
    <t>Physical Inspection</t>
  </si>
  <si>
    <t>System clean and free of debris</t>
  </si>
  <si>
    <t>All cables free from excessive wear or restraints</t>
  </si>
  <si>
    <t>System free of missing or damaged components</t>
  </si>
  <si>
    <t>Tube support movements and locks are acceptable</t>
  </si>
  <si>
    <t>All other movements and locks functional</t>
  </si>
  <si>
    <t>Automatic Brightness Control / Display Monitor</t>
  </si>
  <si>
    <t>Automatic Brightness Control maintains image brightness for varying attenuation</t>
  </si>
  <si>
    <t>Display monitor is free of artifacts, shadows, bright spots, and burn-in</t>
  </si>
  <si>
    <t>Display monitor is free of distortion</t>
  </si>
  <si>
    <t>Display monitor is free of excessive persistence (after-image)</t>
  </si>
  <si>
    <t>Display monitor is free of static or rolling noise bands</t>
  </si>
  <si>
    <t>The last image hold (LIH) display is free of jitter or abnormal appearance</t>
  </si>
  <si>
    <t>Entrance Exposure Rate</t>
  </si>
  <si>
    <t>Tube Number:</t>
  </si>
  <si>
    <t>**Input only one of the following</t>
  </si>
  <si>
    <t>numbers or names</t>
  </si>
  <si>
    <t>AP</t>
  </si>
  <si>
    <t>Front</t>
  </si>
  <si>
    <t>Frontal</t>
  </si>
  <si>
    <t>Lat</t>
  </si>
  <si>
    <t>Lateral</t>
  </si>
  <si>
    <t/>
  </si>
  <si>
    <t>Type 1 for manual, leave blank for auto</t>
  </si>
  <si>
    <t>Type 1 if using Lucite, leave blank if using Al</t>
  </si>
  <si>
    <t>Auto/mA mode</t>
  </si>
  <si>
    <t>Test equipment</t>
  </si>
  <si>
    <t>Calibration due</t>
  </si>
  <si>
    <t>How many dose rate settings are present (exclusing High Level)?</t>
  </si>
  <si>
    <t>Is High Level provided? (1=Yes, 2=No)</t>
  </si>
  <si>
    <t>Unit for image receptor size</t>
  </si>
  <si>
    <t>Patient Entrance Exposure Rate (Fluoroscopy)*</t>
  </si>
  <si>
    <t>Image</t>
  </si>
  <si>
    <t>Acrylic</t>
  </si>
  <si>
    <t>Mode</t>
  </si>
  <si>
    <t>Attenuator</t>
  </si>
  <si>
    <t>(cm)</t>
  </si>
  <si>
    <t>kVp</t>
  </si>
  <si>
    <t>mA</t>
  </si>
  <si>
    <t>mGy/min</t>
  </si>
  <si>
    <t>Normal</t>
  </si>
  <si>
    <t>Mag 1</t>
  </si>
  <si>
    <t>Mag 2</t>
  </si>
  <si>
    <t>Max</t>
  </si>
  <si>
    <t>Last Year:</t>
  </si>
  <si>
    <t>Acceptable:</t>
  </si>
  <si>
    <t>*Measured at:</t>
  </si>
  <si>
    <t>Undertable fluoroscopy units: 1 cm above table top</t>
  </si>
  <si>
    <t>Overhead tube fluoroscopy units: 30 cm above table top (Tube as close as possible to measuring point)</t>
  </si>
  <si>
    <t>C-arm fluoroscopy units: 30 cm from image receptor input (Tube at any ID, but spacer no closer than measuring point</t>
  </si>
  <si>
    <t>Lateral fluoroscopy units: 15 cm from center line of table and towards the tube (Position table and tube so spacer is as close as possible to measuring point)</t>
  </si>
  <si>
    <t>Criteria:</t>
  </si>
  <si>
    <t>Max Entrance Exposure Rate &lt;= 88 mGy/min (auto) and &lt;= 44 mGy/min (manual)</t>
  </si>
  <si>
    <t>Comments:</t>
  </si>
  <si>
    <t>Do not exceed 390 chars</t>
  </si>
  <si>
    <t>New:</t>
  </si>
  <si>
    <t>Half Value Layer</t>
  </si>
  <si>
    <t>Use DHEC standards? (Type 1 to base acceptance on DHEC criteria)</t>
  </si>
  <si>
    <t>kV</t>
  </si>
  <si>
    <t>mm Al</t>
  </si>
  <si>
    <t>Data Processing</t>
  </si>
  <si>
    <t>Avg Exp</t>
  </si>
  <si>
    <t>DATA(1/2)</t>
  </si>
  <si>
    <t>Data Al</t>
  </si>
  <si>
    <t>HVL</t>
  </si>
  <si>
    <t>Data Exp</t>
  </si>
  <si>
    <t>LN(EXP)</t>
  </si>
  <si>
    <t>Acceptable (mm Al)</t>
  </si>
  <si>
    <t>HVL Acceptable:</t>
  </si>
  <si>
    <t>Low</t>
  </si>
  <si>
    <t>Desired</t>
  </si>
  <si>
    <t>High</t>
  </si>
  <si>
    <t>Leeds MS</t>
  </si>
  <si>
    <t>Clearly visible</t>
  </si>
  <si>
    <t>Visible</t>
  </si>
  <si>
    <t>Barely visible</t>
  </si>
  <si>
    <t>Not visible</t>
  </si>
  <si>
    <t>Huttner Grating</t>
  </si>
  <si>
    <t>Leeds N3</t>
  </si>
  <si>
    <t>Nominal</t>
  </si>
  <si>
    <t>TO.10 kV Adj</t>
  </si>
  <si>
    <t>.</t>
  </si>
  <si>
    <t>TO.10</t>
  </si>
  <si>
    <t>Diameter (mm)</t>
  </si>
  <si>
    <t>sqrt(Area)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</si>
  <si>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</si>
  <si>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</si>
  <si>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</si>
  <si>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</si>
  <si>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</si>
  <si>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</si>
  <si>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</si>
  <si>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</si>
  <si>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</si>
  <si>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</si>
  <si>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</si>
  <si>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</si>
  <si>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TO.10 Values</t>
  </si>
  <si>
    <t>DHEC</t>
  </si>
  <si>
    <t>MUSC</t>
  </si>
  <si>
    <t>HVL Graph</t>
  </si>
  <si>
    <t>Min HVL</t>
  </si>
  <si>
    <t>Max HVL</t>
  </si>
  <si>
    <t>(mm Al)</t>
  </si>
  <si>
    <t>µGy·m²</t>
  </si>
  <si>
    <t>Kerma Area Product/Cumulative Air Kerma/Air Kerma Rate</t>
  </si>
  <si>
    <t>Source-PDC distance (cm)</t>
  </si>
  <si>
    <t>Source-Ref Pt distance (cm)</t>
  </si>
  <si>
    <t>Source-Isocenter</t>
  </si>
  <si>
    <t>Table-Isocenter</t>
  </si>
  <si>
    <t>RefPt-Isocenter</t>
  </si>
  <si>
    <t>Start KAP</t>
  </si>
  <si>
    <t>End KAP</t>
  </si>
  <si>
    <t>Start AK</t>
  </si>
  <si>
    <t>End AK</t>
  </si>
  <si>
    <t>Meas AKR</t>
  </si>
  <si>
    <t>KAP</t>
  </si>
  <si>
    <t>mGy</t>
  </si>
  <si>
    <t>CAK</t>
  </si>
  <si>
    <t>Calibration date</t>
  </si>
  <si>
    <t>Deviation</t>
  </si>
  <si>
    <t>Reference Point correction factor</t>
  </si>
  <si>
    <t>Measured</t>
  </si>
  <si>
    <t>Meas KAP</t>
  </si>
  <si>
    <t>@ Ref Pt</t>
  </si>
  <si>
    <t>Indicated</t>
  </si>
  <si>
    <t>Meas CAK</t>
  </si>
  <si>
    <t>AKR</t>
  </si>
  <si>
    <t>Measured KAP/AK/AKR is within 40% of the displayed values</t>
  </si>
  <si>
    <t>Scatter and Transmission</t>
  </si>
  <si>
    <t>Pt Entrance</t>
  </si>
  <si>
    <t>uGy/hr</t>
  </si>
  <si>
    <t>Last Year</t>
  </si>
  <si>
    <t>Acceptable</t>
  </si>
  <si>
    <t>Transmission* @ 10cm</t>
  </si>
  <si>
    <t>Unshielded</t>
  </si>
  <si>
    <t>Shielded</t>
  </si>
  <si>
    <t>uGy/min</t>
  </si>
  <si>
    <t>Scatter – Fluoro</t>
  </si>
  <si>
    <t>Eye level</t>
  </si>
  <si>
    <t>Waist level</t>
  </si>
  <si>
    <t>*Measured with 8” Lucite in beam</t>
  </si>
  <si>
    <t>Largest field size mode, highest dose rate mode</t>
  </si>
  <si>
    <t>Transmission through the image receptor is &lt; 2 uGy/hr at 10 cm for each mGy/min of patient entrance exposure</t>
  </si>
  <si>
    <t>Image Receptor Entrance Exposure Rate – Fluoroscopy</t>
  </si>
  <si>
    <t>Dose</t>
  </si>
  <si>
    <t>Receptor</t>
  </si>
  <si>
    <t>Previous Year</t>
  </si>
  <si>
    <t>Level</t>
  </si>
  <si>
    <t>Size (cm)</t>
  </si>
  <si>
    <t>nGy/frame</t>
  </si>
  <si>
    <t>Measure using pancake probe placed against</t>
  </si>
  <si>
    <t>image receptor input window</t>
  </si>
  <si>
    <t>Use 1.5mm Cu filtration</t>
  </si>
  <si>
    <t>kV Accuracy and Reproducibility</t>
  </si>
  <si>
    <t>Test Equipment Used:</t>
  </si>
  <si>
    <t>Calibration Date:</t>
  </si>
  <si>
    <t>Calibration Due:</t>
  </si>
  <si>
    <t>kV set</t>
  </si>
  <si>
    <t>mA Set</t>
  </si>
  <si>
    <t>Tot Filt</t>
  </si>
  <si>
    <t>kV % error</t>
  </si>
  <si>
    <t>kVp accurate to within 5% of indicated.</t>
  </si>
  <si>
    <t>kV Set:</t>
  </si>
  <si>
    <t>Mean:</t>
  </si>
  <si>
    <t>Std Dev:</t>
  </si>
  <si>
    <t>kVp coefficient of variation (std dev./mean) &lt;= 5%.</t>
  </si>
  <si>
    <t>Coeff of Var:</t>
  </si>
  <si>
    <t>(mGy/min)</t>
  </si>
  <si>
    <t>Exp rate</t>
  </si>
  <si>
    <t>(mGy)</t>
  </si>
  <si>
    <t>Exposure</t>
  </si>
  <si>
    <t>kV Accuracy</t>
  </si>
  <si>
    <t>kV/exposure reproducibility</t>
  </si>
  <si>
    <t>Air Kerma Rate Linearity</t>
  </si>
  <si>
    <t>Coeff of Linearity:</t>
  </si>
  <si>
    <t>Coefficient of linearity &lt;= 10%.</t>
  </si>
  <si>
    <t>Leeds Phantom</t>
  </si>
  <si>
    <t>Piranha</t>
  </si>
  <si>
    <t>CB2-17090320</t>
  </si>
  <si>
    <t>Receptor Size</t>
  </si>
  <si>
    <t>MS1</t>
  </si>
  <si>
    <t>MS3</t>
  </si>
  <si>
    <t>MS4</t>
  </si>
  <si>
    <t>Huttner</t>
  </si>
  <si>
    <t>N3</t>
  </si>
  <si>
    <t>kVp:</t>
  </si>
  <si>
    <t>MS1-4</t>
  </si>
  <si>
    <t>Huttner: Enter col.row</t>
  </si>
  <si>
    <t>N3: Enter # of visible disks</t>
  </si>
  <si>
    <t>Row</t>
  </si>
  <si>
    <t>Field Size</t>
  </si>
  <si>
    <t>Horizontal:</t>
  </si>
  <si>
    <t>Vertical:</t>
  </si>
  <si>
    <t>Diagonal:</t>
  </si>
  <si>
    <t>Type 1 for circular field, 2 for square field</t>
  </si>
  <si>
    <t xml:space="preserve">Criteria: </t>
  </si>
  <si>
    <t>Measured field size is at least 85% of nominal field size</t>
  </si>
  <si>
    <t>Useful Beam Limitation</t>
  </si>
  <si>
    <t>SID (cm)</t>
  </si>
  <si>
    <t>Difference</t>
  </si>
  <si>
    <t>Sum</t>
  </si>
  <si>
    <t>T</t>
  </si>
  <si>
    <t>R</t>
  </si>
  <si>
    <t>Difference between x-ray field and visible image area is less than 2% SID</t>
  </si>
  <si>
    <t>Sum of length and width differences is less than 4% SID</t>
  </si>
  <si>
    <t>Visible:</t>
  </si>
  <si>
    <t>X-ray:</t>
  </si>
  <si>
    <t>SID:</t>
  </si>
  <si>
    <t>SOD:</t>
  </si>
  <si>
    <t>SID/SOD:</t>
  </si>
  <si>
    <t>Top:</t>
  </si>
  <si>
    <t>Bottom:</t>
  </si>
  <si>
    <t>Left:</t>
  </si>
  <si>
    <t>Right:</t>
  </si>
  <si>
    <t>Print Area</t>
  </si>
  <si>
    <t>Page1,Page2,HVLPage,KAP_AKR,ExpChartFluoroPage,ExpChartDAPage,ImgQualityPage,Com1Page,Com2Page,OutputGraphFluoroPage,OutputGraphDAPage,LeedsTO10Page</t>
  </si>
  <si>
    <t>All:</t>
  </si>
  <si>
    <t>Measurement Parameter</t>
  </si>
  <si>
    <t>This Year</t>
  </si>
  <si>
    <t>Date</t>
  </si>
  <si>
    <t>Inspector</t>
  </si>
  <si>
    <t>Room Number:</t>
  </si>
  <si>
    <t>Accesssion Number:</t>
  </si>
  <si>
    <t>X-Ray Tube 1</t>
  </si>
  <si>
    <t>Tube Designation:</t>
  </si>
  <si>
    <t>Date:</t>
  </si>
  <si>
    <t>Previous Date:</t>
  </si>
  <si>
    <t>Inspector:</t>
  </si>
  <si>
    <t>Accession Number:</t>
  </si>
  <si>
    <t>New install:</t>
  </si>
  <si>
    <t>Normal:</t>
  </si>
  <si>
    <t>Mag 1:</t>
  </si>
  <si>
    <t>Mag 2:</t>
  </si>
  <si>
    <t>Pt Dose Measured Fluoro</t>
  </si>
  <si>
    <t>Manual/Auto:</t>
  </si>
  <si>
    <t>Lucite/Al:</t>
  </si>
  <si>
    <t># dose rates:</t>
  </si>
  <si>
    <t>High level present:</t>
  </si>
  <si>
    <t>cm/in:</t>
  </si>
  <si>
    <t>Auto/mA:</t>
  </si>
  <si>
    <t>Test equipment:</t>
  </si>
  <si>
    <t>Calibration date:</t>
  </si>
  <si>
    <t>Calibration due:</t>
  </si>
  <si>
    <t>Technique 1:</t>
  </si>
  <si>
    <t>Technique 2:</t>
  </si>
  <si>
    <t>Technique 3:</t>
  </si>
  <si>
    <t>cm</t>
  </si>
  <si>
    <t>Maximum Dose Rates Fluoro</t>
  </si>
  <si>
    <t>kV:</t>
  </si>
  <si>
    <t>mA:</t>
  </si>
  <si>
    <t>mGy/min:</t>
  </si>
  <si>
    <t>HVL Measured kV:</t>
  </si>
  <si>
    <t>HVL Measured:</t>
  </si>
  <si>
    <t>Fluoro Scatter/Transmission</t>
  </si>
  <si>
    <t>Transmission:</t>
  </si>
  <si>
    <t>Unshielded Scatter (eyes):</t>
  </si>
  <si>
    <t>Unshielded Scatter (waist):</t>
  </si>
  <si>
    <t>Shielded Scatter (eyes):</t>
  </si>
  <si>
    <t>Shielded Scatter (waist):</t>
  </si>
  <si>
    <t>Receptor Entr Exp Fluoro</t>
  </si>
  <si>
    <t>Huttner Normal:</t>
  </si>
  <si>
    <t>Huttner Mag 1:</t>
  </si>
  <si>
    <t>Huttner Mag 2:</t>
  </si>
  <si>
    <t>N3 Normal:</t>
  </si>
  <si>
    <t>N3 Mag 1:</t>
  </si>
  <si>
    <t>N3 Mag 2</t>
  </si>
  <si>
    <t>Front:</t>
  </si>
  <si>
    <t>Back:</t>
  </si>
  <si>
    <t>TO.10.A</t>
  </si>
  <si>
    <t>TO.10.B</t>
  </si>
  <si>
    <t>TO.10.C</t>
  </si>
  <si>
    <t>TO.10.D</t>
  </si>
  <si>
    <t>TO.10.E</t>
  </si>
  <si>
    <t>TO.10.F</t>
  </si>
  <si>
    <t>TO.10.G</t>
  </si>
  <si>
    <t>TO.10.H</t>
  </si>
  <si>
    <t>TO.10.J</t>
  </si>
  <si>
    <t>TO.10.K</t>
  </si>
  <si>
    <t>TO.10.L</t>
  </si>
  <si>
    <t>TO.10.M</t>
  </si>
  <si>
    <t>Field Shape:</t>
  </si>
  <si>
    <t>Comments</t>
  </si>
  <si>
    <t>Pt Entr Exp Fluoro:</t>
  </si>
  <si>
    <t>Receptor Entr Exp Fluoro:</t>
  </si>
  <si>
    <t>Scatter/Transmission:</t>
  </si>
  <si>
    <t>Leeds Phantom:</t>
  </si>
  <si>
    <t>TO.10:</t>
  </si>
  <si>
    <t>Beam Limitation:</t>
  </si>
  <si>
    <t>Measurements</t>
  </si>
  <si>
    <t>Set kV_x000D_(kV)</t>
  </si>
  <si>
    <t>Set mA_x000D_(mA)</t>
  </si>
  <si>
    <t>Tube voltage_x000D_(kV)</t>
  </si>
  <si>
    <t>Exposure_x000D_(mGy)</t>
  </si>
  <si>
    <t>Exposure rate_x000D_(mGy/min)</t>
  </si>
  <si>
    <t>HVL_x000D_(mm Al)</t>
  </si>
  <si>
    <t>Total filtr._x000D_(mm Al)</t>
  </si>
  <si>
    <t>Set frames/s_x000D_(FPS)</t>
  </si>
  <si>
    <t>Frames/s_x000D_(FPS)</t>
  </si>
  <si>
    <t>Exposure/frame_x000D_(µGy/frame)</t>
  </si>
  <si>
    <t>Frame exp. rate_x000D_(mGy/s)</t>
  </si>
  <si>
    <t>Pulse width_x000D_(ms)</t>
  </si>
  <si>
    <t>Revision 1.0-20230427</t>
  </si>
  <si>
    <t>Variation from indicated:</t>
  </si>
  <si>
    <t>Top</t>
  </si>
  <si>
    <t>Left</t>
  </si>
  <si>
    <t>Right</t>
  </si>
  <si>
    <t>Bottom</t>
  </si>
  <si>
    <t>CBCT</t>
  </si>
  <si>
    <t>CTDI:</t>
  </si>
  <si>
    <t>Planar Average Dose Profile</t>
  </si>
  <si>
    <t>Center</t>
  </si>
  <si>
    <t>SD:</t>
  </si>
  <si>
    <t>Average:</t>
  </si>
  <si>
    <t>f(0):</t>
  </si>
  <si>
    <t>Previous f(0):</t>
  </si>
  <si>
    <t>Variation from previous:</t>
  </si>
  <si>
    <t>CBCT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</si>
</sst>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/yyyy;@"/>
    <numFmt numFmtId="166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color theme="5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3B8D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6E6E6"/>
        <bgColor rgb="FFCCFFFF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rgb="FF0000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2" fontId="9" fillId="0" borderId="0">
      <alignment horizontal="center" vertical="center"/>
    </xf>
  </cellStyleXfs>
  <cellXfs count="21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164" fontId="3" fillId="4" borderId="19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vertical="center"/>
    </xf>
    <xf numFmtId="10" fontId="3" fillId="0" borderId="56" xfId="1" applyNumberFormat="1" applyFont="1" applyBorder="1" applyAlignment="1">
      <alignment vertical="center"/>
    </xf>
    <xf numFmtId="10" fontId="3" fillId="0" borderId="50" xfId="1" applyNumberFormat="1" applyFont="1" applyBorder="1" applyAlignment="1">
      <alignment vertical="center"/>
    </xf>
    <xf numFmtId="10" fontId="3" fillId="0" borderId="57" xfId="1" applyNumberFormat="1" applyFont="1" applyBorder="1" applyAlignment="1">
      <alignment vertical="center"/>
    </xf>
    <xf numFmtId="10" fontId="3" fillId="0" borderId="53" xfId="1" applyNumberFormat="1" applyFont="1" applyBorder="1" applyAlignment="1">
      <alignment vertical="center"/>
    </xf>
    <xf numFmtId="10" fontId="3" fillId="0" borderId="58" xfId="1" applyNumberFormat="1" applyFont="1" applyBorder="1" applyAlignment="1">
      <alignment vertical="center"/>
    </xf>
    <xf numFmtId="10" fontId="3" fillId="0" borderId="21" xfId="1" applyNumberFormat="1" applyFont="1" applyBorder="1" applyAlignment="1">
      <alignment vertical="center"/>
    </xf>
    <xf numFmtId="10" fontId="3" fillId="0" borderId="24" xfId="1" applyNumberFormat="1" applyFont="1" applyBorder="1" applyAlignment="1">
      <alignment vertical="center"/>
    </xf>
    <xf numFmtId="10" fontId="3" fillId="0" borderId="27" xfId="1" applyNumberFormat="1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3" borderId="6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66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65" xfId="0" applyFont="1" applyBorder="1" applyAlignment="1">
      <alignment vertical="center"/>
    </xf>
    <xf numFmtId="0" fontId="3" fillId="2" borderId="73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3" fillId="4" borderId="73" xfId="0" applyFont="1" applyFill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8" xfId="0" applyFont="1" applyBorder="1" applyAlignment="1">
      <alignment horizontal="left" vertical="center"/>
    </xf>
    <xf numFmtId="0" fontId="7" fillId="0" borderId="68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6" borderId="76" xfId="0" applyFont="1" applyFill="1" applyBorder="1" applyAlignment="1">
      <alignment horizontal="center" vertical="center"/>
    </xf>
    <xf numFmtId="0" fontId="3" fillId="3" borderId="7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7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4" borderId="7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71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4" borderId="81" xfId="0" applyFont="1" applyFill="1" applyBorder="1" applyAlignment="1">
      <alignment horizontal="center" vertical="center"/>
    </xf>
    <xf numFmtId="0" fontId="3" fillId="4" borderId="82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86" xfId="0" applyFont="1" applyBorder="1" applyAlignment="1">
      <alignment horizontal="center" vertical="center"/>
    </xf>
    <xf numFmtId="0" fontId="3" fillId="0" borderId="68" xfId="0" applyFont="1" applyBorder="1" applyAlignment="1">
      <alignment horizontal="right" vertical="center"/>
    </xf>
    <xf numFmtId="0" fontId="3" fillId="0" borderId="8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2" borderId="73" xfId="0" applyFont="1" applyFill="1" applyBorder="1" applyAlignment="1">
      <alignment vertical="center"/>
    </xf>
    <xf numFmtId="0" fontId="6" fillId="0" borderId="68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0" borderId="55" xfId="0" applyFont="1" applyBorder="1" applyAlignment="1">
      <alignment horizontal="right" vertical="center"/>
    </xf>
    <xf numFmtId="0" fontId="3" fillId="0" borderId="59" xfId="0" applyFont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66" fontId="3" fillId="0" borderId="23" xfId="1" applyNumberFormat="1" applyFont="1" applyBorder="1" applyAlignment="1">
      <alignment vertical="center"/>
    </xf>
    <xf numFmtId="2" fontId="3" fillId="0" borderId="23" xfId="0" applyNumberFormat="1" applyFont="1" applyBorder="1" applyAlignment="1">
      <alignment vertical="center"/>
    </xf>
  </cellXfs>
  <cellStyles count="3">
    <cellStyle name="Normal" xfId="0" builtinId="0"/>
    <cellStyle name="Normal 2" xfId="2" xr:uid="{39368EF4-7A88-442D-8A4B-8F31CF3637A6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23B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88C4-1284-4C64-BB6C-010FE3A7F641}">
  <dimension ref="B1:S298"/>
  <sheetViews>
    <sheetView tabSelected="1" topLeftCell="A266" zoomScale="75" zoomScaleNormal="75" workbookViewId="0">
      <selection activeCell="K270" sqref="K270"/>
    </sheetView>
  </sheetViews>
  <sheetFormatPr defaultColWidth="10.625" defaultRowHeight="15.75" x14ac:dyDescent="0.25"/>
  <cols>
    <col min="1" max="16" width="10.625" style="1"/>
    <col min="17" max="17" width="10.625" style="5"/>
    <col min="18" max="18" width="10.625" style="112"/>
    <col min="19" max="19" width="10.625" style="5"/>
    <col min="20" max="16384" width="10.625" style="1"/>
  </cols>
  <sheetData>
    <row r="1" spans="2:19" ht="16.5" thickTop="1" x14ac:dyDescent="0.25">
      <c r="B1" s="127" t="s">
        <v>369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P1" s="1" t="s">
        <v>282</v>
      </c>
    </row>
    <row r="2" spans="2:19" x14ac:dyDescent="0.25">
      <c r="B2" s="130"/>
      <c r="C2" s="2"/>
      <c r="D2" s="2"/>
      <c r="E2" s="2"/>
      <c r="F2" s="2"/>
      <c r="G2" s="181" t="s">
        <v>28</v>
      </c>
      <c r="H2" s="2"/>
      <c r="I2" s="2"/>
      <c r="J2" s="2"/>
      <c r="K2" s="2"/>
      <c r="L2" s="2"/>
      <c r="M2" s="131"/>
      <c r="P2" s="8"/>
    </row>
    <row r="3" spans="2:19" x14ac:dyDescent="0.25">
      <c r="B3" s="130"/>
      <c r="C3" s="2"/>
      <c r="D3" s="2"/>
      <c r="E3" s="2"/>
      <c r="F3" s="2"/>
      <c r="G3" s="181" t="s">
        <v>29</v>
      </c>
      <c r="H3" s="2"/>
      <c r="I3" s="2"/>
      <c r="J3" s="2"/>
      <c r="K3" s="2"/>
      <c r="L3" s="2"/>
      <c r="M3" s="131"/>
      <c r="P3" s="7" t="str">
        <f>IF(Q7="","",Q7)</f>
        <v/>
      </c>
    </row>
    <row r="4" spans="2:19" x14ac:dyDescent="0.25">
      <c r="B4" s="130"/>
      <c r="C4" s="2"/>
      <c r="D4" s="2"/>
      <c r="E4" s="2"/>
      <c r="F4" s="2"/>
      <c r="G4" s="185"/>
      <c r="H4" s="2"/>
      <c r="I4" s="2"/>
      <c r="J4" s="2"/>
      <c r="K4" s="2"/>
      <c r="L4" s="2"/>
      <c r="M4" s="131"/>
      <c r="P4" s="4" t="s">
        <v>284</v>
      </c>
      <c r="Q4" s="1" t="s">
        <v>283</v>
      </c>
    </row>
    <row r="5" spans="2:19" ht="16.5" thickBot="1" x14ac:dyDescent="0.3">
      <c r="B5" s="132"/>
      <c r="C5" s="133"/>
      <c r="D5" s="133"/>
      <c r="E5" s="133"/>
      <c r="F5" s="133"/>
      <c r="G5" s="182" t="s">
        <v>30</v>
      </c>
      <c r="H5" s="133"/>
      <c r="I5" s="133"/>
      <c r="J5" s="133"/>
      <c r="K5" s="133"/>
      <c r="L5" s="133"/>
      <c r="M5" s="135"/>
    </row>
    <row r="6" spans="2:19" ht="16.5" thickTop="1" x14ac:dyDescent="0.25">
      <c r="C6" s="4" t="s">
        <v>293</v>
      </c>
      <c r="D6" s="8"/>
      <c r="J6" s="4" t="s">
        <v>295</v>
      </c>
      <c r="K6" s="7" t="str">
        <f>IF(L6&lt;&gt;"",L6,IF(Q9="","",Q9))</f>
        <v/>
      </c>
      <c r="L6" s="8"/>
      <c r="P6" s="9" t="s">
        <v>285</v>
      </c>
      <c r="Q6" s="6" t="s">
        <v>199</v>
      </c>
      <c r="S6" s="6" t="s">
        <v>286</v>
      </c>
    </row>
    <row r="7" spans="2:19" ht="16.5" thickBot="1" x14ac:dyDescent="0.3">
      <c r="C7" s="4" t="s">
        <v>294</v>
      </c>
      <c r="D7" s="136" t="str">
        <f>IF(Q8="","",Q8)</f>
        <v/>
      </c>
      <c r="P7" s="4" t="s">
        <v>282</v>
      </c>
      <c r="Q7" s="113"/>
      <c r="R7" s="112" t="str">
        <f>IF(Q7&lt;&gt;S7,"Change","")</f>
        <v/>
      </c>
      <c r="S7" s="111" t="str">
        <f>IF(OR(P2="",P2=0),"",P2)</f>
        <v/>
      </c>
    </row>
    <row r="8" spans="2:19" ht="16.5" thickTop="1" x14ac:dyDescent="0.25">
      <c r="B8" s="127"/>
      <c r="C8" s="128"/>
      <c r="D8" s="128"/>
      <c r="E8" s="128"/>
      <c r="F8" s="128"/>
      <c r="G8" s="137" t="s">
        <v>27</v>
      </c>
      <c r="H8" s="128"/>
      <c r="I8" s="128"/>
      <c r="J8" s="128"/>
      <c r="K8" s="128"/>
      <c r="L8" s="128"/>
      <c r="M8" s="129"/>
      <c r="P8" s="4" t="s">
        <v>287</v>
      </c>
      <c r="Q8" s="113"/>
      <c r="S8" s="114" t="str">
        <f>IF(D6="","",D6)</f>
        <v/>
      </c>
    </row>
    <row r="9" spans="2:19" x14ac:dyDescent="0.25">
      <c r="B9" s="130"/>
      <c r="C9" s="10" t="s">
        <v>1</v>
      </c>
      <c r="D9" s="2"/>
      <c r="E9" s="138" t="s">
        <v>31</v>
      </c>
      <c r="F9" s="2"/>
      <c r="G9" s="2"/>
      <c r="H9" s="2"/>
      <c r="I9" s="2"/>
      <c r="J9" s="138" t="s">
        <v>31</v>
      </c>
      <c r="K9" s="2"/>
      <c r="L9" s="2"/>
      <c r="M9" s="131"/>
      <c r="P9" s="4" t="s">
        <v>288</v>
      </c>
      <c r="Q9" s="113"/>
      <c r="S9" s="114" t="str">
        <f>IF(L6="","",L6)</f>
        <v/>
      </c>
    </row>
    <row r="10" spans="2:19" x14ac:dyDescent="0.25">
      <c r="B10" s="130"/>
      <c r="C10" s="139" t="s">
        <v>2</v>
      </c>
      <c r="D10" s="7" t="str">
        <f>IF(E10&lt;&gt;"",E10,IF(Q10="","",Q10))</f>
        <v/>
      </c>
      <c r="E10" s="8"/>
      <c r="F10" s="2"/>
      <c r="G10" s="2"/>
      <c r="H10" s="139" t="s">
        <v>14</v>
      </c>
      <c r="I10" s="7" t="str">
        <f>IF(J10&lt;&gt;"",J10,IF(Q15="","",Q15))</f>
        <v/>
      </c>
      <c r="J10" s="8"/>
      <c r="K10" s="2"/>
      <c r="L10" s="2"/>
      <c r="M10" s="131"/>
      <c r="P10" s="4" t="s">
        <v>2</v>
      </c>
      <c r="Q10" s="113"/>
      <c r="S10" s="114" t="str">
        <f>IF(E10="","",E10)</f>
        <v/>
      </c>
    </row>
    <row r="11" spans="2:19" x14ac:dyDescent="0.25">
      <c r="B11" s="130"/>
      <c r="C11" s="139" t="s">
        <v>3</v>
      </c>
      <c r="D11" s="7" t="str">
        <f>IF(E11&lt;&gt;"",E11,IF(Q11="","",Q11))</f>
        <v/>
      </c>
      <c r="E11" s="8"/>
      <c r="F11" s="2"/>
      <c r="G11" s="2"/>
      <c r="H11" s="139" t="s">
        <v>15</v>
      </c>
      <c r="I11" s="7" t="str">
        <f>IF(J11&lt;&gt;"",J11,IF(Q16="","",Q16))</f>
        <v/>
      </c>
      <c r="J11" s="8"/>
      <c r="K11" s="2"/>
      <c r="L11" s="2"/>
      <c r="M11" s="131"/>
      <c r="P11" s="4" t="s">
        <v>3</v>
      </c>
      <c r="Q11" s="113"/>
      <c r="S11" s="114" t="str">
        <f t="shared" ref="S11:S14" si="0">IF(E11="","",E11)</f>
        <v/>
      </c>
    </row>
    <row r="12" spans="2:19" x14ac:dyDescent="0.25">
      <c r="B12" s="130"/>
      <c r="C12" s="139" t="s">
        <v>4</v>
      </c>
      <c r="D12" s="7" t="str">
        <f>IF(E12&lt;&gt;"",E12,IF(Q12="","",Q12))</f>
        <v/>
      </c>
      <c r="E12" s="8"/>
      <c r="F12" s="2"/>
      <c r="G12" s="2"/>
      <c r="H12" s="139" t="s">
        <v>16</v>
      </c>
      <c r="I12" s="7" t="str">
        <f>IF(J12&lt;&gt;"",J12,IF(Q17="","",Q17))</f>
        <v/>
      </c>
      <c r="J12" s="8"/>
      <c r="K12" s="2"/>
      <c r="L12" s="2"/>
      <c r="M12" s="131"/>
      <c r="P12" s="4" t="s">
        <v>4</v>
      </c>
      <c r="Q12" s="113"/>
      <c r="S12" s="114" t="str">
        <f t="shared" si="0"/>
        <v/>
      </c>
    </row>
    <row r="13" spans="2:19" x14ac:dyDescent="0.25">
      <c r="B13" s="130"/>
      <c r="C13" s="139" t="s">
        <v>0</v>
      </c>
      <c r="D13" s="7" t="str">
        <f>IF(E13&lt;&gt;"",E13,IF(Q13="","",Q13))</f>
        <v/>
      </c>
      <c r="E13" s="8"/>
      <c r="F13" s="2"/>
      <c r="G13" s="2"/>
      <c r="H13" s="139" t="s">
        <v>296</v>
      </c>
      <c r="I13" s="7" t="str">
        <f>IF(J13&lt;&gt;"",J13,IF(Q18="","",Q18))</f>
        <v/>
      </c>
      <c r="J13" s="8"/>
      <c r="K13" s="2"/>
      <c r="L13" s="2"/>
      <c r="M13" s="131"/>
      <c r="P13" s="4" t="s">
        <v>0</v>
      </c>
      <c r="Q13" s="113"/>
      <c r="S13" s="114" t="str">
        <f t="shared" si="0"/>
        <v/>
      </c>
    </row>
    <row r="14" spans="2:19" x14ac:dyDescent="0.25">
      <c r="B14" s="130"/>
      <c r="C14" s="139" t="s">
        <v>289</v>
      </c>
      <c r="D14" s="7" t="str">
        <f>IF(E14&lt;&gt;"",E14,IF(Q14="","",Q14))</f>
        <v/>
      </c>
      <c r="E14" s="8"/>
      <c r="F14" s="2"/>
      <c r="G14" s="2"/>
      <c r="H14" s="2"/>
      <c r="I14" s="2"/>
      <c r="J14" s="2"/>
      <c r="K14" s="2"/>
      <c r="L14" s="2"/>
      <c r="M14" s="131"/>
      <c r="P14" s="4" t="s">
        <v>289</v>
      </c>
      <c r="Q14" s="113"/>
      <c r="S14" s="114" t="str">
        <f t="shared" si="0"/>
        <v/>
      </c>
    </row>
    <row r="15" spans="2:19" x14ac:dyDescent="0.25">
      <c r="B15" s="130"/>
      <c r="C15" s="10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131"/>
      <c r="P15" s="4" t="s">
        <v>14</v>
      </c>
      <c r="Q15" s="113"/>
      <c r="S15" s="114" t="str">
        <f>IF(J10="","",J10)</f>
        <v/>
      </c>
    </row>
    <row r="16" spans="2:19" x14ac:dyDescent="0.25">
      <c r="B16" s="130"/>
      <c r="C16" s="139" t="s">
        <v>6</v>
      </c>
      <c r="D16" s="7" t="str">
        <f>IF(E16&lt;&gt;"",E16,IF(Q20="","",Q20))</f>
        <v/>
      </c>
      <c r="E16" s="8"/>
      <c r="F16" s="2"/>
      <c r="G16" s="2"/>
      <c r="H16" s="139" t="s">
        <v>10</v>
      </c>
      <c r="I16" s="7" t="str">
        <f>IF(J16&lt;&gt;"",J16,IF(Q23="","",Q23))</f>
        <v/>
      </c>
      <c r="J16" s="8"/>
      <c r="K16" s="2"/>
      <c r="L16" s="2"/>
      <c r="M16" s="131"/>
      <c r="P16" s="4" t="s">
        <v>15</v>
      </c>
      <c r="Q16" s="113"/>
      <c r="S16" s="114" t="str">
        <f t="shared" ref="S16:S17" si="1">IF(J11="","",J11)</f>
        <v/>
      </c>
    </row>
    <row r="17" spans="2:19" x14ac:dyDescent="0.25">
      <c r="B17" s="130"/>
      <c r="C17" s="139" t="s">
        <v>7</v>
      </c>
      <c r="D17" s="7" t="str">
        <f>IF(E17&lt;&gt;"",E17,IF(Q21="","",Q21))</f>
        <v/>
      </c>
      <c r="E17" s="8"/>
      <c r="F17" s="2"/>
      <c r="G17" s="2"/>
      <c r="H17" s="139" t="s">
        <v>12</v>
      </c>
      <c r="I17" s="7" t="str">
        <f>IF(J17&lt;&gt;"",J17,IF(Q24="","",Q24))</f>
        <v/>
      </c>
      <c r="J17" s="8"/>
      <c r="K17" s="2"/>
      <c r="L17" s="2"/>
      <c r="M17" s="131"/>
      <c r="P17" s="4" t="s">
        <v>16</v>
      </c>
      <c r="Q17" s="113"/>
      <c r="S17" s="114" t="str">
        <f t="shared" si="1"/>
        <v/>
      </c>
    </row>
    <row r="18" spans="2:19" x14ac:dyDescent="0.25">
      <c r="B18" s="130"/>
      <c r="C18" s="139" t="s">
        <v>8</v>
      </c>
      <c r="D18" s="7" t="str">
        <f>IF(E18&lt;&gt;"",E18,IF(Q22="","",Q22))</f>
        <v/>
      </c>
      <c r="E18" s="8"/>
      <c r="F18" s="2"/>
      <c r="G18" s="2"/>
      <c r="H18" s="139" t="s">
        <v>17</v>
      </c>
      <c r="I18" s="7" t="str">
        <f>IF(J18&lt;&gt;"",J18,IF(Q25="","",Q25))</f>
        <v/>
      </c>
      <c r="J18" s="8"/>
      <c r="K18" s="2"/>
      <c r="L18" s="2"/>
      <c r="M18" s="131"/>
      <c r="P18" s="4" t="s">
        <v>290</v>
      </c>
      <c r="Q18" s="113"/>
      <c r="S18" s="114" t="str">
        <f>IF(J13="","",J13)</f>
        <v/>
      </c>
    </row>
    <row r="19" spans="2:19" x14ac:dyDescent="0.25">
      <c r="B19" s="130"/>
      <c r="C19" s="2"/>
      <c r="D19" s="2"/>
      <c r="E19" s="2"/>
      <c r="F19" s="2"/>
      <c r="G19" s="2"/>
      <c r="H19" s="139" t="s">
        <v>18</v>
      </c>
      <c r="I19" s="7" t="str">
        <f>IF(J19&lt;&gt;"",J19,IF(Q26="","",Q26))</f>
        <v/>
      </c>
      <c r="J19" s="8"/>
      <c r="K19" s="2"/>
      <c r="L19" s="2"/>
      <c r="M19" s="131"/>
      <c r="P19" s="9" t="s">
        <v>5</v>
      </c>
    </row>
    <row r="20" spans="2:19" x14ac:dyDescent="0.25">
      <c r="B20" s="130"/>
      <c r="C20" s="10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131"/>
      <c r="P20" s="4" t="s">
        <v>6</v>
      </c>
      <c r="Q20" s="113"/>
      <c r="S20" s="114" t="str">
        <f>IF(E16="","",E16)</f>
        <v/>
      </c>
    </row>
    <row r="21" spans="2:19" x14ac:dyDescent="0.25">
      <c r="B21" s="130"/>
      <c r="C21" s="139" t="s">
        <v>9</v>
      </c>
      <c r="D21" s="7" t="str">
        <f>IF(E21&lt;&gt;"",E21,IF(Q28="","",Q28))</f>
        <v/>
      </c>
      <c r="E21" s="8"/>
      <c r="F21" s="2"/>
      <c r="G21" s="2"/>
      <c r="H21" s="10" t="s">
        <v>19</v>
      </c>
      <c r="I21" s="2"/>
      <c r="J21" s="2"/>
      <c r="K21" s="2"/>
      <c r="L21" s="2"/>
      <c r="M21" s="131"/>
      <c r="P21" s="4" t="s">
        <v>7</v>
      </c>
      <c r="Q21" s="113"/>
      <c r="S21" s="114" t="str">
        <f t="shared" ref="S21:S22" si="2">IF(E17="","",E17)</f>
        <v/>
      </c>
    </row>
    <row r="22" spans="2:19" x14ac:dyDescent="0.25">
      <c r="B22" s="130"/>
      <c r="C22" s="139" t="s">
        <v>10</v>
      </c>
      <c r="D22" s="7" t="str">
        <f>IF(E22&lt;&gt;"",E22,IF(Q29="","",Q29))</f>
        <v/>
      </c>
      <c r="E22" s="8"/>
      <c r="F22" s="2"/>
      <c r="G22" s="2"/>
      <c r="H22" s="139" t="s">
        <v>20</v>
      </c>
      <c r="I22" s="7" t="str">
        <f>IF(J22&lt;&gt;"",J22,IF(Q36="","",Q36))</f>
        <v/>
      </c>
      <c r="J22" s="8"/>
      <c r="K22" s="2"/>
      <c r="L22" s="2"/>
      <c r="M22" s="131"/>
      <c r="P22" s="4" t="s">
        <v>8</v>
      </c>
      <c r="Q22" s="113"/>
      <c r="S22" s="114" t="str">
        <f t="shared" si="2"/>
        <v/>
      </c>
    </row>
    <row r="23" spans="2:19" x14ac:dyDescent="0.25">
      <c r="B23" s="130"/>
      <c r="C23" s="10" t="s">
        <v>11</v>
      </c>
      <c r="D23" s="2"/>
      <c r="E23" s="2"/>
      <c r="F23" s="2"/>
      <c r="G23" s="2"/>
      <c r="H23" s="139" t="s">
        <v>21</v>
      </c>
      <c r="I23" s="7" t="str">
        <f>IF(J23&lt;&gt;"",J23,IF(Q37="","",Q37))</f>
        <v/>
      </c>
      <c r="J23" s="8"/>
      <c r="K23" s="2"/>
      <c r="L23" s="2"/>
      <c r="M23" s="131"/>
      <c r="P23" s="4" t="s">
        <v>10</v>
      </c>
      <c r="Q23" s="113"/>
      <c r="S23" s="114" t="str">
        <f>IF(J16="","",J16)</f>
        <v/>
      </c>
    </row>
    <row r="24" spans="2:19" x14ac:dyDescent="0.25">
      <c r="B24" s="130"/>
      <c r="C24" s="139" t="s">
        <v>6</v>
      </c>
      <c r="D24" s="7" t="str">
        <f>IF(E24&lt;&gt;"",E24,IF(Q30="","",Q30))</f>
        <v/>
      </c>
      <c r="E24" s="8"/>
      <c r="F24" s="2"/>
      <c r="G24" s="2"/>
      <c r="H24" s="139" t="s">
        <v>22</v>
      </c>
      <c r="I24" s="7" t="str">
        <f>IF(J24&lt;&gt;"",J24,IF(Q38="","",Q38))</f>
        <v/>
      </c>
      <c r="J24" s="8"/>
      <c r="K24" s="2"/>
      <c r="L24" s="2"/>
      <c r="M24" s="131"/>
      <c r="P24" s="4" t="s">
        <v>12</v>
      </c>
      <c r="Q24" s="113"/>
      <c r="S24" s="114" t="str">
        <f t="shared" ref="S24:S26" si="3">IF(J17="","",J17)</f>
        <v/>
      </c>
    </row>
    <row r="25" spans="2:19" x14ac:dyDescent="0.25">
      <c r="B25" s="130"/>
      <c r="C25" s="139" t="s">
        <v>7</v>
      </c>
      <c r="D25" s="7" t="str">
        <f>IF(E25&lt;&gt;"",E25,IF(Q31="","",Q31))</f>
        <v/>
      </c>
      <c r="E25" s="8"/>
      <c r="F25" s="2"/>
      <c r="G25" s="2"/>
      <c r="H25" s="2"/>
      <c r="I25" s="2"/>
      <c r="J25" s="2"/>
      <c r="K25" s="2"/>
      <c r="L25" s="2"/>
      <c r="M25" s="131"/>
      <c r="P25" s="4" t="s">
        <v>17</v>
      </c>
      <c r="Q25" s="113"/>
      <c r="S25" s="114" t="str">
        <f t="shared" si="3"/>
        <v/>
      </c>
    </row>
    <row r="26" spans="2:19" x14ac:dyDescent="0.25">
      <c r="B26" s="130"/>
      <c r="C26" s="139" t="s">
        <v>12</v>
      </c>
      <c r="D26" s="7" t="str">
        <f>IF(E26&lt;&gt;"",E26,IF(Q32="","",Q32))</f>
        <v/>
      </c>
      <c r="E26" s="8"/>
      <c r="F26" s="2"/>
      <c r="G26" s="2"/>
      <c r="H26" s="10" t="s">
        <v>23</v>
      </c>
      <c r="I26" s="2"/>
      <c r="J26" s="2"/>
      <c r="K26" s="2"/>
      <c r="L26" s="2"/>
      <c r="M26" s="131"/>
      <c r="P26" s="4" t="s">
        <v>18</v>
      </c>
      <c r="Q26" s="113"/>
      <c r="S26" s="114" t="str">
        <f t="shared" si="3"/>
        <v/>
      </c>
    </row>
    <row r="27" spans="2:19" x14ac:dyDescent="0.25">
      <c r="B27" s="130"/>
      <c r="C27" s="10" t="s">
        <v>13</v>
      </c>
      <c r="D27" s="2"/>
      <c r="E27" s="2"/>
      <c r="F27" s="2"/>
      <c r="G27" s="2"/>
      <c r="H27" s="139" t="s">
        <v>24</v>
      </c>
      <c r="I27" s="7" t="str">
        <f>IF(J27&lt;&gt;"",J27,IF(Q39="","",Q39))</f>
        <v/>
      </c>
      <c r="J27" s="8"/>
      <c r="K27" s="2"/>
      <c r="L27" s="2"/>
      <c r="M27" s="131"/>
      <c r="P27" s="9" t="s">
        <v>291</v>
      </c>
    </row>
    <row r="28" spans="2:19" x14ac:dyDescent="0.25">
      <c r="B28" s="130"/>
      <c r="C28" s="139" t="s">
        <v>6</v>
      </c>
      <c r="D28" s="7" t="str">
        <f>IF(E28&lt;&gt;"",E28,IF(Q33="","",Q33))</f>
        <v/>
      </c>
      <c r="E28" s="8"/>
      <c r="F28" s="2"/>
      <c r="G28" s="2"/>
      <c r="H28" s="139" t="s">
        <v>25</v>
      </c>
      <c r="I28" s="7" t="str">
        <f>IF(J28&lt;&gt;"",J28,IF(Q40="","",Q40))</f>
        <v/>
      </c>
      <c r="J28" s="8"/>
      <c r="K28" s="2"/>
      <c r="L28" s="2"/>
      <c r="M28" s="131"/>
      <c r="P28" s="4" t="s">
        <v>9</v>
      </c>
      <c r="Q28" s="113"/>
      <c r="S28" s="114" t="str">
        <f>IF(E21="","",E21)</f>
        <v/>
      </c>
    </row>
    <row r="29" spans="2:19" x14ac:dyDescent="0.25">
      <c r="B29" s="130"/>
      <c r="C29" s="139" t="s">
        <v>7</v>
      </c>
      <c r="D29" s="7" t="str">
        <f>IF(E29&lt;&gt;"",E29,IF(Q34="","",Q34))</f>
        <v/>
      </c>
      <c r="E29" s="8"/>
      <c r="F29" s="2"/>
      <c r="G29" s="2"/>
      <c r="H29" s="2"/>
      <c r="I29" s="2"/>
      <c r="J29" s="2"/>
      <c r="K29" s="2"/>
      <c r="L29" s="2"/>
      <c r="M29" s="131"/>
      <c r="P29" s="4" t="s">
        <v>10</v>
      </c>
      <c r="Q29" s="113"/>
      <c r="S29" s="114" t="str">
        <f>IF(E22="","",E22)</f>
        <v/>
      </c>
    </row>
    <row r="30" spans="2:19" x14ac:dyDescent="0.25">
      <c r="B30" s="130"/>
      <c r="C30" s="139" t="s">
        <v>12</v>
      </c>
      <c r="D30" s="7" t="str">
        <f>IF(E30&lt;&gt;"",E30,IF(Q35="","",Q35))</f>
        <v/>
      </c>
      <c r="E30" s="8"/>
      <c r="F30" s="2"/>
      <c r="G30" s="2"/>
      <c r="H30" s="2"/>
      <c r="I30" s="2"/>
      <c r="J30" s="2"/>
      <c r="K30" s="2"/>
      <c r="L30" s="2"/>
      <c r="M30" s="131"/>
      <c r="P30" s="4" t="s">
        <v>6</v>
      </c>
      <c r="Q30" s="113"/>
      <c r="S30" s="114" t="str">
        <f>IF(E24="","",E24)</f>
        <v/>
      </c>
    </row>
    <row r="31" spans="2:19" ht="16.5" thickBot="1" x14ac:dyDescent="0.3"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5"/>
      <c r="P31" s="4" t="s">
        <v>7</v>
      </c>
      <c r="Q31" s="113"/>
      <c r="S31" s="114" t="str">
        <f t="shared" ref="S31:S32" si="4">IF(E25="","",E25)</f>
        <v/>
      </c>
    </row>
    <row r="32" spans="2:19" ht="16.5" thickTop="1" x14ac:dyDescent="0.25">
      <c r="P32" s="4" t="s">
        <v>12</v>
      </c>
      <c r="Q32" s="113"/>
      <c r="S32" s="114" t="str">
        <f t="shared" si="4"/>
        <v/>
      </c>
    </row>
    <row r="33" spans="2:19" ht="16.5" thickBot="1" x14ac:dyDescent="0.3">
      <c r="P33" s="4" t="s">
        <v>6</v>
      </c>
      <c r="Q33" s="113"/>
      <c r="S33" s="114" t="str">
        <f>IF(E28="","",E28)</f>
        <v/>
      </c>
    </row>
    <row r="34" spans="2:19" ht="16.5" thickTop="1" x14ac:dyDescent="0.25">
      <c r="B34" s="140" t="s">
        <v>32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  <c r="P34" s="4" t="s">
        <v>7</v>
      </c>
      <c r="Q34" s="113"/>
      <c r="S34" s="114" t="str">
        <f t="shared" ref="S34:S35" si="5">IF(E29="","",E29)</f>
        <v/>
      </c>
    </row>
    <row r="35" spans="2:19" x14ac:dyDescent="0.25">
      <c r="B35" s="141" t="str">
        <f>IF(C35&lt;&gt;"",C35,IF(OR(Q41=0,Q41=""),"",Q41))</f>
        <v/>
      </c>
      <c r="C35" s="184"/>
      <c r="D35" s="2" t="s">
        <v>33</v>
      </c>
      <c r="E35" s="2"/>
      <c r="F35" s="2"/>
      <c r="G35" s="2"/>
      <c r="H35" s="2"/>
      <c r="I35" s="139" t="s">
        <v>81</v>
      </c>
      <c r="J35" s="115" t="str">
        <f>IF(K35&lt;&gt;"",K35,IF(Q42="","",Q42))</f>
        <v/>
      </c>
      <c r="K35" s="184"/>
      <c r="L35" s="2"/>
      <c r="M35" s="131"/>
      <c r="P35" s="4" t="s">
        <v>12</v>
      </c>
      <c r="Q35" s="113"/>
      <c r="S35" s="114" t="str">
        <f t="shared" si="5"/>
        <v/>
      </c>
    </row>
    <row r="36" spans="2:19" x14ac:dyDescent="0.25">
      <c r="B36" s="130"/>
      <c r="C36" s="2"/>
      <c r="D36" s="2"/>
      <c r="E36" s="2"/>
      <c r="F36" s="2"/>
      <c r="G36" s="2"/>
      <c r="H36" s="2"/>
      <c r="I36" s="2"/>
      <c r="J36" s="2" t="s">
        <v>82</v>
      </c>
      <c r="K36" s="2"/>
      <c r="L36" s="2"/>
      <c r="M36" s="131"/>
      <c r="P36" s="4" t="s">
        <v>20</v>
      </c>
      <c r="Q36" s="113"/>
      <c r="S36" s="114" t="str">
        <f>IF(J22="","",J22)</f>
        <v/>
      </c>
    </row>
    <row r="37" spans="2:19" ht="16.5" thickBot="1" x14ac:dyDescent="0.3">
      <c r="B37" s="142" t="s">
        <v>41</v>
      </c>
      <c r="C37" s="2"/>
      <c r="D37" s="2"/>
      <c r="E37" s="2"/>
      <c r="F37" s="2"/>
      <c r="G37" s="2"/>
      <c r="H37" s="2"/>
      <c r="I37" s="2"/>
      <c r="J37" s="2" t="s">
        <v>83</v>
      </c>
      <c r="K37" s="2"/>
      <c r="L37" s="2"/>
      <c r="M37" s="131"/>
      <c r="P37" s="4" t="s">
        <v>21</v>
      </c>
      <c r="Q37" s="113"/>
      <c r="S37" s="114" t="str">
        <f t="shared" ref="S37:S38" si="6">IF(J23="","",J23)</f>
        <v/>
      </c>
    </row>
    <row r="38" spans="2:19" x14ac:dyDescent="0.25">
      <c r="B38" s="143"/>
      <c r="C38" s="2" t="s">
        <v>34</v>
      </c>
      <c r="D38" s="2"/>
      <c r="E38" s="2"/>
      <c r="F38" s="2"/>
      <c r="G38" s="2"/>
      <c r="H38" s="2"/>
      <c r="I38" s="2"/>
      <c r="J38" s="11">
        <f t="shared" ref="J38:J45" si="7">IF(K38&lt;&gt;"",K38,IF(Q43="","",Q43))</f>
        <v>1</v>
      </c>
      <c r="K38" s="14">
        <v>1</v>
      </c>
      <c r="L38" s="2"/>
      <c r="M38" s="131"/>
      <c r="P38" s="4" t="s">
        <v>22</v>
      </c>
      <c r="Q38" s="113"/>
      <c r="S38" s="114" t="str">
        <f t="shared" si="6"/>
        <v/>
      </c>
    </row>
    <row r="39" spans="2:19" x14ac:dyDescent="0.25">
      <c r="B39" s="143"/>
      <c r="C39" s="2" t="s">
        <v>35</v>
      </c>
      <c r="D39" s="2"/>
      <c r="E39" s="2"/>
      <c r="F39" s="2"/>
      <c r="G39" s="2"/>
      <c r="H39" s="2"/>
      <c r="I39" s="2"/>
      <c r="J39" s="12">
        <f t="shared" si="7"/>
        <v>2</v>
      </c>
      <c r="K39" s="15">
        <v>2</v>
      </c>
      <c r="L39" s="2"/>
      <c r="M39" s="131"/>
      <c r="P39" s="4" t="s">
        <v>24</v>
      </c>
      <c r="Q39" s="113"/>
    </row>
    <row r="40" spans="2:19" x14ac:dyDescent="0.25">
      <c r="B40" s="143"/>
      <c r="C40" s="2" t="s">
        <v>36</v>
      </c>
      <c r="D40" s="2"/>
      <c r="E40" s="2"/>
      <c r="F40" s="2"/>
      <c r="G40" s="2"/>
      <c r="H40" s="2"/>
      <c r="I40" s="2"/>
      <c r="J40" s="12">
        <f t="shared" si="7"/>
        <v>3</v>
      </c>
      <c r="K40" s="15">
        <v>3</v>
      </c>
      <c r="L40" s="2"/>
      <c r="M40" s="131"/>
      <c r="P40" s="4" t="s">
        <v>25</v>
      </c>
      <c r="Q40" s="113"/>
      <c r="S40" s="114" t="str">
        <f>IF(J27="","",J27)</f>
        <v/>
      </c>
    </row>
    <row r="41" spans="2:19" x14ac:dyDescent="0.25">
      <c r="B41" s="143"/>
      <c r="C41" s="2" t="s">
        <v>37</v>
      </c>
      <c r="D41" s="2"/>
      <c r="E41" s="2"/>
      <c r="F41" s="2"/>
      <c r="G41" s="2"/>
      <c r="H41" s="2"/>
      <c r="I41" s="2"/>
      <c r="J41" s="12" t="str">
        <f t="shared" si="7"/>
        <v>AP</v>
      </c>
      <c r="K41" s="15" t="s">
        <v>84</v>
      </c>
      <c r="L41" s="2"/>
      <c r="M41" s="131"/>
      <c r="P41" s="4" t="s">
        <v>297</v>
      </c>
      <c r="Q41" s="113"/>
      <c r="S41" s="114" t="str">
        <f>IF(C35="","",C35)</f>
        <v/>
      </c>
    </row>
    <row r="42" spans="2:19" x14ac:dyDescent="0.25">
      <c r="B42" s="143"/>
      <c r="C42" s="2" t="s">
        <v>38</v>
      </c>
      <c r="D42" s="2"/>
      <c r="E42" s="2"/>
      <c r="F42" s="2"/>
      <c r="G42" s="2"/>
      <c r="H42" s="2"/>
      <c r="I42" s="2"/>
      <c r="J42" s="12" t="str">
        <f t="shared" si="7"/>
        <v>Front</v>
      </c>
      <c r="K42" s="15" t="s">
        <v>85</v>
      </c>
      <c r="L42" s="2"/>
      <c r="M42" s="131"/>
      <c r="P42" s="4" t="s">
        <v>81</v>
      </c>
      <c r="Q42" s="113"/>
      <c r="S42" s="114" t="str">
        <f>IF(K35="","",K35)</f>
        <v/>
      </c>
    </row>
    <row r="43" spans="2:19" x14ac:dyDescent="0.25">
      <c r="B43" s="143"/>
      <c r="C43" s="2" t="s">
        <v>39</v>
      </c>
      <c r="D43" s="2"/>
      <c r="E43" s="2"/>
      <c r="F43" s="2"/>
      <c r="G43" s="2"/>
      <c r="H43" s="2"/>
      <c r="I43" s="2"/>
      <c r="J43" s="12" t="str">
        <f t="shared" si="7"/>
        <v>Frontal</v>
      </c>
      <c r="K43" s="15" t="s">
        <v>86</v>
      </c>
      <c r="L43" s="2"/>
      <c r="M43" s="131"/>
      <c r="P43" s="9" t="s">
        <v>292</v>
      </c>
      <c r="Q43" s="113"/>
      <c r="S43" s="114">
        <f t="shared" ref="S43:S50" si="8">IF(K38="","",K38)</f>
        <v>1</v>
      </c>
    </row>
    <row r="44" spans="2:19" x14ac:dyDescent="0.25">
      <c r="B44" s="143"/>
      <c r="C44" s="2" t="s">
        <v>40</v>
      </c>
      <c r="D44" s="2"/>
      <c r="E44" s="2"/>
      <c r="F44" s="2"/>
      <c r="G44" s="2"/>
      <c r="H44" s="2"/>
      <c r="I44" s="2"/>
      <c r="J44" s="12" t="str">
        <f t="shared" si="7"/>
        <v>Lat</v>
      </c>
      <c r="K44" s="15" t="s">
        <v>87</v>
      </c>
      <c r="L44" s="2"/>
      <c r="M44" s="131"/>
      <c r="Q44" s="113"/>
      <c r="S44" s="114">
        <f t="shared" si="8"/>
        <v>2</v>
      </c>
    </row>
    <row r="45" spans="2:19" ht="16.5" thickBot="1" x14ac:dyDescent="0.3">
      <c r="B45" s="130"/>
      <c r="C45" s="2"/>
      <c r="D45" s="2"/>
      <c r="E45" s="2"/>
      <c r="F45" s="2"/>
      <c r="G45" s="2"/>
      <c r="H45" s="2"/>
      <c r="I45" s="2"/>
      <c r="J45" s="13" t="str">
        <f t="shared" si="7"/>
        <v>Lateral</v>
      </c>
      <c r="K45" s="16" t="s">
        <v>88</v>
      </c>
      <c r="L45" s="2"/>
      <c r="M45" s="131"/>
      <c r="Q45" s="113"/>
      <c r="S45" s="114">
        <f t="shared" si="8"/>
        <v>3</v>
      </c>
    </row>
    <row r="46" spans="2:19" x14ac:dyDescent="0.25">
      <c r="B46" s="142" t="s">
        <v>57</v>
      </c>
      <c r="C46" s="2"/>
      <c r="D46" s="2"/>
      <c r="E46" s="2"/>
      <c r="F46" s="2"/>
      <c r="G46" s="2"/>
      <c r="H46" s="2"/>
      <c r="I46" s="2"/>
      <c r="J46" s="2" t="s">
        <v>89</v>
      </c>
      <c r="K46" s="2"/>
      <c r="L46" s="2"/>
      <c r="M46" s="131"/>
      <c r="Q46" s="113"/>
      <c r="S46" s="114" t="str">
        <f t="shared" si="8"/>
        <v>AP</v>
      </c>
    </row>
    <row r="47" spans="2:19" x14ac:dyDescent="0.25">
      <c r="B47" s="143"/>
      <c r="C47" s="2" t="s">
        <v>42</v>
      </c>
      <c r="D47" s="2"/>
      <c r="E47" s="2"/>
      <c r="F47" s="2"/>
      <c r="G47" s="2"/>
      <c r="H47" s="2"/>
      <c r="I47" s="2"/>
      <c r="J47" s="2" t="s">
        <v>89</v>
      </c>
      <c r="K47" s="2"/>
      <c r="L47" s="2"/>
      <c r="M47" s="131"/>
      <c r="Q47" s="113"/>
      <c r="S47" s="114" t="str">
        <f t="shared" si="8"/>
        <v>Front</v>
      </c>
    </row>
    <row r="48" spans="2:19" x14ac:dyDescent="0.25">
      <c r="B48" s="143"/>
      <c r="C48" s="2" t="s">
        <v>43</v>
      </c>
      <c r="D48" s="2"/>
      <c r="E48" s="2"/>
      <c r="F48" s="2"/>
      <c r="G48" s="2"/>
      <c r="H48" s="2"/>
      <c r="I48" s="2"/>
      <c r="J48" s="2"/>
      <c r="K48" s="2"/>
      <c r="L48" s="2"/>
      <c r="M48" s="131"/>
      <c r="Q48" s="113"/>
      <c r="S48" s="114" t="str">
        <f t="shared" si="8"/>
        <v>Frontal</v>
      </c>
    </row>
    <row r="49" spans="2:19" x14ac:dyDescent="0.25">
      <c r="B49" s="143"/>
      <c r="C49" s="2" t="s">
        <v>44</v>
      </c>
      <c r="D49" s="2"/>
      <c r="E49" s="2"/>
      <c r="F49" s="2"/>
      <c r="G49" s="2"/>
      <c r="H49" s="2"/>
      <c r="I49" s="2"/>
      <c r="J49" s="2"/>
      <c r="K49" s="2"/>
      <c r="L49" s="2"/>
      <c r="M49" s="131"/>
      <c r="Q49" s="113"/>
      <c r="S49" s="114" t="str">
        <f t="shared" si="8"/>
        <v>Lat</v>
      </c>
    </row>
    <row r="50" spans="2:19" x14ac:dyDescent="0.25">
      <c r="B50" s="143"/>
      <c r="C50" s="2" t="s">
        <v>45</v>
      </c>
      <c r="D50" s="2"/>
      <c r="E50" s="2"/>
      <c r="F50" s="2"/>
      <c r="G50" s="2"/>
      <c r="H50" s="2"/>
      <c r="I50" s="2"/>
      <c r="J50" s="2"/>
      <c r="K50" s="2"/>
      <c r="L50" s="2"/>
      <c r="M50" s="131"/>
      <c r="Q50" s="113"/>
      <c r="S50" s="114" t="str">
        <f t="shared" si="8"/>
        <v>Lateral</v>
      </c>
    </row>
    <row r="51" spans="2:19" x14ac:dyDescent="0.25">
      <c r="B51" s="143"/>
      <c r="C51" s="2" t="s">
        <v>46</v>
      </c>
      <c r="D51" s="2"/>
      <c r="E51" s="2"/>
      <c r="F51" s="2"/>
      <c r="G51" s="2"/>
      <c r="H51" s="2"/>
      <c r="I51" s="2"/>
      <c r="J51" s="2"/>
      <c r="K51" s="2"/>
      <c r="L51" s="2"/>
      <c r="M51" s="131"/>
      <c r="P51" s="9" t="s">
        <v>247</v>
      </c>
    </row>
    <row r="52" spans="2:19" x14ac:dyDescent="0.25">
      <c r="B52" s="143"/>
      <c r="C52" s="2" t="s">
        <v>47</v>
      </c>
      <c r="D52" s="2"/>
      <c r="E52" s="2"/>
      <c r="F52" s="2"/>
      <c r="G52" s="2"/>
      <c r="H52" s="2"/>
      <c r="I52" s="2"/>
      <c r="J52" s="2"/>
      <c r="K52" s="2"/>
      <c r="L52" s="2"/>
      <c r="M52" s="131"/>
      <c r="P52" s="4" t="s">
        <v>298</v>
      </c>
      <c r="Q52" s="113"/>
      <c r="S52" s="114" t="str">
        <f>IF(B103="","",B103)</f>
        <v/>
      </c>
    </row>
    <row r="53" spans="2:19" x14ac:dyDescent="0.25">
      <c r="B53" s="143"/>
      <c r="C53" s="2" t="s">
        <v>48</v>
      </c>
      <c r="D53" s="2"/>
      <c r="E53" s="2"/>
      <c r="F53" s="2"/>
      <c r="G53" s="2"/>
      <c r="H53" s="2"/>
      <c r="I53" s="2"/>
      <c r="J53" s="2"/>
      <c r="K53" s="2"/>
      <c r="L53" s="2"/>
      <c r="M53" s="131"/>
      <c r="P53" s="4" t="s">
        <v>299</v>
      </c>
      <c r="Q53" s="113"/>
      <c r="S53" s="114" t="str">
        <f>IF(B106="","",B106)</f>
        <v/>
      </c>
    </row>
    <row r="54" spans="2:19" x14ac:dyDescent="0.25">
      <c r="B54" s="143"/>
      <c r="C54" s="2" t="s">
        <v>49</v>
      </c>
      <c r="D54" s="2"/>
      <c r="E54" s="2"/>
      <c r="F54" s="2"/>
      <c r="G54" s="2"/>
      <c r="H54" s="2"/>
      <c r="I54" s="2"/>
      <c r="J54" s="2"/>
      <c r="K54" s="2"/>
      <c r="L54" s="2"/>
      <c r="M54" s="131"/>
      <c r="P54" s="4" t="s">
        <v>300</v>
      </c>
      <c r="Q54" s="113"/>
      <c r="S54" s="114" t="str">
        <f>IF(B109="","",B109)</f>
        <v/>
      </c>
    </row>
    <row r="55" spans="2:19" x14ac:dyDescent="0.25">
      <c r="B55" s="143"/>
      <c r="C55" s="2" t="s">
        <v>50</v>
      </c>
      <c r="D55" s="2"/>
      <c r="E55" s="2"/>
      <c r="F55" s="2"/>
      <c r="G55" s="2"/>
      <c r="H55" s="2"/>
      <c r="I55" s="2"/>
      <c r="J55" s="2"/>
      <c r="K55" s="2"/>
      <c r="L55" s="2"/>
      <c r="M55" s="131"/>
      <c r="P55" s="9" t="s">
        <v>301</v>
      </c>
    </row>
    <row r="56" spans="2:19" x14ac:dyDescent="0.25">
      <c r="B56" s="143"/>
      <c r="C56" s="2" t="s">
        <v>51</v>
      </c>
      <c r="D56" s="2"/>
      <c r="E56" s="2"/>
      <c r="F56" s="2"/>
      <c r="G56" s="2"/>
      <c r="H56" s="2"/>
      <c r="I56" s="2"/>
      <c r="J56" s="2"/>
      <c r="K56" s="2"/>
      <c r="L56" s="2"/>
      <c r="M56" s="131"/>
      <c r="P56" s="4" t="s">
        <v>302</v>
      </c>
      <c r="Q56" s="113"/>
      <c r="S56" s="114" t="str">
        <f>IF(C91="","",C91)</f>
        <v/>
      </c>
    </row>
    <row r="57" spans="2:19" x14ac:dyDescent="0.25">
      <c r="B57" s="143"/>
      <c r="C57" s="2" t="s">
        <v>52</v>
      </c>
      <c r="D57" s="2"/>
      <c r="E57" s="2"/>
      <c r="F57" s="2"/>
      <c r="G57" s="2"/>
      <c r="H57" s="2"/>
      <c r="I57" s="2"/>
      <c r="J57" s="2"/>
      <c r="K57" s="2"/>
      <c r="L57" s="2"/>
      <c r="M57" s="131"/>
      <c r="P57" s="4" t="s">
        <v>303</v>
      </c>
      <c r="Q57" s="113"/>
      <c r="S57" s="114"/>
    </row>
    <row r="58" spans="2:19" x14ac:dyDescent="0.25">
      <c r="B58" s="143"/>
      <c r="C58" s="2" t="s">
        <v>53</v>
      </c>
      <c r="D58" s="2"/>
      <c r="E58" s="2"/>
      <c r="F58" s="2"/>
      <c r="G58" s="2"/>
      <c r="H58" s="2"/>
      <c r="I58" s="2"/>
      <c r="J58" s="2"/>
      <c r="K58" s="2"/>
      <c r="L58" s="2"/>
      <c r="M58" s="131"/>
      <c r="P58" s="4" t="s">
        <v>304</v>
      </c>
      <c r="Q58" s="113"/>
      <c r="S58" s="114"/>
    </row>
    <row r="59" spans="2:19" x14ac:dyDescent="0.25">
      <c r="B59" s="143"/>
      <c r="C59" s="2" t="s">
        <v>54</v>
      </c>
      <c r="D59" s="2"/>
      <c r="E59" s="2"/>
      <c r="F59" s="2"/>
      <c r="G59" s="2"/>
      <c r="H59" s="2"/>
      <c r="I59" s="2"/>
      <c r="J59" s="2"/>
      <c r="K59" s="2"/>
      <c r="L59" s="2"/>
      <c r="M59" s="131"/>
      <c r="P59" s="4" t="s">
        <v>305</v>
      </c>
      <c r="Q59" s="113"/>
      <c r="S59" s="114"/>
    </row>
    <row r="60" spans="2:19" x14ac:dyDescent="0.25">
      <c r="B60" s="143"/>
      <c r="C60" s="2" t="s">
        <v>55</v>
      </c>
      <c r="D60" s="2"/>
      <c r="E60" s="2"/>
      <c r="F60" s="2"/>
      <c r="G60" s="2"/>
      <c r="H60" s="2"/>
      <c r="I60" s="2"/>
      <c r="J60" s="2"/>
      <c r="K60" s="2"/>
      <c r="L60" s="2"/>
      <c r="M60" s="131"/>
      <c r="P60" s="4" t="s">
        <v>306</v>
      </c>
      <c r="Q60" s="113"/>
      <c r="S60" s="114"/>
    </row>
    <row r="61" spans="2:19" x14ac:dyDescent="0.25">
      <c r="B61" s="143"/>
      <c r="C61" s="2" t="s">
        <v>56</v>
      </c>
      <c r="D61" s="2"/>
      <c r="E61" s="2"/>
      <c r="F61" s="2"/>
      <c r="G61" s="2"/>
      <c r="H61" s="2"/>
      <c r="I61" s="2"/>
      <c r="J61" s="2"/>
      <c r="K61" s="2"/>
      <c r="L61" s="2"/>
      <c r="M61" s="131"/>
      <c r="P61" s="4" t="s">
        <v>307</v>
      </c>
      <c r="Q61" s="113"/>
      <c r="S61" s="114" t="str">
        <f>IF(J91="","",J91)</f>
        <v/>
      </c>
    </row>
    <row r="62" spans="2:19" x14ac:dyDescent="0.25">
      <c r="B62" s="130"/>
      <c r="C62" s="2"/>
      <c r="D62" s="2"/>
      <c r="E62" s="2"/>
      <c r="F62" s="2"/>
      <c r="G62" s="2"/>
      <c r="H62" s="2"/>
      <c r="I62" s="2"/>
      <c r="J62" s="2"/>
      <c r="K62" s="2"/>
      <c r="L62" s="2"/>
      <c r="M62" s="131"/>
      <c r="P62" s="4" t="s">
        <v>308</v>
      </c>
      <c r="Q62" s="113"/>
      <c r="S62" s="114" t="str">
        <f t="shared" ref="S62:S64" si="9">IF(J92="","",J92)</f>
        <v/>
      </c>
    </row>
    <row r="63" spans="2:19" x14ac:dyDescent="0.25">
      <c r="B63" s="142" t="s">
        <v>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131"/>
      <c r="P63" s="4" t="s">
        <v>309</v>
      </c>
      <c r="Q63" s="113"/>
      <c r="S63" s="114" t="str">
        <f t="shared" si="9"/>
        <v/>
      </c>
    </row>
    <row r="64" spans="2:19" x14ac:dyDescent="0.25">
      <c r="B64" s="143"/>
      <c r="C64" s="2" t="s">
        <v>59</v>
      </c>
      <c r="D64" s="2"/>
      <c r="E64" s="2"/>
      <c r="F64" s="2"/>
      <c r="G64" s="2"/>
      <c r="H64" s="2"/>
      <c r="I64" s="2"/>
      <c r="J64" s="2"/>
      <c r="K64" s="2"/>
      <c r="L64" s="2"/>
      <c r="M64" s="131"/>
      <c r="P64" s="4" t="s">
        <v>310</v>
      </c>
      <c r="Q64" s="113"/>
      <c r="S64" s="114" t="str">
        <f t="shared" si="9"/>
        <v/>
      </c>
    </row>
    <row r="65" spans="2:19" x14ac:dyDescent="0.25">
      <c r="B65" s="143"/>
      <c r="C65" s="2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131"/>
      <c r="P65" s="4" t="s">
        <v>311</v>
      </c>
      <c r="Q65" s="113"/>
      <c r="S65" s="114" t="str">
        <f>IF(E98="","",E98)</f>
        <v/>
      </c>
    </row>
    <row r="66" spans="2:19" x14ac:dyDescent="0.25">
      <c r="B66" s="143"/>
      <c r="C66" s="2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131"/>
      <c r="P66" s="4" t="s">
        <v>312</v>
      </c>
      <c r="Q66" s="113"/>
      <c r="S66" s="114" t="str">
        <f>IF(H98="","",H98)</f>
        <v/>
      </c>
    </row>
    <row r="67" spans="2:19" x14ac:dyDescent="0.25">
      <c r="B67" s="143"/>
      <c r="C67" s="2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131"/>
      <c r="P67" s="4" t="s">
        <v>313</v>
      </c>
      <c r="Q67" s="113"/>
      <c r="S67" s="114" t="str">
        <f>IF(K98="","",K98)</f>
        <v/>
      </c>
    </row>
    <row r="68" spans="2:19" x14ac:dyDescent="0.25">
      <c r="B68" s="143"/>
      <c r="C68" s="2" t="s">
        <v>63</v>
      </c>
      <c r="D68" s="2"/>
      <c r="E68" s="2"/>
      <c r="F68" s="2"/>
      <c r="G68" s="2"/>
      <c r="H68" s="2"/>
      <c r="I68" s="2"/>
      <c r="J68" s="2"/>
      <c r="K68" s="2"/>
      <c r="L68" s="2"/>
      <c r="M68" s="131"/>
      <c r="P68" s="9" t="s">
        <v>315</v>
      </c>
    </row>
    <row r="69" spans="2:19" x14ac:dyDescent="0.25">
      <c r="B69" s="143"/>
      <c r="C69" s="2" t="s">
        <v>64</v>
      </c>
      <c r="D69" s="2"/>
      <c r="E69" s="2"/>
      <c r="F69" s="2"/>
      <c r="G69" s="2"/>
      <c r="H69" s="2"/>
      <c r="I69" s="2"/>
      <c r="J69" s="2"/>
      <c r="K69" s="2"/>
      <c r="L69" s="2"/>
      <c r="M69" s="131"/>
      <c r="P69" s="4" t="s">
        <v>316</v>
      </c>
      <c r="Q69" s="113"/>
      <c r="S69" s="114">
        <f>IF(D110="","",D110)</f>
        <v>0</v>
      </c>
    </row>
    <row r="70" spans="2:19" x14ac:dyDescent="0.25">
      <c r="B70" s="143"/>
      <c r="C70" s="2" t="s">
        <v>65</v>
      </c>
      <c r="D70" s="2"/>
      <c r="E70" s="2"/>
      <c r="F70" s="2"/>
      <c r="G70" s="2"/>
      <c r="H70" s="2"/>
      <c r="I70" s="2"/>
      <c r="J70" s="2"/>
      <c r="K70" s="2"/>
      <c r="L70" s="2"/>
      <c r="M70" s="131"/>
      <c r="P70" s="4" t="s">
        <v>317</v>
      </c>
      <c r="Q70" s="113"/>
      <c r="S70" s="114">
        <f>IF(E110="","",E110)</f>
        <v>0</v>
      </c>
    </row>
    <row r="71" spans="2:19" x14ac:dyDescent="0.25">
      <c r="B71" s="143"/>
      <c r="C71" s="2" t="s">
        <v>66</v>
      </c>
      <c r="D71" s="2"/>
      <c r="E71" s="2"/>
      <c r="F71" s="2"/>
      <c r="G71" s="2"/>
      <c r="H71" s="2"/>
      <c r="I71" s="2"/>
      <c r="J71" s="2"/>
      <c r="K71" s="2"/>
      <c r="L71" s="2"/>
      <c r="M71" s="131"/>
      <c r="P71" s="4" t="s">
        <v>318</v>
      </c>
      <c r="Q71" s="113"/>
      <c r="S71" s="114">
        <f>IF(F110="","",F110)</f>
        <v>0</v>
      </c>
    </row>
    <row r="72" spans="2:19" x14ac:dyDescent="0.25">
      <c r="B72" s="130"/>
      <c r="C72" s="2"/>
      <c r="D72" s="2"/>
      <c r="E72" s="2"/>
      <c r="F72" s="2"/>
      <c r="G72" s="2"/>
      <c r="H72" s="2"/>
      <c r="I72" s="2"/>
      <c r="J72" s="2"/>
      <c r="K72" s="2"/>
      <c r="L72" s="2"/>
      <c r="M72" s="131"/>
      <c r="P72" s="4" t="s">
        <v>316</v>
      </c>
      <c r="Q72" s="113"/>
      <c r="S72" s="114">
        <f>IF(G110="","",G110)</f>
        <v>0</v>
      </c>
    </row>
    <row r="73" spans="2:19" x14ac:dyDescent="0.25">
      <c r="B73" s="142" t="s">
        <v>67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31"/>
      <c r="P73" s="4" t="s">
        <v>317</v>
      </c>
      <c r="Q73" s="113"/>
      <c r="S73" s="114">
        <f>IF(H110="","",H110)</f>
        <v>0</v>
      </c>
    </row>
    <row r="74" spans="2:19" x14ac:dyDescent="0.25">
      <c r="B74" s="143"/>
      <c r="C74" s="2" t="s">
        <v>68</v>
      </c>
      <c r="D74" s="2"/>
      <c r="E74" s="2"/>
      <c r="F74" s="2"/>
      <c r="G74" s="2"/>
      <c r="H74" s="2"/>
      <c r="I74" s="2"/>
      <c r="J74" s="2"/>
      <c r="K74" s="2"/>
      <c r="L74" s="2"/>
      <c r="M74" s="131"/>
      <c r="P74" s="4" t="s">
        <v>318</v>
      </c>
      <c r="Q74" s="113"/>
      <c r="S74" s="114">
        <f>IF(I110="","",I110)</f>
        <v>0</v>
      </c>
    </row>
    <row r="75" spans="2:19" x14ac:dyDescent="0.25">
      <c r="B75" s="143"/>
      <c r="C75" s="2" t="s">
        <v>69</v>
      </c>
      <c r="D75" s="2"/>
      <c r="E75" s="2"/>
      <c r="F75" s="2"/>
      <c r="G75" s="2"/>
      <c r="H75" s="2"/>
      <c r="I75" s="2"/>
      <c r="J75" s="2"/>
      <c r="K75" s="2"/>
      <c r="L75" s="2"/>
      <c r="M75" s="131"/>
      <c r="P75" s="4" t="s">
        <v>316</v>
      </c>
      <c r="Q75" s="113"/>
      <c r="S75" s="114">
        <f>IF(J110="","",J110)</f>
        <v>0</v>
      </c>
    </row>
    <row r="76" spans="2:19" x14ac:dyDescent="0.25">
      <c r="B76" s="143"/>
      <c r="C76" s="2" t="s">
        <v>70</v>
      </c>
      <c r="D76" s="2"/>
      <c r="E76" s="2"/>
      <c r="F76" s="2"/>
      <c r="G76" s="2"/>
      <c r="H76" s="2"/>
      <c r="I76" s="2"/>
      <c r="J76" s="2"/>
      <c r="K76" s="2"/>
      <c r="L76" s="2"/>
      <c r="M76" s="131"/>
      <c r="P76" s="4" t="s">
        <v>317</v>
      </c>
      <c r="Q76" s="113"/>
      <c r="S76" s="114">
        <f>IF(J110="","",K110)</f>
        <v>0</v>
      </c>
    </row>
    <row r="77" spans="2:19" x14ac:dyDescent="0.25">
      <c r="B77" s="143"/>
      <c r="C77" s="2" t="s">
        <v>71</v>
      </c>
      <c r="D77" s="2"/>
      <c r="E77" s="2"/>
      <c r="F77" s="2"/>
      <c r="G77" s="2"/>
      <c r="H77" s="2"/>
      <c r="I77" s="2"/>
      <c r="J77" s="2"/>
      <c r="K77" s="2"/>
      <c r="L77" s="2"/>
      <c r="M77" s="131"/>
      <c r="P77" s="4" t="s">
        <v>318</v>
      </c>
      <c r="Q77" s="113"/>
      <c r="S77" s="114">
        <f>IF(L110="","",L110)</f>
        <v>0</v>
      </c>
    </row>
    <row r="78" spans="2:19" x14ac:dyDescent="0.25">
      <c r="B78" s="143"/>
      <c r="C78" s="2" t="s">
        <v>72</v>
      </c>
      <c r="D78" s="2"/>
      <c r="E78" s="2"/>
      <c r="F78" s="2"/>
      <c r="G78" s="2"/>
      <c r="H78" s="2"/>
      <c r="I78" s="2"/>
      <c r="J78" s="2"/>
      <c r="K78" s="2"/>
      <c r="L78" s="2"/>
      <c r="M78" s="131"/>
      <c r="P78" s="9" t="s">
        <v>131</v>
      </c>
    </row>
    <row r="79" spans="2:19" x14ac:dyDescent="0.25">
      <c r="B79" s="143"/>
      <c r="C79" s="2" t="str">
        <f>IF(OR(B35="",B35=1),"Unit installed as shown on shielding plan","")</f>
        <v>Unit installed as shown on shielding plan</v>
      </c>
      <c r="D79" s="2"/>
      <c r="E79" s="2"/>
      <c r="F79" s="2"/>
      <c r="G79" s="2"/>
      <c r="H79" s="2"/>
      <c r="I79" s="2"/>
      <c r="J79" s="2"/>
      <c r="K79" s="2"/>
      <c r="L79" s="2"/>
      <c r="M79" s="131"/>
      <c r="P79" s="4" t="s">
        <v>319</v>
      </c>
      <c r="Q79" s="113"/>
      <c r="S79" s="114">
        <f>IF(HVL_KV="","",HVL_KV)</f>
        <v>80</v>
      </c>
    </row>
    <row r="80" spans="2:19" x14ac:dyDescent="0.25">
      <c r="B80" s="130"/>
      <c r="C80" s="2"/>
      <c r="D80" s="2"/>
      <c r="E80" s="2"/>
      <c r="F80" s="2"/>
      <c r="G80" s="2"/>
      <c r="H80" s="2"/>
      <c r="I80" s="2"/>
      <c r="J80" s="2"/>
      <c r="K80" s="2"/>
      <c r="L80" s="2"/>
      <c r="M80" s="131"/>
      <c r="P80" s="4" t="s">
        <v>320</v>
      </c>
      <c r="Q80" s="113"/>
      <c r="S80" s="114" t="str">
        <f>IF(HVL="","",HVL)</f>
        <v>TBD</v>
      </c>
    </row>
    <row r="81" spans="2:19" x14ac:dyDescent="0.25">
      <c r="B81" s="142" t="s">
        <v>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131"/>
      <c r="P81" s="9" t="s">
        <v>321</v>
      </c>
    </row>
    <row r="82" spans="2:19" x14ac:dyDescent="0.25">
      <c r="B82" s="143"/>
      <c r="C82" s="2" t="s">
        <v>74</v>
      </c>
      <c r="D82" s="2"/>
      <c r="E82" s="2"/>
      <c r="F82" s="2"/>
      <c r="G82" s="2"/>
      <c r="H82" s="2"/>
      <c r="I82" s="2"/>
      <c r="J82" s="2"/>
      <c r="K82" s="2"/>
      <c r="L82" s="2"/>
      <c r="M82" s="131"/>
      <c r="P82" s="4" t="s">
        <v>322</v>
      </c>
      <c r="Q82" s="113"/>
      <c r="S82" s="114">
        <f>IF(G171="","",G171)</f>
        <v>0</v>
      </c>
    </row>
    <row r="83" spans="2:19" x14ac:dyDescent="0.25">
      <c r="B83" s="143"/>
      <c r="C83" s="2" t="s">
        <v>75</v>
      </c>
      <c r="D83" s="2"/>
      <c r="E83" s="2"/>
      <c r="F83" s="2"/>
      <c r="G83" s="2"/>
      <c r="H83" s="2"/>
      <c r="I83" s="2"/>
      <c r="J83" s="2"/>
      <c r="K83" s="2"/>
      <c r="L83" s="2"/>
      <c r="M83" s="131"/>
      <c r="P83" s="4" t="s">
        <v>323</v>
      </c>
      <c r="Q83" s="113"/>
      <c r="S83" s="114" t="str">
        <f>IF(H174="","",H174)</f>
        <v/>
      </c>
    </row>
    <row r="84" spans="2:19" x14ac:dyDescent="0.25">
      <c r="B84" s="143"/>
      <c r="C84" s="2" t="s">
        <v>76</v>
      </c>
      <c r="D84" s="2"/>
      <c r="E84" s="2"/>
      <c r="F84" s="2"/>
      <c r="G84" s="2"/>
      <c r="H84" s="2"/>
      <c r="I84" s="2"/>
      <c r="J84" s="2"/>
      <c r="K84" s="2"/>
      <c r="L84" s="2"/>
      <c r="M84" s="131"/>
      <c r="P84" s="4" t="s">
        <v>324</v>
      </c>
      <c r="Q84" s="113"/>
      <c r="S84" s="114" t="str">
        <f>IF(H175="","",H175)</f>
        <v/>
      </c>
    </row>
    <row r="85" spans="2:19" x14ac:dyDescent="0.25">
      <c r="B85" s="143"/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  <c r="M85" s="131"/>
      <c r="P85" s="4" t="s">
        <v>325</v>
      </c>
      <c r="Q85" s="113"/>
      <c r="S85" s="114" t="str">
        <f>IF(I174="","",I174)</f>
        <v/>
      </c>
    </row>
    <row r="86" spans="2:19" x14ac:dyDescent="0.25">
      <c r="B86" s="143"/>
      <c r="C86" s="2" t="s">
        <v>78</v>
      </c>
      <c r="D86" s="2"/>
      <c r="E86" s="2"/>
      <c r="F86" s="2"/>
      <c r="G86" s="2"/>
      <c r="H86" s="2"/>
      <c r="I86" s="2"/>
      <c r="J86" s="2"/>
      <c r="K86" s="2"/>
      <c r="L86" s="2"/>
      <c r="M86" s="131"/>
      <c r="P86" s="4" t="s">
        <v>326</v>
      </c>
      <c r="Q86" s="113"/>
      <c r="S86" s="114" t="str">
        <f>IF(I175="","",I175)</f>
        <v/>
      </c>
    </row>
    <row r="87" spans="2:19" x14ac:dyDescent="0.25">
      <c r="B87" s="143"/>
      <c r="C87" s="2" t="s">
        <v>79</v>
      </c>
      <c r="D87" s="2"/>
      <c r="E87" s="2"/>
      <c r="F87" s="2"/>
      <c r="G87" s="2"/>
      <c r="H87" s="2"/>
      <c r="I87" s="2"/>
      <c r="J87" s="2"/>
      <c r="K87" s="2"/>
      <c r="L87" s="2"/>
      <c r="M87" s="131"/>
      <c r="P87" s="9" t="s">
        <v>327</v>
      </c>
    </row>
    <row r="88" spans="2:19" ht="16.5" thickBot="1" x14ac:dyDescent="0.3">
      <c r="B88" s="132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5"/>
      <c r="P88" s="4" t="str">
        <f>$D$99&amp;" Normal:"</f>
        <v xml:space="preserve"> Normal:</v>
      </c>
      <c r="Q88" s="113"/>
      <c r="S88" s="114" t="str">
        <f>IF(G186="","",G186)</f>
        <v/>
      </c>
    </row>
    <row r="89" spans="2:19" ht="16.5" thickTop="1" x14ac:dyDescent="0.25">
      <c r="B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9"/>
      <c r="P89" s="4" t="str">
        <f>$D$99&amp;" Mag 1:"</f>
        <v xml:space="preserve"> Mag 1:</v>
      </c>
      <c r="Q89" s="113"/>
      <c r="S89" s="114" t="str">
        <f t="shared" ref="S89:S96" si="10">IF(G187="","",G187)</f>
        <v/>
      </c>
    </row>
    <row r="90" spans="2:19" x14ac:dyDescent="0.25">
      <c r="B90" s="142" t="s">
        <v>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131"/>
      <c r="P90" s="4" t="str">
        <f>$D$99&amp;" Mag 2:"</f>
        <v xml:space="preserve"> Mag 2:</v>
      </c>
      <c r="Q90" s="113"/>
      <c r="S90" s="114" t="str">
        <f t="shared" si="10"/>
        <v/>
      </c>
    </row>
    <row r="91" spans="2:19" x14ac:dyDescent="0.25">
      <c r="B91" s="144" t="str">
        <f>IF(C91&lt;&gt;"",C91,IF(Q56="","",Q56))</f>
        <v/>
      </c>
      <c r="C91" s="184"/>
      <c r="D91" s="145" t="s">
        <v>90</v>
      </c>
      <c r="E91" s="2"/>
      <c r="F91" s="2"/>
      <c r="G91" s="2"/>
      <c r="H91" s="2"/>
      <c r="I91" s="115" t="str">
        <f>IF(J91&lt;&gt;"",J91,IF(Q61="","",Q61))</f>
        <v/>
      </c>
      <c r="J91" s="184"/>
      <c r="K91" s="145" t="s">
        <v>92</v>
      </c>
      <c r="L91" s="2"/>
      <c r="M91" s="131"/>
      <c r="P91" s="4" t="str">
        <f>$G$99&amp;" Normal:"</f>
        <v xml:space="preserve"> Normal:</v>
      </c>
      <c r="Q91" s="113"/>
      <c r="S91" s="114" t="str">
        <f t="shared" si="10"/>
        <v/>
      </c>
    </row>
    <row r="92" spans="2:19" x14ac:dyDescent="0.25">
      <c r="B92" s="144" t="str">
        <f>IF(C92&lt;&gt;"",C92,IF(Q57="","",Q57))</f>
        <v/>
      </c>
      <c r="C92" s="184"/>
      <c r="D92" s="145" t="s">
        <v>91</v>
      </c>
      <c r="E92" s="2"/>
      <c r="F92" s="2"/>
      <c r="G92" s="2"/>
      <c r="H92" s="2"/>
      <c r="I92" s="115" t="str">
        <f t="shared" ref="I92:I94" si="11">IF(J92&lt;&gt;"",J92,IF(Q62="","",Q62))</f>
        <v/>
      </c>
      <c r="J92" s="184"/>
      <c r="K92" s="145" t="s">
        <v>93</v>
      </c>
      <c r="L92" s="2"/>
      <c r="M92" s="131"/>
      <c r="P92" s="4" t="str">
        <f>$G$99&amp;" Mag 1:"</f>
        <v xml:space="preserve"> Mag 1:</v>
      </c>
      <c r="Q92" s="113"/>
      <c r="S92" s="114" t="str">
        <f t="shared" si="10"/>
        <v/>
      </c>
    </row>
    <row r="93" spans="2:19" x14ac:dyDescent="0.25">
      <c r="B93" s="144" t="str">
        <f>IF(C93&lt;&gt;"",C93,IF(Q58="","",Q58))</f>
        <v/>
      </c>
      <c r="C93" s="184"/>
      <c r="D93" s="145" t="s">
        <v>95</v>
      </c>
      <c r="E93" s="2"/>
      <c r="F93" s="2"/>
      <c r="G93" s="2"/>
      <c r="H93" s="2"/>
      <c r="I93" s="115" t="str">
        <f>IF(J93&lt;&gt;"",J93,IF(Q63="","",Q63))</f>
        <v/>
      </c>
      <c r="J93" s="184"/>
      <c r="K93" s="145" t="s">
        <v>186</v>
      </c>
      <c r="L93" s="2"/>
      <c r="M93" s="131"/>
      <c r="P93" s="4" t="str">
        <f>$G$99&amp;" Mag 2:"</f>
        <v xml:space="preserve"> Mag 2:</v>
      </c>
      <c r="Q93" s="113"/>
      <c r="S93" s="114" t="str">
        <f t="shared" si="10"/>
        <v/>
      </c>
    </row>
    <row r="94" spans="2:19" x14ac:dyDescent="0.25">
      <c r="B94" s="144" t="str">
        <f>IF(C94&lt;&gt;"",C94,IF(Q59="","",Q59))</f>
        <v/>
      </c>
      <c r="C94" s="184"/>
      <c r="D94" s="145" t="s">
        <v>96</v>
      </c>
      <c r="E94" s="2"/>
      <c r="F94" s="2"/>
      <c r="G94" s="2"/>
      <c r="H94" s="2"/>
      <c r="I94" s="115" t="str">
        <f t="shared" si="11"/>
        <v/>
      </c>
      <c r="J94" s="184"/>
      <c r="K94" s="145" t="s">
        <v>94</v>
      </c>
      <c r="L94" s="2"/>
      <c r="M94" s="131"/>
      <c r="P94" s="4" t="str">
        <f>$J$99&amp;" Normal:"</f>
        <v xml:space="preserve"> Normal:</v>
      </c>
      <c r="Q94" s="113"/>
      <c r="S94" s="114" t="str">
        <f t="shared" si="10"/>
        <v/>
      </c>
    </row>
    <row r="95" spans="2:19" x14ac:dyDescent="0.25">
      <c r="B95" s="144" t="str">
        <f>IF(C95&lt;&gt;"",C95,IF(Q60="","",Q60))</f>
        <v>cm</v>
      </c>
      <c r="C95" s="184" t="s">
        <v>314</v>
      </c>
      <c r="D95" s="145" t="s">
        <v>97</v>
      </c>
      <c r="E95" s="2"/>
      <c r="F95" s="2"/>
      <c r="G95" s="2"/>
      <c r="H95" s="2"/>
      <c r="I95" s="2"/>
      <c r="J95" s="2"/>
      <c r="K95" s="2"/>
      <c r="L95" s="2"/>
      <c r="M95" s="131"/>
      <c r="P95" s="4" t="str">
        <f>$J$99&amp;" Mag 1:"</f>
        <v xml:space="preserve"> Mag 1:</v>
      </c>
      <c r="Q95" s="113"/>
      <c r="S95" s="114" t="str">
        <f t="shared" si="10"/>
        <v/>
      </c>
    </row>
    <row r="96" spans="2:19" x14ac:dyDescent="0.25">
      <c r="B96" s="146" t="str">
        <f>IF(AND(B93&gt;2,B94=1),"NOTE:  Record data for lowest and highest regular dose rate settings, and the ""High Level"" setting",IF(AND(B93&gt;2,B94=2),"NOTE:  Record data for lowest, medium, and highest regular dose rate settings.","Blank"))</f>
        <v>Blank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131"/>
      <c r="P96" s="4" t="str">
        <f>$J$99&amp;" Mag 2:"</f>
        <v xml:space="preserve"> Mag 2:</v>
      </c>
      <c r="Q96" s="113"/>
      <c r="S96" s="114" t="str">
        <f t="shared" si="10"/>
        <v/>
      </c>
    </row>
    <row r="97" spans="2:19" x14ac:dyDescent="0.25">
      <c r="B97" s="147" t="s">
        <v>98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131"/>
      <c r="P97" s="9" t="s">
        <v>244</v>
      </c>
    </row>
    <row r="98" spans="2:19" x14ac:dyDescent="0.25">
      <c r="B98" s="148" t="s">
        <v>99</v>
      </c>
      <c r="C98" s="189" t="s">
        <v>100</v>
      </c>
      <c r="D98" s="24" t="str">
        <f>IF(E98&lt;&gt;"",E98,IF(Q65="","",Q65))</f>
        <v/>
      </c>
      <c r="E98" s="8"/>
      <c r="F98" s="19"/>
      <c r="G98" s="24" t="str">
        <f>IF(H98&lt;&gt;"",H98,IF(Q66="","",Q66))</f>
        <v/>
      </c>
      <c r="H98" s="8"/>
      <c r="I98" s="19"/>
      <c r="J98" s="17" t="str">
        <f>IF(K98&lt;&gt;"",K98,IF(Q67="","",Q67))</f>
        <v/>
      </c>
      <c r="K98" s="8"/>
      <c r="L98" s="19"/>
      <c r="M98" s="131"/>
      <c r="P98" s="4" t="s">
        <v>253</v>
      </c>
      <c r="Q98" s="113"/>
      <c r="S98" s="114">
        <f>IF(LEEDS_KV="","",LEEDS_KV)</f>
        <v>70</v>
      </c>
    </row>
    <row r="99" spans="2:19" x14ac:dyDescent="0.25">
      <c r="B99" s="148" t="s">
        <v>101</v>
      </c>
      <c r="C99" s="189" t="s">
        <v>102</v>
      </c>
      <c r="D99" s="197" t="str">
        <f>IF(D98&lt;&gt;"",D98,IF(AUTO_MANUAL=1,"Manual 1",IF(AUTO_MA="","",AUTO_MA&amp;" 1")))</f>
        <v/>
      </c>
      <c r="E99" s="193"/>
      <c r="F99" s="194"/>
      <c r="G99" s="197" t="str">
        <f>IF(G98&lt;&gt;"",G98,IF(AUTO_MANUAL=1,"Manual 1",IF(AUTO_MA="","",AUTO_MA&amp;" 1")))</f>
        <v/>
      </c>
      <c r="H99" s="193"/>
      <c r="I99" s="194"/>
      <c r="J99" s="193" t="str">
        <f>IF(J98&lt;&gt;"",J98,IF(AUTO_MANUAL=1,"Manual 1",IF(AUTO_MA="","",AUTO_MA&amp;" 1")))</f>
        <v/>
      </c>
      <c r="K99" s="193"/>
      <c r="L99" s="194"/>
      <c r="M99" s="131"/>
      <c r="P99" s="4" t="s">
        <v>328</v>
      </c>
      <c r="Q99" s="113"/>
      <c r="S99" s="114"/>
    </row>
    <row r="100" spans="2:19" ht="16.5" thickBot="1" x14ac:dyDescent="0.3">
      <c r="B100" s="148" t="s">
        <v>103</v>
      </c>
      <c r="C100" s="189" t="s">
        <v>103</v>
      </c>
      <c r="D100" s="187" t="s">
        <v>104</v>
      </c>
      <c r="E100" s="185" t="s">
        <v>105</v>
      </c>
      <c r="F100" s="186" t="s">
        <v>106</v>
      </c>
      <c r="G100" s="187" t="s">
        <v>104</v>
      </c>
      <c r="H100" s="185" t="s">
        <v>105</v>
      </c>
      <c r="I100" s="186" t="s">
        <v>106</v>
      </c>
      <c r="J100" s="185" t="s">
        <v>104</v>
      </c>
      <c r="K100" s="185" t="s">
        <v>105</v>
      </c>
      <c r="L100" s="186" t="s">
        <v>106</v>
      </c>
      <c r="M100" s="131"/>
      <c r="P100" s="4" t="s">
        <v>329</v>
      </c>
      <c r="Q100" s="113"/>
      <c r="S100" s="114"/>
    </row>
    <row r="101" spans="2:19" x14ac:dyDescent="0.25">
      <c r="B101" s="149" t="s">
        <v>107</v>
      </c>
      <c r="C101" s="68">
        <v>10</v>
      </c>
      <c r="D101" s="37">
        <f>'Data Entry'!C5</f>
        <v>0</v>
      </c>
      <c r="E101" s="38">
        <f>'Data Entry'!D5</f>
        <v>0</v>
      </c>
      <c r="F101" s="39">
        <f>'Data Entry'!E5</f>
        <v>0</v>
      </c>
      <c r="G101" s="37">
        <f>'Data Entry'!F5</f>
        <v>0</v>
      </c>
      <c r="H101" s="38">
        <f>'Data Entry'!G5</f>
        <v>0</v>
      </c>
      <c r="I101" s="40">
        <f>'Data Entry'!H5</f>
        <v>0</v>
      </c>
      <c r="J101" s="41">
        <f>'Data Entry'!I5</f>
        <v>0</v>
      </c>
      <c r="K101" s="38">
        <f>'Data Entry'!J5</f>
        <v>0</v>
      </c>
      <c r="L101" s="40">
        <f>'Data Entry'!K5</f>
        <v>0</v>
      </c>
      <c r="M101" s="131"/>
      <c r="P101" s="4" t="s">
        <v>330</v>
      </c>
      <c r="Q101" s="113"/>
      <c r="S101" s="114"/>
    </row>
    <row r="102" spans="2:19" x14ac:dyDescent="0.25">
      <c r="B102" s="150" t="str">
        <f>IF(B103&lt;&gt;"",B103,IF(Q52="","",Q52))</f>
        <v/>
      </c>
      <c r="C102" s="69">
        <v>20</v>
      </c>
      <c r="D102" s="42">
        <f>'Data Entry'!C6</f>
        <v>0</v>
      </c>
      <c r="E102" s="43">
        <f>'Data Entry'!D6</f>
        <v>0</v>
      </c>
      <c r="F102" s="44">
        <f>'Data Entry'!E6</f>
        <v>0</v>
      </c>
      <c r="G102" s="42">
        <f>'Data Entry'!F6</f>
        <v>0</v>
      </c>
      <c r="H102" s="43">
        <f>'Data Entry'!G6</f>
        <v>0</v>
      </c>
      <c r="I102" s="45">
        <f>'Data Entry'!H6</f>
        <v>0</v>
      </c>
      <c r="J102" s="46">
        <f>'Data Entry'!I6</f>
        <v>0</v>
      </c>
      <c r="K102" s="43">
        <f>'Data Entry'!J6</f>
        <v>0</v>
      </c>
      <c r="L102" s="45">
        <f>'Data Entry'!K6</f>
        <v>0</v>
      </c>
      <c r="M102" s="131"/>
      <c r="P102" s="4" t="s">
        <v>331</v>
      </c>
      <c r="Q102" s="113"/>
      <c r="S102" s="114"/>
    </row>
    <row r="103" spans="2:19" ht="16.5" thickBot="1" x14ac:dyDescent="0.3">
      <c r="B103" s="151"/>
      <c r="C103" s="70">
        <v>30</v>
      </c>
      <c r="D103" s="47">
        <f>'Data Entry'!C7</f>
        <v>0</v>
      </c>
      <c r="E103" s="48">
        <f>'Data Entry'!D7</f>
        <v>0</v>
      </c>
      <c r="F103" s="49">
        <f>'Data Entry'!E7</f>
        <v>0</v>
      </c>
      <c r="G103" s="47">
        <f>'Data Entry'!F7</f>
        <v>0</v>
      </c>
      <c r="H103" s="48">
        <f>'Data Entry'!G7</f>
        <v>0</v>
      </c>
      <c r="I103" s="50">
        <f>'Data Entry'!H7</f>
        <v>0</v>
      </c>
      <c r="J103" s="51">
        <f>'Data Entry'!I7</f>
        <v>0</v>
      </c>
      <c r="K103" s="48">
        <f>'Data Entry'!J7</f>
        <v>0</v>
      </c>
      <c r="L103" s="50">
        <f>'Data Entry'!K7</f>
        <v>0</v>
      </c>
      <c r="M103" s="131"/>
      <c r="P103" s="4" t="s">
        <v>332</v>
      </c>
      <c r="Q103" s="113"/>
      <c r="S103" s="114"/>
    </row>
    <row r="104" spans="2:19" x14ac:dyDescent="0.25">
      <c r="B104" s="149" t="s">
        <v>108</v>
      </c>
      <c r="C104" s="68">
        <v>10</v>
      </c>
      <c r="D104" s="37">
        <f>'Data Entry'!C8</f>
        <v>0</v>
      </c>
      <c r="E104" s="38">
        <f>'Data Entry'!D8</f>
        <v>0</v>
      </c>
      <c r="F104" s="39">
        <f>'Data Entry'!E8</f>
        <v>0</v>
      </c>
      <c r="G104" s="37">
        <f>'Data Entry'!F8</f>
        <v>0</v>
      </c>
      <c r="H104" s="38">
        <f>'Data Entry'!G8</f>
        <v>0</v>
      </c>
      <c r="I104" s="40">
        <f>'Data Entry'!H8</f>
        <v>0</v>
      </c>
      <c r="J104" s="41">
        <f>'Data Entry'!I8</f>
        <v>0</v>
      </c>
      <c r="K104" s="38">
        <f>'Data Entry'!J8</f>
        <v>0</v>
      </c>
      <c r="L104" s="40">
        <f>'Data Entry'!K8</f>
        <v>0</v>
      </c>
      <c r="M104" s="131"/>
      <c r="P104" s="4" t="s">
        <v>333</v>
      </c>
      <c r="Q104" s="113"/>
      <c r="S104" s="114"/>
    </row>
    <row r="105" spans="2:19" x14ac:dyDescent="0.25">
      <c r="B105" s="150" t="str">
        <f>IF(B106&lt;&gt;"",B106,IF(Q53="","",Q53))</f>
        <v/>
      </c>
      <c r="C105" s="69">
        <v>20</v>
      </c>
      <c r="D105" s="42">
        <f>'Data Entry'!C9</f>
        <v>0</v>
      </c>
      <c r="E105" s="43">
        <f>'Data Entry'!D9</f>
        <v>0</v>
      </c>
      <c r="F105" s="44">
        <f>'Data Entry'!E9</f>
        <v>0</v>
      </c>
      <c r="G105" s="42">
        <f>'Data Entry'!F9</f>
        <v>0</v>
      </c>
      <c r="H105" s="43">
        <f>'Data Entry'!G9</f>
        <v>0</v>
      </c>
      <c r="I105" s="45">
        <f>'Data Entry'!H9</f>
        <v>0</v>
      </c>
      <c r="J105" s="46">
        <f>'Data Entry'!I9</f>
        <v>0</v>
      </c>
      <c r="K105" s="43">
        <f>'Data Entry'!J9</f>
        <v>0</v>
      </c>
      <c r="L105" s="45">
        <f>'Data Entry'!K9</f>
        <v>0</v>
      </c>
      <c r="M105" s="131"/>
      <c r="P105" s="4" t="s">
        <v>348</v>
      </c>
      <c r="Q105" s="113"/>
      <c r="S105" s="114" t="str">
        <f>IF(H239="","",H239)</f>
        <v/>
      </c>
    </row>
    <row r="106" spans="2:19" ht="16.5" thickBot="1" x14ac:dyDescent="0.3">
      <c r="B106" s="151"/>
      <c r="C106" s="70">
        <v>30</v>
      </c>
      <c r="D106" s="52">
        <f>'Data Entry'!C10</f>
        <v>0</v>
      </c>
      <c r="E106" s="53">
        <f>'Data Entry'!D10</f>
        <v>0</v>
      </c>
      <c r="F106" s="54">
        <f>'Data Entry'!E10</f>
        <v>0</v>
      </c>
      <c r="G106" s="52">
        <f>'Data Entry'!F10</f>
        <v>0</v>
      </c>
      <c r="H106" s="53">
        <f>'Data Entry'!G10</f>
        <v>0</v>
      </c>
      <c r="I106" s="55">
        <f>'Data Entry'!H10</f>
        <v>0</v>
      </c>
      <c r="J106" s="56">
        <f>'Data Entry'!I10</f>
        <v>0</v>
      </c>
      <c r="K106" s="53">
        <f>'Data Entry'!J10</f>
        <v>0</v>
      </c>
      <c r="L106" s="55">
        <f>'Data Entry'!K10</f>
        <v>0</v>
      </c>
      <c r="M106" s="131"/>
      <c r="P106" s="4" t="s">
        <v>275</v>
      </c>
      <c r="Q106" s="113"/>
      <c r="S106" s="114" t="str">
        <f>IF(C257="","",C257)</f>
        <v/>
      </c>
    </row>
    <row r="107" spans="2:19" x14ac:dyDescent="0.25">
      <c r="B107" s="148" t="s">
        <v>109</v>
      </c>
      <c r="C107" s="68">
        <v>10</v>
      </c>
      <c r="D107" s="57">
        <f>'Data Entry'!C11</f>
        <v>0</v>
      </c>
      <c r="E107" s="58">
        <f>'Data Entry'!D11</f>
        <v>0</v>
      </c>
      <c r="F107" s="59">
        <f>'Data Entry'!E11</f>
        <v>0</v>
      </c>
      <c r="G107" s="57">
        <f>'Data Entry'!F11</f>
        <v>0</v>
      </c>
      <c r="H107" s="58">
        <f>'Data Entry'!G11</f>
        <v>0</v>
      </c>
      <c r="I107" s="60">
        <f>'Data Entry'!H11</f>
        <v>0</v>
      </c>
      <c r="J107" s="61">
        <f>'Data Entry'!I11</f>
        <v>0</v>
      </c>
      <c r="K107" s="58">
        <f>'Data Entry'!J11</f>
        <v>0</v>
      </c>
      <c r="L107" s="60">
        <f>'Data Entry'!K11</f>
        <v>0</v>
      </c>
      <c r="M107" s="131"/>
      <c r="P107" s="4" t="s">
        <v>334</v>
      </c>
      <c r="Q107" s="113"/>
      <c r="S107" s="114" t="str">
        <f>IF(C259="","",C259)</f>
        <v/>
      </c>
    </row>
    <row r="108" spans="2:19" x14ac:dyDescent="0.25">
      <c r="B108" s="150" t="str">
        <f>IF(B109&lt;&gt;"",B109,IF(Q54="","",Q54))</f>
        <v/>
      </c>
      <c r="C108" s="69">
        <v>20</v>
      </c>
      <c r="D108" s="42">
        <f>'Data Entry'!C12</f>
        <v>0</v>
      </c>
      <c r="E108" s="43">
        <f>'Data Entry'!D12</f>
        <v>0</v>
      </c>
      <c r="F108" s="44">
        <f>'Data Entry'!E12</f>
        <v>0</v>
      </c>
      <c r="G108" s="42">
        <f>'Data Entry'!F12</f>
        <v>0</v>
      </c>
      <c r="H108" s="43">
        <f>'Data Entry'!G12</f>
        <v>0</v>
      </c>
      <c r="I108" s="45">
        <f>'Data Entry'!H12</f>
        <v>0</v>
      </c>
      <c r="J108" s="46">
        <f>'Data Entry'!I12</f>
        <v>0</v>
      </c>
      <c r="K108" s="43">
        <f>'Data Entry'!J12</f>
        <v>0</v>
      </c>
      <c r="L108" s="45">
        <f>'Data Entry'!K12</f>
        <v>0</v>
      </c>
      <c r="M108" s="131"/>
      <c r="P108" s="4" t="s">
        <v>335</v>
      </c>
      <c r="Q108" s="113"/>
      <c r="S108" s="114" t="str">
        <f t="shared" ref="S108:S110" si="12">IF(C260="","",C260)</f>
        <v/>
      </c>
    </row>
    <row r="109" spans="2:19" ht="16.5" thickBot="1" x14ac:dyDescent="0.3">
      <c r="B109" s="151"/>
      <c r="C109" s="70">
        <v>30</v>
      </c>
      <c r="D109" s="52">
        <f>'Data Entry'!C13</f>
        <v>0</v>
      </c>
      <c r="E109" s="53">
        <f>'Data Entry'!D13</f>
        <v>0</v>
      </c>
      <c r="F109" s="54">
        <f>'Data Entry'!E13</f>
        <v>0</v>
      </c>
      <c r="G109" s="52">
        <f>'Data Entry'!F13</f>
        <v>0</v>
      </c>
      <c r="H109" s="53">
        <f>'Data Entry'!G13</f>
        <v>0</v>
      </c>
      <c r="I109" s="55">
        <f>'Data Entry'!H13</f>
        <v>0</v>
      </c>
      <c r="J109" s="56">
        <f>'Data Entry'!I13</f>
        <v>0</v>
      </c>
      <c r="K109" s="53">
        <f>'Data Entry'!J13</f>
        <v>0</v>
      </c>
      <c r="L109" s="55">
        <f>'Data Entry'!K13</f>
        <v>0</v>
      </c>
      <c r="M109" s="131"/>
      <c r="P109" s="4" t="s">
        <v>280</v>
      </c>
      <c r="Q109" s="113"/>
      <c r="S109" s="114" t="str">
        <f t="shared" si="12"/>
        <v/>
      </c>
    </row>
    <row r="110" spans="2:19" ht="16.5" thickBot="1" x14ac:dyDescent="0.3">
      <c r="B110" s="130"/>
      <c r="C110" s="67" t="s">
        <v>110</v>
      </c>
      <c r="D110" s="52">
        <f>'Data Entry'!C14</f>
        <v>0</v>
      </c>
      <c r="E110" s="53">
        <f>'Data Entry'!D14</f>
        <v>0</v>
      </c>
      <c r="F110" s="54">
        <f>'Data Entry'!E14</f>
        <v>0</v>
      </c>
      <c r="G110" s="52">
        <f>'Data Entry'!F14</f>
        <v>0</v>
      </c>
      <c r="H110" s="53">
        <f>'Data Entry'!G14</f>
        <v>0</v>
      </c>
      <c r="I110" s="55">
        <f>'Data Entry'!H14</f>
        <v>0</v>
      </c>
      <c r="J110" s="56">
        <f>'Data Entry'!I14</f>
        <v>0</v>
      </c>
      <c r="K110" s="53">
        <f>'Data Entry'!J14</f>
        <v>0</v>
      </c>
      <c r="L110" s="55">
        <f>'Data Entry'!K14</f>
        <v>0</v>
      </c>
      <c r="M110" s="131"/>
      <c r="P110" s="4" t="s">
        <v>281</v>
      </c>
      <c r="Q110" s="113"/>
      <c r="S110" s="114" t="str">
        <f t="shared" si="12"/>
        <v/>
      </c>
    </row>
    <row r="111" spans="2:19" ht="16.5" thickBot="1" x14ac:dyDescent="0.3">
      <c r="B111" s="130"/>
      <c r="C111" s="185" t="s">
        <v>111</v>
      </c>
      <c r="D111" s="62" t="str">
        <f>IF(Q69="","",Q69)</f>
        <v/>
      </c>
      <c r="E111" s="63" t="str">
        <f>IF(Q70="","",Q70)</f>
        <v/>
      </c>
      <c r="F111" s="64" t="str">
        <f>IF(Q71="","",#REF!)</f>
        <v/>
      </c>
      <c r="G111" s="62" t="str">
        <f>IF(Q72="","",Q72)</f>
        <v/>
      </c>
      <c r="H111" s="63" t="str">
        <f>IF(Q73="","",Q73)</f>
        <v/>
      </c>
      <c r="I111" s="65" t="str">
        <f>IF(Q74="","",Q74)</f>
        <v/>
      </c>
      <c r="J111" s="66" t="str">
        <f>IF(Q75="","",Q75)</f>
        <v/>
      </c>
      <c r="K111" s="63" t="str">
        <f>IF(Q76="","",Q76)</f>
        <v/>
      </c>
      <c r="L111" s="65" t="str">
        <f>IF(Q77="","",Q77)</f>
        <v/>
      </c>
      <c r="M111" s="131"/>
      <c r="P111" s="4" t="s">
        <v>336</v>
      </c>
      <c r="Q111" s="113"/>
      <c r="S111" s="114" t="str">
        <f t="shared" ref="S111:S122" si="13">IF(C240="","",C240)</f>
        <v/>
      </c>
    </row>
    <row r="112" spans="2:19" ht="16.5" thickBot="1" x14ac:dyDescent="0.3">
      <c r="B112" s="130"/>
      <c r="C112" s="145" t="s">
        <v>113</v>
      </c>
      <c r="D112" s="2"/>
      <c r="E112" s="118" t="s">
        <v>112</v>
      </c>
      <c r="F112" s="110" t="str">
        <f>IF(F110="","NA",IF(AUTO_MANUAL=1,IF(F110&gt;44,"NO","YES"),IF(F110&gt;88,"NO","YES")))</f>
        <v>YES</v>
      </c>
      <c r="G112" s="2"/>
      <c r="H112" s="118" t="s">
        <v>112</v>
      </c>
      <c r="I112" s="110" t="str">
        <f>IF(I110="","NA",IF(AUTO_MANUAL=1,IF(I110&gt;44,"NO","YES"),IF(I110&gt;88,"NO","YES")))</f>
        <v>YES</v>
      </c>
      <c r="J112" s="2"/>
      <c r="K112" s="118" t="s">
        <v>112</v>
      </c>
      <c r="L112" s="110" t="str">
        <f>IF(OR(AND($B$94=1,L110=""),AND(F110="",I110="",L110="")),"NA",IF(L110="","NA",IF(AUTO_MANUAL="",IF(B94=2,IF(L110&gt;88,"NO","YES"),IF(L110&gt;176,"NO","YES")),IF(L110&gt;44,"NO","YES"))))</f>
        <v>YES</v>
      </c>
      <c r="M112" s="131"/>
      <c r="P112" s="4" t="s">
        <v>337</v>
      </c>
      <c r="Q112" s="113"/>
      <c r="S112" s="114" t="str">
        <f t="shared" si="13"/>
        <v/>
      </c>
    </row>
    <row r="113" spans="2:19" x14ac:dyDescent="0.25">
      <c r="B113" s="130"/>
      <c r="C113" s="145" t="s">
        <v>114</v>
      </c>
      <c r="D113" s="2"/>
      <c r="E113" s="2"/>
      <c r="F113" s="2"/>
      <c r="G113" s="2"/>
      <c r="H113" s="2"/>
      <c r="I113" s="2"/>
      <c r="J113" s="2"/>
      <c r="K113" s="2"/>
      <c r="L113" s="2"/>
      <c r="M113" s="131"/>
      <c r="P113" s="4" t="s">
        <v>338</v>
      </c>
      <c r="Q113" s="113"/>
      <c r="S113" s="114" t="str">
        <f t="shared" si="13"/>
        <v/>
      </c>
    </row>
    <row r="114" spans="2:19" x14ac:dyDescent="0.25">
      <c r="B114" s="130"/>
      <c r="C114" s="145" t="s">
        <v>115</v>
      </c>
      <c r="D114" s="2"/>
      <c r="E114" s="2"/>
      <c r="F114" s="2"/>
      <c r="G114" s="2"/>
      <c r="H114" s="2"/>
      <c r="I114" s="2"/>
      <c r="J114" s="2"/>
      <c r="K114" s="2"/>
      <c r="L114" s="2"/>
      <c r="M114" s="131"/>
      <c r="P114" s="4" t="s">
        <v>339</v>
      </c>
      <c r="Q114" s="113"/>
      <c r="S114" s="114" t="str">
        <f t="shared" si="13"/>
        <v/>
      </c>
    </row>
    <row r="115" spans="2:19" x14ac:dyDescent="0.25">
      <c r="B115" s="130"/>
      <c r="C115" s="145" t="s">
        <v>116</v>
      </c>
      <c r="D115" s="2"/>
      <c r="E115" s="2"/>
      <c r="F115" s="2"/>
      <c r="G115" s="2"/>
      <c r="H115" s="2"/>
      <c r="I115" s="2"/>
      <c r="J115" s="2"/>
      <c r="K115" s="2"/>
      <c r="L115" s="2"/>
      <c r="M115" s="131"/>
      <c r="P115" s="4" t="s">
        <v>340</v>
      </c>
      <c r="Q115" s="113"/>
      <c r="S115" s="114" t="str">
        <f t="shared" si="13"/>
        <v/>
      </c>
    </row>
    <row r="116" spans="2:19" x14ac:dyDescent="0.25">
      <c r="B116" s="130"/>
      <c r="C116" s="145" t="s">
        <v>117</v>
      </c>
      <c r="D116" s="2"/>
      <c r="E116" s="2"/>
      <c r="F116" s="2"/>
      <c r="G116" s="2"/>
      <c r="H116" s="2"/>
      <c r="I116" s="2"/>
      <c r="J116" s="2"/>
      <c r="K116" s="2"/>
      <c r="L116" s="2"/>
      <c r="M116" s="131"/>
      <c r="P116" s="4" t="s">
        <v>341</v>
      </c>
      <c r="Q116" s="113"/>
      <c r="S116" s="114" t="str">
        <f t="shared" si="13"/>
        <v/>
      </c>
    </row>
    <row r="117" spans="2:19" x14ac:dyDescent="0.25">
      <c r="B117" s="130"/>
      <c r="C117" s="152" t="s">
        <v>118</v>
      </c>
      <c r="D117" s="145" t="s">
        <v>119</v>
      </c>
      <c r="E117" s="2"/>
      <c r="F117" s="2"/>
      <c r="G117" s="2"/>
      <c r="H117" s="2"/>
      <c r="I117" s="2"/>
      <c r="J117" s="2"/>
      <c r="K117" s="2"/>
      <c r="L117" s="2"/>
      <c r="M117" s="131"/>
      <c r="P117" s="4" t="s">
        <v>342</v>
      </c>
      <c r="Q117" s="113"/>
      <c r="S117" s="114" t="str">
        <f t="shared" si="13"/>
        <v/>
      </c>
    </row>
    <row r="118" spans="2:19" x14ac:dyDescent="0.25">
      <c r="B118" s="130"/>
      <c r="C118" s="2"/>
      <c r="D118" s="145" t="s">
        <v>48</v>
      </c>
      <c r="E118" s="2"/>
      <c r="F118" s="2"/>
      <c r="G118" s="2"/>
      <c r="H118" s="2"/>
      <c r="I118" s="2"/>
      <c r="J118" s="2"/>
      <c r="K118" s="2"/>
      <c r="L118" s="2"/>
      <c r="M118" s="131"/>
      <c r="P118" s="4" t="s">
        <v>343</v>
      </c>
      <c r="Q118" s="113"/>
      <c r="S118" s="114" t="str">
        <f t="shared" si="13"/>
        <v/>
      </c>
    </row>
    <row r="119" spans="2:19" x14ac:dyDescent="0.25">
      <c r="B119" s="130"/>
      <c r="C119" s="139" t="s">
        <v>120</v>
      </c>
      <c r="D119" s="17" t="str">
        <f>IF(D121&lt;&gt;"",D121,IF(Q148="","",Q148))</f>
        <v/>
      </c>
      <c r="E119" s="3"/>
      <c r="F119" s="3"/>
      <c r="G119" s="3"/>
      <c r="H119" s="3"/>
      <c r="I119" s="3"/>
      <c r="J119" s="3"/>
      <c r="K119" s="3"/>
      <c r="L119" s="2"/>
      <c r="M119" s="131"/>
      <c r="P119" s="4" t="s">
        <v>344</v>
      </c>
      <c r="Q119" s="113"/>
      <c r="S119" s="114" t="str">
        <f t="shared" si="13"/>
        <v/>
      </c>
    </row>
    <row r="120" spans="2:19" x14ac:dyDescent="0.25">
      <c r="B120" s="130"/>
      <c r="C120" s="153" t="s">
        <v>121</v>
      </c>
      <c r="D120" s="2"/>
      <c r="E120" s="154">
        <f>LEN(D119)</f>
        <v>0</v>
      </c>
      <c r="F120" s="2"/>
      <c r="G120" s="2"/>
      <c r="H120" s="2"/>
      <c r="I120" s="2"/>
      <c r="J120" s="2"/>
      <c r="K120" s="2"/>
      <c r="L120" s="2"/>
      <c r="M120" s="131"/>
      <c r="P120" s="4" t="s">
        <v>345</v>
      </c>
      <c r="Q120" s="113"/>
      <c r="S120" s="114" t="str">
        <f t="shared" si="13"/>
        <v/>
      </c>
    </row>
    <row r="121" spans="2:19" x14ac:dyDescent="0.25">
      <c r="B121" s="130"/>
      <c r="C121" s="139" t="s">
        <v>122</v>
      </c>
      <c r="D121" s="8"/>
      <c r="E121" s="3"/>
      <c r="F121" s="3"/>
      <c r="G121" s="3"/>
      <c r="H121" s="3"/>
      <c r="I121" s="3"/>
      <c r="J121" s="3"/>
      <c r="K121" s="3"/>
      <c r="L121" s="2"/>
      <c r="M121" s="131"/>
      <c r="P121" s="4" t="s">
        <v>346</v>
      </c>
      <c r="Q121" s="113"/>
      <c r="S121" s="114" t="str">
        <f t="shared" si="13"/>
        <v/>
      </c>
    </row>
    <row r="122" spans="2:19" ht="16.5" thickBot="1" x14ac:dyDescent="0.3">
      <c r="B122" s="132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5"/>
      <c r="P122" s="4" t="s">
        <v>347</v>
      </c>
      <c r="Q122" s="113"/>
      <c r="S122" s="114" t="str">
        <f t="shared" si="13"/>
        <v/>
      </c>
    </row>
    <row r="123" spans="2:19" ht="16.5" thickTop="1" x14ac:dyDescent="0.25">
      <c r="B123" s="155" t="s">
        <v>123</v>
      </c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9"/>
      <c r="P123" s="4" t="s">
        <v>336</v>
      </c>
      <c r="Q123" s="113"/>
      <c r="S123" s="114" t="str">
        <f t="shared" ref="S123:S134" si="14">IF(D240="","",D240)</f>
        <v/>
      </c>
    </row>
    <row r="124" spans="2:19" x14ac:dyDescent="0.25">
      <c r="B124" s="143">
        <v>2</v>
      </c>
      <c r="C124" s="2" t="s">
        <v>124</v>
      </c>
      <c r="D124" s="2"/>
      <c r="E124" s="2"/>
      <c r="F124" s="2"/>
      <c r="G124" s="2"/>
      <c r="H124" s="2"/>
      <c r="I124" s="2"/>
      <c r="J124" s="2"/>
      <c r="K124" s="2"/>
      <c r="L124" s="2"/>
      <c r="M124" s="131"/>
      <c r="P124" s="4" t="s">
        <v>337</v>
      </c>
      <c r="Q124" s="113"/>
      <c r="S124" s="114" t="str">
        <f t="shared" si="14"/>
        <v/>
      </c>
    </row>
    <row r="125" spans="2:19" x14ac:dyDescent="0.25">
      <c r="B125" s="13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31"/>
      <c r="P125" s="4" t="s">
        <v>338</v>
      </c>
      <c r="Q125" s="113"/>
      <c r="S125" s="114" t="str">
        <f t="shared" si="14"/>
        <v/>
      </c>
    </row>
    <row r="126" spans="2:19" ht="16.5" thickBot="1" x14ac:dyDescent="0.3">
      <c r="B126" s="156" t="s">
        <v>125</v>
      </c>
      <c r="C126" s="22" t="s">
        <v>105</v>
      </c>
      <c r="D126" s="185" t="s">
        <v>126</v>
      </c>
      <c r="E126" s="22" t="s">
        <v>106</v>
      </c>
      <c r="F126" s="2"/>
      <c r="G126" s="157" t="s">
        <v>127</v>
      </c>
      <c r="H126" s="158"/>
      <c r="I126" s="158"/>
      <c r="J126" s="158"/>
      <c r="K126" s="158"/>
      <c r="L126" s="2"/>
      <c r="M126" s="131"/>
      <c r="P126" s="4" t="s">
        <v>339</v>
      </c>
      <c r="Q126" s="113"/>
      <c r="S126" s="114" t="str">
        <f t="shared" si="14"/>
        <v/>
      </c>
    </row>
    <row r="127" spans="2:19" x14ac:dyDescent="0.25">
      <c r="B127" s="159">
        <v>80</v>
      </c>
      <c r="C127" s="60"/>
      <c r="D127" s="72">
        <v>0</v>
      </c>
      <c r="E127" s="40"/>
      <c r="F127" s="2"/>
      <c r="G127" s="77" t="s">
        <v>126</v>
      </c>
      <c r="H127" s="77" t="s">
        <v>128</v>
      </c>
      <c r="I127" s="77" t="s">
        <v>129</v>
      </c>
      <c r="J127" s="77" t="s">
        <v>130</v>
      </c>
      <c r="K127" s="78" t="s">
        <v>131</v>
      </c>
      <c r="L127" s="2"/>
      <c r="M127" s="131"/>
      <c r="P127" s="4" t="s">
        <v>340</v>
      </c>
      <c r="Q127" s="113"/>
      <c r="S127" s="114" t="str">
        <f t="shared" si="14"/>
        <v/>
      </c>
    </row>
    <row r="128" spans="2:19" ht="16.5" thickBot="1" x14ac:dyDescent="0.3">
      <c r="B128" s="130"/>
      <c r="C128" s="2"/>
      <c r="D128" s="74">
        <v>0</v>
      </c>
      <c r="E128" s="50"/>
      <c r="F128" s="2"/>
      <c r="G128" s="83">
        <f>D127</f>
        <v>0</v>
      </c>
      <c r="H128" s="82" t="str">
        <f>IF(MIN(E127:E128)=0,"",AVERAGE(E127:E128))</f>
        <v/>
      </c>
      <c r="I128" s="82" t="str">
        <f>IF(H128="","",ABS(H128-$H$128/2))</f>
        <v/>
      </c>
      <c r="J128" s="83" t="str">
        <f>IF(OR(H128="",H129=""),"",IF(I128=SMALL(DHALF,1),G128,IF(I129=SMALL(DHALF,1),G129,IF(I130=SMALL(DHALF,1),G130,IF(I131=SMALL(DHALF,1),G131,"")))))</f>
        <v/>
      </c>
      <c r="K128" s="84" t="str">
        <f>IF(OR(MIN(J128:J129)=0,MIN(J132:J133)=0),"TBD",TREND(J128:J129,K132:K133,LN(H128/2)))</f>
        <v>TBD</v>
      </c>
      <c r="L128" s="2"/>
      <c r="M128" s="131"/>
      <c r="P128" s="4" t="s">
        <v>341</v>
      </c>
      <c r="Q128" s="113"/>
      <c r="S128" s="114" t="str">
        <f t="shared" si="14"/>
        <v/>
      </c>
    </row>
    <row r="129" spans="2:19" x14ac:dyDescent="0.25">
      <c r="B129" s="130"/>
      <c r="C129" s="2"/>
      <c r="D129" s="76"/>
      <c r="E129" s="40"/>
      <c r="F129" s="2"/>
      <c r="G129" s="83" t="str">
        <f>IF(D129="","",D129)</f>
        <v/>
      </c>
      <c r="H129" s="82" t="str">
        <f>IF(MIN(E129:E130)=0,"",AVERAGE(E129:E130))</f>
        <v/>
      </c>
      <c r="I129" s="82" t="str">
        <f>IF(H129="","",ABS(H129-$H$128/2))</f>
        <v/>
      </c>
      <c r="J129" s="83" t="str">
        <f>IF(OR(H128="",H129=""),"",IF(I128=SMALL(DHALF,2),G128,IF(I129=SMALL(DHALF,2),G129,IF(I130=SMALL(DHALF,2),G130,IF(I131=SMALL(DHALF,2),G131,"")))))</f>
        <v/>
      </c>
      <c r="K129" s="158"/>
      <c r="L129" s="2"/>
      <c r="M129" s="131"/>
      <c r="P129" s="4" t="s">
        <v>342</v>
      </c>
      <c r="Q129" s="113"/>
      <c r="S129" s="114" t="str">
        <f t="shared" si="14"/>
        <v/>
      </c>
    </row>
    <row r="130" spans="2:19" ht="16.5" thickBot="1" x14ac:dyDescent="0.3">
      <c r="B130" s="130"/>
      <c r="C130" s="2"/>
      <c r="D130" s="73" t="str">
        <f>IF(D129="","",D129)</f>
        <v/>
      </c>
      <c r="E130" s="55"/>
      <c r="F130" s="2"/>
      <c r="G130" s="83" t="str">
        <f>IF(D131="","",D131)</f>
        <v/>
      </c>
      <c r="H130" s="82" t="str">
        <f>IF(MIN(E131:E132)=0,"",AVERAGE(E131:E132))</f>
        <v/>
      </c>
      <c r="I130" s="82" t="str">
        <f>IF(H130="","",ABS(H130-$H$128/2))</f>
        <v/>
      </c>
      <c r="J130" s="158"/>
      <c r="K130" s="158"/>
      <c r="L130" s="2"/>
      <c r="M130" s="131"/>
      <c r="P130" s="4" t="s">
        <v>343</v>
      </c>
      <c r="Q130" s="113"/>
      <c r="S130" s="114" t="str">
        <f t="shared" si="14"/>
        <v/>
      </c>
    </row>
    <row r="131" spans="2:19" x14ac:dyDescent="0.25">
      <c r="B131" s="130"/>
      <c r="C131" s="2"/>
      <c r="D131" s="75"/>
      <c r="E131" s="60"/>
      <c r="F131" s="2"/>
      <c r="G131" s="83" t="str">
        <f>IF(D133="","",D133)</f>
        <v/>
      </c>
      <c r="H131" s="82" t="str">
        <f>IF(MIN(E133:E134)=0,"",AVERAGE(E133:E134))</f>
        <v/>
      </c>
      <c r="I131" s="82" t="str">
        <f>IF(H131="","",ABS(H131-$H$128/2))</f>
        <v/>
      </c>
      <c r="J131" s="158" t="s">
        <v>132</v>
      </c>
      <c r="K131" s="158" t="s">
        <v>133</v>
      </c>
      <c r="L131" s="2"/>
      <c r="M131" s="131"/>
      <c r="P131" s="4" t="s">
        <v>344</v>
      </c>
      <c r="Q131" s="113"/>
      <c r="S131" s="114" t="str">
        <f t="shared" si="14"/>
        <v/>
      </c>
    </row>
    <row r="132" spans="2:19" ht="16.5" thickBot="1" x14ac:dyDescent="0.3">
      <c r="B132" s="130"/>
      <c r="C132" s="2"/>
      <c r="D132" s="73" t="str">
        <f>IF(D131="","",D131)</f>
        <v/>
      </c>
      <c r="E132" s="55"/>
      <c r="F132" s="2"/>
      <c r="G132" s="119" t="str">
        <f>HVL</f>
        <v>TBD</v>
      </c>
      <c r="H132" s="119" t="str" cm="1">
        <f t="array" ref="H132">_xlfn.SINGLE(IF(HVL="TBD","TBD",EXP(TREND(LNEXP,ALUM,G132))))</f>
        <v>TBD</v>
      </c>
      <c r="I132" s="80"/>
      <c r="J132" s="77" t="str">
        <f>IF(OR(H128="",H129=""),"",IF(G128=J128,H128,IF(G129=J128,H129,IF(G130=J128,H130,IF(G131=J128,H131,"")))))</f>
        <v/>
      </c>
      <c r="K132" s="82" t="str">
        <f>IF(J132="","",LN(J132))</f>
        <v/>
      </c>
      <c r="L132" s="2"/>
      <c r="M132" s="131"/>
      <c r="P132" s="4" t="s">
        <v>345</v>
      </c>
      <c r="Q132" s="113"/>
      <c r="S132" s="114" t="str">
        <f t="shared" si="14"/>
        <v/>
      </c>
    </row>
    <row r="133" spans="2:19" x14ac:dyDescent="0.25">
      <c r="B133" s="130"/>
      <c r="C133" s="2"/>
      <c r="D133" s="75"/>
      <c r="E133" s="60"/>
      <c r="F133" s="2"/>
      <c r="G133" s="195" t="s">
        <v>134</v>
      </c>
      <c r="H133" s="196"/>
      <c r="I133" s="81"/>
      <c r="J133" s="77" t="str">
        <f>IF(OR(H128="",H129=""),"",IF(G128=J129,H128,IF(G129=J129,H129,IF(G130=J129,H130,IF(G131=J129,H131,"")))))</f>
        <v/>
      </c>
      <c r="K133" s="82" t="str">
        <f>IF(J133="","",LN(J133))</f>
        <v/>
      </c>
      <c r="L133" s="2"/>
      <c r="M133" s="131"/>
      <c r="P133" s="4" t="s">
        <v>346</v>
      </c>
      <c r="Q133" s="113"/>
      <c r="S133" s="114" t="str">
        <f t="shared" si="14"/>
        <v/>
      </c>
    </row>
    <row r="134" spans="2:19" ht="16.5" thickBot="1" x14ac:dyDescent="0.3">
      <c r="B134" s="130"/>
      <c r="C134" s="2"/>
      <c r="D134" s="73" t="str">
        <f>IF(D133="","",D133)</f>
        <v/>
      </c>
      <c r="E134" s="55"/>
      <c r="F134" s="2"/>
      <c r="G134" s="77" t="s">
        <v>136</v>
      </c>
      <c r="H134" s="83" cm="1">
        <f t="array" ref="H134">IF($B$124=1,IF(B127&lt;=75,MIN(ROUND(TREND(Tables!B81:B83,Tables!A81:A83,B127),1),TRUNC(TREND(Tables!B81:B83,Tables!A81:A83,B127),2)),MIN(ROUND(TREND(Tables!B84:B92,Tables!A84:A92,B127),1),TRUNC(TREND(Tables!B84:B92,Tables!A84:A92,B127),2))),MIN(ROUND(TREND(Tables!F78:F80,Tables!D78:D80,B127),1),TRUNC(TREND(Tables!F80:F85,Tables!D80:D85,B127),2)))</f>
        <v>2.6</v>
      </c>
      <c r="I134" s="158"/>
      <c r="J134" s="158"/>
      <c r="K134" s="158"/>
      <c r="L134" s="2"/>
      <c r="M134" s="131"/>
      <c r="P134" s="4" t="s">
        <v>347</v>
      </c>
      <c r="Q134" s="113"/>
      <c r="S134" s="114" t="str">
        <f t="shared" si="14"/>
        <v/>
      </c>
    </row>
    <row r="135" spans="2:19" ht="16.5" thickBot="1" x14ac:dyDescent="0.3">
      <c r="B135" s="130"/>
      <c r="C135" s="2"/>
      <c r="D135" s="2"/>
      <c r="E135" s="2"/>
      <c r="F135" s="2"/>
      <c r="G135" s="77" t="s">
        <v>137</v>
      </c>
      <c r="H135" s="83" cm="1">
        <f t="array" ref="H135">IF($B$124=1,"",ROUND(AVERAGE(ROUND(TREND(Tables!E78:E85,Tables!D78:D85,B127),2),TRUNC(TREND(Tables!E78:E85,Tables!D78:D85,B127),2)),1))</f>
        <v>3.1</v>
      </c>
      <c r="I135" s="158"/>
      <c r="J135" s="160" t="s">
        <v>135</v>
      </c>
      <c r="K135" s="120" t="str">
        <f>IF(AND(E127="",E128=""),"TBD",IF(HVL&gt;=H134,"YES","NO"))</f>
        <v>TBD</v>
      </c>
      <c r="L135" s="2"/>
      <c r="M135" s="131"/>
      <c r="P135" s="4" t="s">
        <v>336</v>
      </c>
      <c r="Q135" s="113"/>
      <c r="S135" s="114" t="str">
        <f t="shared" ref="S135:S146" si="15">IF(E240="","",E240)</f>
        <v/>
      </c>
    </row>
    <row r="136" spans="2:19" x14ac:dyDescent="0.25">
      <c r="B136" s="130"/>
      <c r="C136" s="2"/>
      <c r="D136" s="2"/>
      <c r="E136" s="2"/>
      <c r="F136" s="2"/>
      <c r="G136" s="77" t="s">
        <v>138</v>
      </c>
      <c r="H136" s="83" cm="1">
        <f t="array" ref="H136">IF($B$124=1,"",MAX(ROUND(TREND(Tables!G78:G85,Tables!D78:D85,B127),1),TRUNC(TREND(Tables!G78:G85,Tables!D78:D85,B127,B127),2)))</f>
        <v>3.5</v>
      </c>
      <c r="I136" s="158"/>
      <c r="J136" s="158"/>
      <c r="K136" s="158"/>
      <c r="L136" s="2"/>
      <c r="M136" s="131"/>
      <c r="P136" s="4" t="s">
        <v>337</v>
      </c>
      <c r="Q136" s="113"/>
      <c r="S136" s="114" t="str">
        <f t="shared" si="15"/>
        <v/>
      </c>
    </row>
    <row r="137" spans="2:19" x14ac:dyDescent="0.25">
      <c r="B137" s="130"/>
      <c r="C137" s="2"/>
      <c r="D137" s="2"/>
      <c r="E137" s="2"/>
      <c r="F137" s="2"/>
      <c r="G137" s="2"/>
      <c r="H137" s="2"/>
      <c r="I137" s="158"/>
      <c r="J137" s="160" t="str">
        <f>"Previous HVL @ "&amp;Q79&amp;" kV:"</f>
        <v>Previous HVL @  kV:</v>
      </c>
      <c r="K137" s="79" t="str">
        <f>IF(Q80="","",Q80)</f>
        <v/>
      </c>
      <c r="L137" s="2"/>
      <c r="M137" s="131"/>
      <c r="P137" s="4" t="s">
        <v>338</v>
      </c>
      <c r="Q137" s="113"/>
      <c r="S137" s="114" t="str">
        <f t="shared" si="15"/>
        <v/>
      </c>
    </row>
    <row r="138" spans="2:19" ht="16.5" thickBot="1" x14ac:dyDescent="0.3">
      <c r="B138" s="132"/>
      <c r="C138" s="133"/>
      <c r="D138" s="133"/>
      <c r="E138" s="133"/>
      <c r="F138" s="133"/>
      <c r="G138" s="133"/>
      <c r="H138" s="133"/>
      <c r="I138" s="161"/>
      <c r="J138" s="134"/>
      <c r="K138" s="134"/>
      <c r="L138" s="133"/>
      <c r="M138" s="135"/>
      <c r="P138" s="4" t="s">
        <v>339</v>
      </c>
      <c r="Q138" s="113"/>
      <c r="S138" s="114" t="str">
        <f t="shared" si="15"/>
        <v/>
      </c>
    </row>
    <row r="139" spans="2:19" ht="16.5" thickTop="1" x14ac:dyDescent="0.25">
      <c r="B139" s="155" t="s">
        <v>172</v>
      </c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9"/>
      <c r="P139" s="4" t="s">
        <v>340</v>
      </c>
      <c r="Q139" s="113"/>
      <c r="S139" s="114" t="str">
        <f t="shared" si="15"/>
        <v/>
      </c>
    </row>
    <row r="140" spans="2:19" x14ac:dyDescent="0.25">
      <c r="B140" s="143"/>
      <c r="C140" s="2" t="s">
        <v>173</v>
      </c>
      <c r="D140" s="2"/>
      <c r="E140" s="2"/>
      <c r="F140" s="2"/>
      <c r="G140" s="71"/>
      <c r="H140" s="2" t="s">
        <v>175</v>
      </c>
      <c r="I140" s="2"/>
      <c r="J140" s="71"/>
      <c r="K140" s="2" t="s">
        <v>93</v>
      </c>
      <c r="L140" s="2"/>
      <c r="M140" s="131"/>
      <c r="P140" s="4" t="s">
        <v>341</v>
      </c>
      <c r="Q140" s="113"/>
      <c r="S140" s="114" t="str">
        <f t="shared" si="15"/>
        <v/>
      </c>
    </row>
    <row r="141" spans="2:19" x14ac:dyDescent="0.25">
      <c r="B141" s="143"/>
      <c r="C141" s="2" t="s">
        <v>174</v>
      </c>
      <c r="D141" s="2"/>
      <c r="E141" s="2"/>
      <c r="F141" s="2"/>
      <c r="G141" s="71"/>
      <c r="H141" s="2" t="s">
        <v>176</v>
      </c>
      <c r="I141" s="2"/>
      <c r="J141" s="71"/>
      <c r="K141" s="2" t="s">
        <v>186</v>
      </c>
      <c r="L141" s="2"/>
      <c r="M141" s="131"/>
      <c r="P141" s="4" t="s">
        <v>342</v>
      </c>
      <c r="Q141" s="113"/>
      <c r="S141" s="114" t="str">
        <f t="shared" si="15"/>
        <v/>
      </c>
    </row>
    <row r="142" spans="2:19" x14ac:dyDescent="0.25">
      <c r="B142" s="162" t="str">
        <f>IF(OR(B140=0,B141=0),"",(B140/B141)^2)</f>
        <v/>
      </c>
      <c r="C142" s="2" t="s">
        <v>188</v>
      </c>
      <c r="D142" s="2"/>
      <c r="E142" s="2"/>
      <c r="F142" s="2"/>
      <c r="G142" s="71"/>
      <c r="H142" s="2" t="s">
        <v>177</v>
      </c>
      <c r="I142" s="2"/>
      <c r="J142" s="71"/>
      <c r="K142" s="2" t="s">
        <v>94</v>
      </c>
      <c r="L142" s="2"/>
      <c r="M142" s="131"/>
      <c r="P142" s="4" t="s">
        <v>343</v>
      </c>
      <c r="Q142" s="113"/>
      <c r="S142" s="114" t="str">
        <f t="shared" si="15"/>
        <v/>
      </c>
    </row>
    <row r="143" spans="2:19" x14ac:dyDescent="0.25">
      <c r="B143" s="1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31"/>
      <c r="P143" s="4" t="s">
        <v>344</v>
      </c>
      <c r="Q143" s="113"/>
      <c r="S143" s="114" t="str">
        <f t="shared" si="15"/>
        <v/>
      </c>
    </row>
    <row r="144" spans="2:19" x14ac:dyDescent="0.25">
      <c r="B144" s="130"/>
      <c r="C144" s="2"/>
      <c r="D144" s="185" t="s">
        <v>178</v>
      </c>
      <c r="E144" s="185" t="s">
        <v>179</v>
      </c>
      <c r="F144" s="185" t="s">
        <v>189</v>
      </c>
      <c r="G144" s="185" t="s">
        <v>190</v>
      </c>
      <c r="H144" s="185" t="s">
        <v>192</v>
      </c>
      <c r="I144" s="185"/>
      <c r="J144" s="2"/>
      <c r="K144" s="2"/>
      <c r="L144" s="2"/>
      <c r="M144" s="131"/>
      <c r="P144" s="4" t="s">
        <v>345</v>
      </c>
      <c r="Q144" s="113"/>
      <c r="S144" s="114" t="str">
        <f t="shared" si="15"/>
        <v/>
      </c>
    </row>
    <row r="145" spans="2:19" ht="16.5" thickBot="1" x14ac:dyDescent="0.3">
      <c r="B145" s="163" t="s">
        <v>125</v>
      </c>
      <c r="C145" s="185" t="s">
        <v>105</v>
      </c>
      <c r="D145" s="198" t="s">
        <v>171</v>
      </c>
      <c r="E145" s="198"/>
      <c r="F145" s="91" t="s">
        <v>183</v>
      </c>
      <c r="G145" s="164" t="s">
        <v>191</v>
      </c>
      <c r="H145" s="91" t="s">
        <v>183</v>
      </c>
      <c r="I145" s="185" t="s">
        <v>187</v>
      </c>
      <c r="J145" s="2"/>
      <c r="K145" s="2"/>
      <c r="L145" s="2"/>
      <c r="M145" s="131"/>
      <c r="P145" s="4" t="s">
        <v>346</v>
      </c>
      <c r="Q145" s="113"/>
      <c r="S145" s="114" t="str">
        <f t="shared" si="15"/>
        <v/>
      </c>
    </row>
    <row r="146" spans="2:19" x14ac:dyDescent="0.25">
      <c r="B146" s="159"/>
      <c r="C146" s="39"/>
      <c r="D146" s="37"/>
      <c r="E146" s="39"/>
      <c r="F146" s="26" t="str">
        <f>IF(OR(D146="",E146=""),"",E146-D146)</f>
        <v/>
      </c>
      <c r="G146" s="85" t="str">
        <f>IF(F146="","",F146*$B$142)</f>
        <v/>
      </c>
      <c r="H146" s="88"/>
      <c r="I146" s="92" t="str">
        <f>IF(G146="","",(G146-H146)/H146)</f>
        <v/>
      </c>
      <c r="J146" s="2"/>
      <c r="K146" s="2"/>
      <c r="L146" s="2"/>
      <c r="M146" s="131"/>
      <c r="P146" s="4" t="s">
        <v>347</v>
      </c>
      <c r="Q146" s="113"/>
      <c r="S146" s="114" t="str">
        <f t="shared" si="15"/>
        <v/>
      </c>
    </row>
    <row r="147" spans="2:19" x14ac:dyDescent="0.25">
      <c r="B147" s="165"/>
      <c r="C147" s="44"/>
      <c r="D147" s="42"/>
      <c r="E147" s="44"/>
      <c r="F147" s="29" t="str">
        <f t="shared" ref="F147:F150" si="16">IF(OR(D147="",E147=""),"",E147-D147)</f>
        <v/>
      </c>
      <c r="G147" s="86" t="str">
        <f t="shared" ref="G147:G150" si="17">IF(F147="","",F147*$B$142)</f>
        <v/>
      </c>
      <c r="H147" s="89"/>
      <c r="I147" s="93" t="str">
        <f t="shared" ref="I147:I150" si="18">IF(G147="","",(G147-H147)/H147)</f>
        <v/>
      </c>
      <c r="J147" s="2"/>
      <c r="K147" s="2"/>
      <c r="L147" s="2"/>
      <c r="M147" s="131"/>
      <c r="P147" s="9" t="s">
        <v>349</v>
      </c>
    </row>
    <row r="148" spans="2:19" x14ac:dyDescent="0.25">
      <c r="B148" s="165"/>
      <c r="C148" s="44"/>
      <c r="D148" s="42"/>
      <c r="E148" s="44"/>
      <c r="F148" s="29" t="str">
        <f t="shared" si="16"/>
        <v/>
      </c>
      <c r="G148" s="86" t="str">
        <f t="shared" si="17"/>
        <v/>
      </c>
      <c r="H148" s="89"/>
      <c r="I148" s="93" t="str">
        <f t="shared" si="18"/>
        <v/>
      </c>
      <c r="J148" s="2"/>
      <c r="K148" s="2"/>
      <c r="L148" s="2"/>
      <c r="M148" s="131"/>
      <c r="P148" s="4" t="s">
        <v>350</v>
      </c>
      <c r="Q148" s="113"/>
      <c r="S148" s="114" t="str">
        <f>IF(D121="","",D121)</f>
        <v/>
      </c>
    </row>
    <row r="149" spans="2:19" x14ac:dyDescent="0.25">
      <c r="B149" s="165"/>
      <c r="C149" s="44"/>
      <c r="D149" s="42"/>
      <c r="E149" s="44"/>
      <c r="F149" s="29" t="str">
        <f t="shared" si="16"/>
        <v/>
      </c>
      <c r="G149" s="86" t="str">
        <f t="shared" si="17"/>
        <v/>
      </c>
      <c r="H149" s="89"/>
      <c r="I149" s="93" t="str">
        <f t="shared" si="18"/>
        <v/>
      </c>
      <c r="J149" s="2"/>
      <c r="K149" s="2"/>
      <c r="L149" s="2"/>
      <c r="M149" s="131"/>
      <c r="P149" s="4" t="s">
        <v>351</v>
      </c>
      <c r="Q149" s="113"/>
      <c r="S149" s="114" t="str">
        <f>IF(D198="","",D198)</f>
        <v/>
      </c>
    </row>
    <row r="150" spans="2:19" ht="16.5" thickBot="1" x14ac:dyDescent="0.3">
      <c r="B150" s="166"/>
      <c r="C150" s="54"/>
      <c r="D150" s="52"/>
      <c r="E150" s="54"/>
      <c r="F150" s="32" t="str">
        <f t="shared" si="16"/>
        <v/>
      </c>
      <c r="G150" s="87" t="str">
        <f t="shared" si="17"/>
        <v/>
      </c>
      <c r="H150" s="90"/>
      <c r="I150" s="94" t="str">
        <f t="shared" si="18"/>
        <v/>
      </c>
      <c r="J150" s="2"/>
      <c r="K150" s="2"/>
      <c r="L150" s="2"/>
      <c r="M150" s="131"/>
      <c r="P150" s="4" t="s">
        <v>352</v>
      </c>
      <c r="Q150" s="113"/>
      <c r="S150" s="114" t="str">
        <f>IF(D181="","",D181)</f>
        <v/>
      </c>
    </row>
    <row r="151" spans="2:19" x14ac:dyDescent="0.25">
      <c r="B151" s="130"/>
      <c r="C151" s="2"/>
      <c r="D151" s="185" t="s">
        <v>180</v>
      </c>
      <c r="E151" s="185" t="s">
        <v>181</v>
      </c>
      <c r="F151" s="185" t="s">
        <v>189</v>
      </c>
      <c r="G151" s="185" t="s">
        <v>193</v>
      </c>
      <c r="H151" s="185" t="s">
        <v>192</v>
      </c>
      <c r="I151" s="185"/>
      <c r="J151" s="2"/>
      <c r="K151" s="2"/>
      <c r="L151" s="2"/>
      <c r="M151" s="131"/>
      <c r="P151" s="4" t="s">
        <v>353</v>
      </c>
      <c r="Q151" s="113"/>
      <c r="S151" s="114" t="str">
        <f>IF(D235="","",D235)</f>
        <v/>
      </c>
    </row>
    <row r="152" spans="2:19" ht="16.5" thickBot="1" x14ac:dyDescent="0.3">
      <c r="B152" s="163" t="s">
        <v>125</v>
      </c>
      <c r="C152" s="185" t="s">
        <v>105</v>
      </c>
      <c r="D152" s="198" t="s">
        <v>184</v>
      </c>
      <c r="E152" s="198"/>
      <c r="F152" s="91" t="s">
        <v>185</v>
      </c>
      <c r="G152" s="164" t="s">
        <v>191</v>
      </c>
      <c r="H152" s="91" t="s">
        <v>185</v>
      </c>
      <c r="I152" s="185" t="s">
        <v>187</v>
      </c>
      <c r="J152" s="2"/>
      <c r="K152" s="2"/>
      <c r="L152" s="2"/>
      <c r="M152" s="131"/>
      <c r="P152" s="4" t="s">
        <v>354</v>
      </c>
      <c r="Q152" s="113"/>
      <c r="S152" s="114" t="str">
        <f>IF(D254="","",D254)</f>
        <v/>
      </c>
    </row>
    <row r="153" spans="2:19" x14ac:dyDescent="0.25">
      <c r="B153" s="159"/>
      <c r="C153" s="39"/>
      <c r="D153" s="37"/>
      <c r="E153" s="39"/>
      <c r="F153" s="26" t="str">
        <f t="shared" ref="F153:F157" si="19">IF(OR(D153="",E153=""),"",E153-D153)</f>
        <v/>
      </c>
      <c r="G153" s="85" t="str">
        <f t="shared" ref="G153:G157" si="20">IF(F153="","",F153*$B$142)</f>
        <v/>
      </c>
      <c r="H153" s="88"/>
      <c r="I153" s="95" t="str">
        <f t="shared" ref="I153:I157" si="21">IF(G153="","",(G153-H153)/H153)</f>
        <v/>
      </c>
      <c r="J153" s="2"/>
      <c r="K153" s="2"/>
      <c r="L153" s="2"/>
      <c r="M153" s="131"/>
      <c r="P153" s="4" t="s">
        <v>355</v>
      </c>
      <c r="Q153" s="113"/>
      <c r="S153" s="114" t="str">
        <f>IF(D267="","",D267)</f>
        <v/>
      </c>
    </row>
    <row r="154" spans="2:19" x14ac:dyDescent="0.25">
      <c r="B154" s="165"/>
      <c r="C154" s="44"/>
      <c r="D154" s="42"/>
      <c r="E154" s="44"/>
      <c r="F154" s="29" t="str">
        <f t="shared" si="19"/>
        <v/>
      </c>
      <c r="G154" s="86" t="str">
        <f t="shared" si="20"/>
        <v/>
      </c>
      <c r="H154" s="89"/>
      <c r="I154" s="96" t="str">
        <f t="shared" si="21"/>
        <v/>
      </c>
      <c r="J154" s="2"/>
      <c r="K154" s="2"/>
      <c r="L154" s="2"/>
      <c r="M154" s="131"/>
      <c r="Q154" s="1"/>
      <c r="R154" s="1"/>
      <c r="S154" s="1"/>
    </row>
    <row r="155" spans="2:19" x14ac:dyDescent="0.25">
      <c r="B155" s="165"/>
      <c r="C155" s="44"/>
      <c r="D155" s="42"/>
      <c r="E155" s="44"/>
      <c r="F155" s="29" t="str">
        <f t="shared" si="19"/>
        <v/>
      </c>
      <c r="G155" s="86" t="str">
        <f t="shared" si="20"/>
        <v/>
      </c>
      <c r="H155" s="89"/>
      <c r="I155" s="96" t="str">
        <f t="shared" si="21"/>
        <v/>
      </c>
      <c r="J155" s="2"/>
      <c r="K155" s="2"/>
      <c r="L155" s="2"/>
      <c r="M155" s="131"/>
      <c r="P155" s="9"/>
      <c r="Q155" s="1"/>
      <c r="R155" s="1"/>
      <c r="S155" s="1"/>
    </row>
    <row r="156" spans="2:19" x14ac:dyDescent="0.25">
      <c r="B156" s="165"/>
      <c r="C156" s="44"/>
      <c r="D156" s="42"/>
      <c r="E156" s="44"/>
      <c r="F156" s="29" t="str">
        <f t="shared" si="19"/>
        <v/>
      </c>
      <c r="G156" s="86" t="str">
        <f t="shared" si="20"/>
        <v/>
      </c>
      <c r="H156" s="89"/>
      <c r="I156" s="96" t="str">
        <f t="shared" si="21"/>
        <v/>
      </c>
      <c r="J156" s="2"/>
      <c r="K156" s="2"/>
      <c r="L156" s="2"/>
      <c r="M156" s="131"/>
      <c r="P156" s="9" t="s">
        <v>375</v>
      </c>
    </row>
    <row r="157" spans="2:19" ht="16.5" thickBot="1" x14ac:dyDescent="0.3">
      <c r="B157" s="166"/>
      <c r="C157" s="54"/>
      <c r="D157" s="52"/>
      <c r="E157" s="54"/>
      <c r="F157" s="32" t="str">
        <f t="shared" si="19"/>
        <v/>
      </c>
      <c r="G157" s="87" t="str">
        <f t="shared" si="20"/>
        <v/>
      </c>
      <c r="H157" s="90"/>
      <c r="I157" s="97" t="str">
        <f t="shared" si="21"/>
        <v/>
      </c>
      <c r="J157" s="2"/>
      <c r="K157" s="2"/>
      <c r="L157" s="2"/>
      <c r="M157" s="131"/>
      <c r="P157" s="4" t="s">
        <v>376</v>
      </c>
      <c r="Q157" s="113"/>
      <c r="S157" s="114" t="str">
        <f>IF(D270="","",D270)</f>
        <v/>
      </c>
    </row>
    <row r="158" spans="2:19" x14ac:dyDescent="0.25">
      <c r="B158" s="130"/>
      <c r="C158" s="2"/>
      <c r="D158" s="185" t="s">
        <v>189</v>
      </c>
      <c r="E158" s="185" t="s">
        <v>182</v>
      </c>
      <c r="F158" s="185" t="s">
        <v>192</v>
      </c>
      <c r="G158" s="185"/>
      <c r="H158" s="2"/>
      <c r="I158" s="2"/>
      <c r="J158" s="2"/>
      <c r="K158" s="2"/>
      <c r="L158" s="2"/>
      <c r="M158" s="131"/>
      <c r="P158" s="4" t="s">
        <v>316</v>
      </c>
      <c r="Q158" s="113"/>
      <c r="S158" s="114" t="str">
        <f t="shared" ref="S158:S159" si="22">IF(D271="","",D271)</f>
        <v/>
      </c>
    </row>
    <row r="159" spans="2:19" ht="16.5" thickBot="1" x14ac:dyDescent="0.3">
      <c r="B159" s="163" t="s">
        <v>125</v>
      </c>
      <c r="C159" s="185" t="s">
        <v>105</v>
      </c>
      <c r="D159" s="91" t="s">
        <v>194</v>
      </c>
      <c r="E159" s="164" t="s">
        <v>191</v>
      </c>
      <c r="F159" s="91" t="s">
        <v>194</v>
      </c>
      <c r="G159" s="185" t="s">
        <v>187</v>
      </c>
      <c r="H159" s="2"/>
      <c r="I159" s="2"/>
      <c r="J159" s="2"/>
      <c r="K159" s="2"/>
      <c r="L159" s="2"/>
      <c r="M159" s="131"/>
      <c r="P159" s="4" t="s">
        <v>317</v>
      </c>
      <c r="Q159" s="113"/>
      <c r="S159" s="114" t="str">
        <f t="shared" si="22"/>
        <v/>
      </c>
    </row>
    <row r="160" spans="2:19" x14ac:dyDescent="0.25">
      <c r="B160" s="159"/>
      <c r="C160" s="39"/>
      <c r="D160" s="40"/>
      <c r="E160" s="85" t="str">
        <f>IF(D160="","",D160*$B$142)</f>
        <v/>
      </c>
      <c r="F160" s="37"/>
      <c r="G160" s="98" t="str">
        <f t="shared" ref="G160:G164" si="23">IF(E160="","",(E160-F160)/F160)</f>
        <v/>
      </c>
      <c r="H160" s="2"/>
      <c r="I160" s="2"/>
      <c r="J160" s="2"/>
      <c r="K160" s="2"/>
      <c r="L160" s="2"/>
      <c r="M160" s="131"/>
      <c r="P160" s="4" t="s">
        <v>381</v>
      </c>
      <c r="Q160" s="113"/>
      <c r="S160" s="114">
        <f>IF(D281="","",D281)</f>
        <v>18.036666666666665</v>
      </c>
    </row>
    <row r="161" spans="2:19" x14ac:dyDescent="0.25">
      <c r="B161" s="165"/>
      <c r="C161" s="44"/>
      <c r="D161" s="45"/>
      <c r="E161" s="86" t="str">
        <f t="shared" ref="E161:E164" si="24">IF(D161="","",D161*$B$142)</f>
        <v/>
      </c>
      <c r="F161" s="42"/>
      <c r="G161" s="99" t="str">
        <f t="shared" si="23"/>
        <v/>
      </c>
      <c r="H161" s="2"/>
      <c r="I161" s="2"/>
      <c r="J161" s="2"/>
      <c r="K161" s="2"/>
      <c r="L161" s="2"/>
      <c r="M161" s="131"/>
      <c r="P161" s="4" t="s">
        <v>384</v>
      </c>
      <c r="Q161" s="113"/>
      <c r="S161" s="114" t="str">
        <f>IF(D288="","",D288)</f>
        <v/>
      </c>
    </row>
    <row r="162" spans="2:19" x14ac:dyDescent="0.25">
      <c r="B162" s="165"/>
      <c r="C162" s="44"/>
      <c r="D162" s="45"/>
      <c r="E162" s="86" t="str">
        <f t="shared" si="24"/>
        <v/>
      </c>
      <c r="F162" s="42"/>
      <c r="G162" s="99" t="str">
        <f t="shared" si="23"/>
        <v/>
      </c>
      <c r="H162" s="2"/>
      <c r="I162" s="2"/>
      <c r="J162" s="2"/>
      <c r="K162" s="2"/>
      <c r="L162" s="2"/>
      <c r="M162" s="131"/>
      <c r="P162" s="4"/>
      <c r="Q162" s="113"/>
      <c r="S162" s="114" t="str">
        <f>IF(E282="","",E282)</f>
        <v/>
      </c>
    </row>
    <row r="163" spans="2:19" x14ac:dyDescent="0.25">
      <c r="B163" s="165"/>
      <c r="C163" s="44"/>
      <c r="D163" s="45"/>
      <c r="E163" s="86" t="str">
        <f t="shared" si="24"/>
        <v/>
      </c>
      <c r="F163" s="42"/>
      <c r="G163" s="99" t="str">
        <f t="shared" si="23"/>
        <v/>
      </c>
      <c r="H163" s="2"/>
      <c r="I163" s="2"/>
      <c r="J163" s="2"/>
      <c r="K163" s="2"/>
      <c r="L163" s="2"/>
      <c r="M163" s="131"/>
      <c r="P163" s="4"/>
      <c r="Q163" s="113"/>
      <c r="S163" s="114" t="str">
        <f>IF(E283="","",E283)</f>
        <v/>
      </c>
    </row>
    <row r="164" spans="2:19" ht="15.75" customHeight="1" thickBot="1" x14ac:dyDescent="0.3">
      <c r="B164" s="166"/>
      <c r="C164" s="54"/>
      <c r="D164" s="55"/>
      <c r="E164" s="87" t="str">
        <f t="shared" si="24"/>
        <v/>
      </c>
      <c r="F164" s="52"/>
      <c r="G164" s="100" t="str">
        <f t="shared" si="23"/>
        <v/>
      </c>
      <c r="H164" s="2"/>
      <c r="I164" s="2"/>
      <c r="J164" s="2"/>
      <c r="K164" s="2"/>
      <c r="L164" s="2"/>
      <c r="M164" s="131"/>
      <c r="P164" s="4"/>
      <c r="Q164" s="113"/>
      <c r="S164" s="114" t="str">
        <f>IF(E284="","",E284)</f>
        <v/>
      </c>
    </row>
    <row r="165" spans="2:19" x14ac:dyDescent="0.25">
      <c r="B165" s="130"/>
      <c r="C165" s="2"/>
      <c r="D165" s="2"/>
      <c r="E165" s="2"/>
      <c r="F165" s="2"/>
      <c r="G165" s="2"/>
      <c r="H165" s="2"/>
      <c r="I165" s="2"/>
      <c r="J165" s="185"/>
      <c r="K165" s="2"/>
      <c r="L165" s="2"/>
      <c r="M165" s="131"/>
      <c r="P165" s="4"/>
      <c r="Q165" s="113"/>
      <c r="S165" s="114" t="e">
        <f>IF(#REF!="","",#REF!)</f>
        <v>#REF!</v>
      </c>
    </row>
    <row r="166" spans="2:19" x14ac:dyDescent="0.25">
      <c r="B166" s="176" t="s">
        <v>118</v>
      </c>
      <c r="C166" s="145" t="s">
        <v>195</v>
      </c>
      <c r="D166" s="2"/>
      <c r="E166" s="2"/>
      <c r="F166" s="2"/>
      <c r="G166" s="2"/>
      <c r="H166" s="2"/>
      <c r="I166" s="2"/>
      <c r="J166" s="185"/>
      <c r="K166" s="2"/>
      <c r="L166" s="2"/>
      <c r="M166" s="131"/>
      <c r="P166" s="4"/>
      <c r="Q166" s="113"/>
      <c r="S166" s="114" t="e">
        <f>IF(#REF!="","",#REF!)</f>
        <v>#REF!</v>
      </c>
    </row>
    <row r="167" spans="2:19" ht="16.5" thickBot="1" x14ac:dyDescent="0.3">
      <c r="B167" s="132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5"/>
      <c r="P167" s="4"/>
      <c r="Q167" s="113"/>
      <c r="S167" s="114" t="e">
        <f>IF(#REF!="","",#REF!)</f>
        <v>#REF!</v>
      </c>
    </row>
    <row r="168" spans="2:19" ht="16.5" thickTop="1" x14ac:dyDescent="0.25">
      <c r="B168" s="155" t="s">
        <v>196</v>
      </c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9"/>
      <c r="P168" s="4"/>
      <c r="Q168" s="113"/>
      <c r="S168" s="114" t="str">
        <f t="shared" ref="S158:S168" si="25">IF(D285="","",D285)</f>
        <v/>
      </c>
    </row>
    <row r="169" spans="2:19" ht="16.5" thickBot="1" x14ac:dyDescent="0.3">
      <c r="B169" s="130"/>
      <c r="C169" s="2"/>
      <c r="D169" s="2"/>
      <c r="E169" s="2"/>
      <c r="F169" s="185" t="s">
        <v>197</v>
      </c>
      <c r="G169" s="2"/>
      <c r="H169" s="2"/>
      <c r="I169" s="2"/>
      <c r="J169" s="2"/>
      <c r="K169" s="2"/>
      <c r="L169" s="2"/>
      <c r="M169" s="131"/>
      <c r="P169" s="9"/>
    </row>
    <row r="170" spans="2:19" ht="16.5" thickBot="1" x14ac:dyDescent="0.3">
      <c r="B170" s="130"/>
      <c r="C170" s="2"/>
      <c r="D170" s="185" t="s">
        <v>104</v>
      </c>
      <c r="E170" s="185" t="s">
        <v>105</v>
      </c>
      <c r="F170" s="185" t="s">
        <v>106</v>
      </c>
      <c r="G170" s="185" t="s">
        <v>198</v>
      </c>
      <c r="H170" s="185" t="s">
        <v>199</v>
      </c>
      <c r="I170" s="2"/>
      <c r="J170" s="101" t="s">
        <v>200</v>
      </c>
      <c r="K170" s="2"/>
      <c r="L170" s="2"/>
      <c r="M170" s="131"/>
      <c r="P170" s="4"/>
      <c r="Q170" s="113"/>
      <c r="S170" s="114" t="str">
        <f>IF(F277="","",F277)</f>
        <v/>
      </c>
    </row>
    <row r="171" spans="2:19" ht="16.5" thickBot="1" x14ac:dyDescent="0.3">
      <c r="B171" s="130"/>
      <c r="C171" s="210" t="s">
        <v>201</v>
      </c>
      <c r="D171" s="211" t="str">
        <f>IF(AND(D44="",G44=""),"",IF($B$93=1,D44,IF(AND($B$94=1,J44&lt;&gt;""),J44,IF(G44&lt;&gt;"",G44,IF(D44&lt;&gt;"",D44,"")))))</f>
        <v/>
      </c>
      <c r="E171" s="211" t="str">
        <f t="shared" ref="E171:F171" si="26">IF(AND(E44="",H44=""),"",IF($B$93=1,E44,IF(AND($B$94=1,K44&lt;&gt;""),K44,IF(H44&lt;&gt;"",H44,IF(E44&lt;&gt;"",E44,"")))))</f>
        <v/>
      </c>
      <c r="F171" s="211" t="str">
        <f t="shared" si="26"/>
        <v/>
      </c>
      <c r="G171" s="212">
        <v>0</v>
      </c>
      <c r="H171" s="213" t="str">
        <f>IF(Q82="","",Q82)</f>
        <v/>
      </c>
      <c r="I171" s="2"/>
      <c r="J171" s="102" t="str">
        <f>IF(G171="NA","NA",IF(OR(F171="",G171=""),"TBD",IF(G171&lt;=2*F171,"YES","NO")))</f>
        <v>TBD</v>
      </c>
      <c r="K171" s="2"/>
      <c r="L171" s="2"/>
      <c r="M171" s="131"/>
      <c r="P171" s="4"/>
      <c r="Q171" s="113"/>
      <c r="S171" s="114" t="str">
        <f>IF(F278="","",F278)</f>
        <v/>
      </c>
    </row>
    <row r="172" spans="2:19" x14ac:dyDescent="0.25">
      <c r="B172" s="130"/>
      <c r="C172" s="2"/>
      <c r="D172" s="2"/>
      <c r="E172" s="2"/>
      <c r="F172" s="185" t="s">
        <v>202</v>
      </c>
      <c r="G172" s="185" t="s">
        <v>203</v>
      </c>
      <c r="H172" s="185" t="s">
        <v>202</v>
      </c>
      <c r="I172" s="185" t="s">
        <v>203</v>
      </c>
      <c r="J172" s="185" t="s">
        <v>202</v>
      </c>
      <c r="K172" s="185" t="s">
        <v>203</v>
      </c>
      <c r="L172" s="2"/>
      <c r="M172" s="131"/>
      <c r="P172" s="4"/>
      <c r="Q172" s="113"/>
      <c r="S172" s="114">
        <f>IF(F279="","",F279)</f>
        <v>18.68</v>
      </c>
    </row>
    <row r="173" spans="2:19" ht="16.5" thickBot="1" x14ac:dyDescent="0.3">
      <c r="B173" s="130"/>
      <c r="C173" s="2"/>
      <c r="D173" s="2"/>
      <c r="E173" s="2"/>
      <c r="F173" s="185" t="s">
        <v>204</v>
      </c>
      <c r="G173" s="185" t="s">
        <v>204</v>
      </c>
      <c r="H173" s="185" t="s">
        <v>198</v>
      </c>
      <c r="I173" s="185" t="s">
        <v>198</v>
      </c>
      <c r="J173" s="185" t="s">
        <v>198</v>
      </c>
      <c r="K173" s="185" t="s">
        <v>198</v>
      </c>
      <c r="L173" s="2"/>
      <c r="M173" s="131"/>
      <c r="P173" s="4"/>
      <c r="Q173" s="113"/>
      <c r="S173" s="114" t="e">
        <f>IF(F280="","",F280)</f>
        <v>#DIV/0!</v>
      </c>
    </row>
    <row r="174" spans="2:19" x14ac:dyDescent="0.25">
      <c r="B174" s="199" t="s">
        <v>205</v>
      </c>
      <c r="C174" s="27" t="s">
        <v>206</v>
      </c>
      <c r="D174" s="27" t="str">
        <f>IF(D171="","",D171)</f>
        <v/>
      </c>
      <c r="E174" s="27" t="str">
        <f>IF(E171="","",E171)</f>
        <v/>
      </c>
      <c r="F174" s="38"/>
      <c r="G174" s="38"/>
      <c r="H174" s="27" t="str">
        <f t="shared" ref="H174:I175" si="27">IF(F174="","",F174*60)</f>
        <v/>
      </c>
      <c r="I174" s="27" t="str">
        <f t="shared" si="27"/>
        <v/>
      </c>
      <c r="J174" s="117" t="str">
        <f>IF(Q83="","",Q83)</f>
        <v/>
      </c>
      <c r="K174" s="106" t="str">
        <f>IF(Q85="","",Q85)</f>
        <v/>
      </c>
      <c r="L174" s="2"/>
      <c r="M174" s="131"/>
      <c r="P174" s="4"/>
      <c r="Q174" s="113"/>
      <c r="S174" s="114" t="str">
        <f>IF(F281="","",F281)</f>
        <v/>
      </c>
    </row>
    <row r="175" spans="2:19" ht="16.5" thickBot="1" x14ac:dyDescent="0.3">
      <c r="B175" s="200"/>
      <c r="C175" s="33" t="s">
        <v>207</v>
      </c>
      <c r="D175" s="33" t="str">
        <f>IF(D171="","",D171)</f>
        <v/>
      </c>
      <c r="E175" s="33" t="str">
        <f>IF(E171="","",E171)</f>
        <v/>
      </c>
      <c r="F175" s="53"/>
      <c r="G175" s="53"/>
      <c r="H175" s="33" t="str">
        <f t="shared" si="27"/>
        <v/>
      </c>
      <c r="I175" s="33" t="str">
        <f t="shared" si="27"/>
        <v/>
      </c>
      <c r="J175" s="63" t="str">
        <f>IF(Q84="","",Q84)</f>
        <v/>
      </c>
      <c r="K175" s="65" t="str">
        <f>IF(Q86="","",Q86)</f>
        <v/>
      </c>
      <c r="L175" s="2"/>
      <c r="M175" s="131"/>
      <c r="P175" s="4"/>
      <c r="Q175" s="113"/>
      <c r="S175" s="114" t="str">
        <f>IF(F282="","",F282)</f>
        <v/>
      </c>
    </row>
    <row r="176" spans="2:19" x14ac:dyDescent="0.25">
      <c r="B176" s="130"/>
      <c r="C176" s="145" t="s">
        <v>208</v>
      </c>
      <c r="D176" s="145"/>
      <c r="E176" s="2"/>
      <c r="F176" s="2"/>
      <c r="G176" s="2"/>
      <c r="H176" s="2"/>
      <c r="I176" s="2"/>
      <c r="J176" s="2"/>
      <c r="K176" s="2"/>
      <c r="L176" s="2"/>
      <c r="M176" s="131"/>
      <c r="P176" s="4"/>
      <c r="Q176" s="113"/>
      <c r="S176" s="114" t="str">
        <f>IF(F283="","",F283)</f>
        <v/>
      </c>
    </row>
    <row r="177" spans="2:19" x14ac:dyDescent="0.25">
      <c r="B177" s="130"/>
      <c r="C177" s="145" t="s">
        <v>209</v>
      </c>
      <c r="D177" s="145"/>
      <c r="E177" s="2"/>
      <c r="F177" s="2"/>
      <c r="G177" s="2"/>
      <c r="H177" s="2"/>
      <c r="I177" s="2"/>
      <c r="J177" s="2"/>
      <c r="K177" s="2"/>
      <c r="L177" s="2"/>
      <c r="M177" s="131"/>
      <c r="P177" s="4"/>
      <c r="Q177" s="113"/>
      <c r="S177" s="114" t="str">
        <f>IF(F284="","",F284)</f>
        <v/>
      </c>
    </row>
    <row r="178" spans="2:19" x14ac:dyDescent="0.25">
      <c r="B178" s="130"/>
      <c r="C178" s="152" t="s">
        <v>118</v>
      </c>
      <c r="D178" s="145" t="s">
        <v>210</v>
      </c>
      <c r="E178" s="2"/>
      <c r="F178" s="2"/>
      <c r="G178" s="2"/>
      <c r="H178" s="2"/>
      <c r="I178" s="2"/>
      <c r="J178" s="2"/>
      <c r="K178" s="2"/>
      <c r="L178" s="2"/>
      <c r="M178" s="131"/>
      <c r="P178" s="4"/>
      <c r="Q178" s="113"/>
      <c r="S178" s="114" t="e">
        <f>IF(#REF!="","",#REF!)</f>
        <v>#REF!</v>
      </c>
    </row>
    <row r="179" spans="2:19" x14ac:dyDescent="0.25">
      <c r="B179" s="130"/>
      <c r="C179" s="139" t="s">
        <v>120</v>
      </c>
      <c r="D179" s="17" t="str">
        <f>IF(D181&lt;&gt;"",D181,IF(Q150="","",Q150))</f>
        <v/>
      </c>
      <c r="E179" s="3"/>
      <c r="F179" s="3"/>
      <c r="G179" s="3"/>
      <c r="H179" s="3"/>
      <c r="I179" s="3"/>
      <c r="J179" s="3"/>
      <c r="K179" s="3"/>
      <c r="L179" s="2"/>
      <c r="M179" s="131"/>
      <c r="P179" s="4"/>
      <c r="Q179" s="113"/>
      <c r="S179" s="114" t="e">
        <f>IF(#REF!="","",#REF!)</f>
        <v>#REF!</v>
      </c>
    </row>
    <row r="180" spans="2:19" x14ac:dyDescent="0.25">
      <c r="B180" s="130"/>
      <c r="C180" s="153" t="s">
        <v>121</v>
      </c>
      <c r="D180" s="2"/>
      <c r="E180" s="154">
        <f>LEN(D179)</f>
        <v>0</v>
      </c>
      <c r="F180" s="2"/>
      <c r="G180" s="2"/>
      <c r="H180" s="2"/>
      <c r="I180" s="2"/>
      <c r="J180" s="2"/>
      <c r="K180" s="2"/>
      <c r="L180" s="2"/>
      <c r="M180" s="131"/>
      <c r="P180" s="4"/>
      <c r="Q180" s="113"/>
      <c r="S180" s="114" t="e">
        <f>IF(#REF!="","",#REF!)</f>
        <v>#REF!</v>
      </c>
    </row>
    <row r="181" spans="2:19" x14ac:dyDescent="0.25">
      <c r="B181" s="130"/>
      <c r="C181" s="139" t="s">
        <v>122</v>
      </c>
      <c r="D181" s="8"/>
      <c r="E181" s="3"/>
      <c r="F181" s="3"/>
      <c r="G181" s="3"/>
      <c r="H181" s="3"/>
      <c r="I181" s="3"/>
      <c r="J181" s="3"/>
      <c r="K181" s="3"/>
      <c r="L181" s="2"/>
      <c r="M181" s="131"/>
      <c r="P181" s="4"/>
      <c r="Q181" s="113"/>
      <c r="S181" s="114" t="str">
        <f t="shared" ref="S171:S181" si="28">IF(E285="","",E285)</f>
        <v/>
      </c>
    </row>
    <row r="182" spans="2:19" ht="16.5" thickBot="1" x14ac:dyDescent="0.3">
      <c r="B182" s="132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5"/>
      <c r="P182" s="9"/>
    </row>
    <row r="183" spans="2:19" ht="16.5" thickTop="1" x14ac:dyDescent="0.25">
      <c r="B183" s="155" t="s">
        <v>211</v>
      </c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9"/>
      <c r="P183" s="4"/>
      <c r="Q183" s="113"/>
      <c r="S183" s="114" t="str">
        <f>IF(G277="","",G277)</f>
        <v/>
      </c>
    </row>
    <row r="184" spans="2:19" x14ac:dyDescent="0.25">
      <c r="B184" s="163" t="s">
        <v>212</v>
      </c>
      <c r="C184" s="185" t="s">
        <v>213</v>
      </c>
      <c r="D184" s="185"/>
      <c r="E184" s="185"/>
      <c r="F184" s="185"/>
      <c r="G184" s="185"/>
      <c r="H184" s="185" t="s">
        <v>214</v>
      </c>
      <c r="I184" s="2"/>
      <c r="J184" s="2"/>
      <c r="K184" s="2"/>
      <c r="L184" s="2"/>
      <c r="M184" s="131"/>
      <c r="P184" s="4"/>
      <c r="Q184" s="113"/>
      <c r="S184" s="114" t="str">
        <f>IF(G278="","",G278)</f>
        <v/>
      </c>
    </row>
    <row r="185" spans="2:19" ht="16.5" thickBot="1" x14ac:dyDescent="0.3">
      <c r="B185" s="163" t="s">
        <v>215</v>
      </c>
      <c r="C185" s="185" t="s">
        <v>216</v>
      </c>
      <c r="D185" s="185" t="s">
        <v>104</v>
      </c>
      <c r="E185" s="185" t="s">
        <v>105</v>
      </c>
      <c r="F185" s="185" t="s">
        <v>204</v>
      </c>
      <c r="G185" s="185" t="s">
        <v>217</v>
      </c>
      <c r="H185" s="185" t="s">
        <v>217</v>
      </c>
      <c r="I185" s="2"/>
      <c r="J185" s="2"/>
      <c r="K185" s="2"/>
      <c r="L185" s="2"/>
      <c r="M185" s="131"/>
      <c r="P185" s="4"/>
      <c r="Q185" s="113"/>
      <c r="S185" s="114">
        <f>IF(G279="","",G279)</f>
        <v>22.38</v>
      </c>
    </row>
    <row r="186" spans="2:19" x14ac:dyDescent="0.25">
      <c r="B186" s="190" t="str">
        <f>IF(D99="","",D99)</f>
        <v/>
      </c>
      <c r="C186" s="27" t="str">
        <f>IF($B$102="","",$B$102)</f>
        <v/>
      </c>
      <c r="D186" s="38"/>
      <c r="E186" s="38"/>
      <c r="F186" s="38"/>
      <c r="G186" s="38"/>
      <c r="H186" s="106" t="str">
        <f>IF(Q88="","",Q88)</f>
        <v/>
      </c>
      <c r="I186" s="2"/>
      <c r="J186" s="145" t="s">
        <v>218</v>
      </c>
      <c r="K186" s="2"/>
      <c r="L186" s="2"/>
      <c r="M186" s="131"/>
      <c r="P186" s="4"/>
      <c r="Q186" s="113"/>
      <c r="S186" s="114" t="e">
        <f>IF(G280="","",G280)</f>
        <v>#DIV/0!</v>
      </c>
    </row>
    <row r="187" spans="2:19" x14ac:dyDescent="0.25">
      <c r="B187" s="191"/>
      <c r="C187" s="30" t="str">
        <f>IF($B$105="","",$B$105)</f>
        <v/>
      </c>
      <c r="D187" s="43"/>
      <c r="E187" s="43"/>
      <c r="F187" s="43"/>
      <c r="G187" s="43"/>
      <c r="H187" s="108" t="str">
        <f t="shared" ref="H187:H194" si="29">IF(Q89="","",Q89)</f>
        <v/>
      </c>
      <c r="I187" s="2"/>
      <c r="J187" s="145" t="s">
        <v>219</v>
      </c>
      <c r="K187" s="2"/>
      <c r="L187" s="2"/>
      <c r="M187" s="131"/>
      <c r="P187" s="4"/>
      <c r="Q187" s="113"/>
      <c r="S187" s="114" t="str">
        <f>IF(G281="","",G281)</f>
        <v/>
      </c>
    </row>
    <row r="188" spans="2:19" ht="16.5" thickBot="1" x14ac:dyDescent="0.3">
      <c r="B188" s="191"/>
      <c r="C188" s="121" t="str">
        <f>IF($B$108="","",$B$108)</f>
        <v/>
      </c>
      <c r="D188" s="48"/>
      <c r="E188" s="48"/>
      <c r="F188" s="48"/>
      <c r="G188" s="48"/>
      <c r="H188" s="122" t="str">
        <f t="shared" si="29"/>
        <v/>
      </c>
      <c r="I188" s="2"/>
      <c r="J188" s="145" t="s">
        <v>220</v>
      </c>
      <c r="K188" s="2"/>
      <c r="L188" s="2"/>
      <c r="M188" s="131"/>
      <c r="P188" s="4"/>
      <c r="Q188" s="113"/>
      <c r="S188" s="114" t="str">
        <f>IF(G282="","",G282)</f>
        <v/>
      </c>
    </row>
    <row r="189" spans="2:19" x14ac:dyDescent="0.25">
      <c r="B189" s="190" t="str">
        <f>IF(G99="","",G99)</f>
        <v/>
      </c>
      <c r="C189" s="27" t="str">
        <f>IF($B$102="","",$B$102)</f>
        <v/>
      </c>
      <c r="D189" s="38"/>
      <c r="E189" s="38"/>
      <c r="F189" s="38"/>
      <c r="G189" s="38"/>
      <c r="H189" s="106" t="str">
        <f t="shared" si="29"/>
        <v/>
      </c>
      <c r="I189" s="2"/>
      <c r="J189" s="2"/>
      <c r="K189" s="2"/>
      <c r="L189" s="2"/>
      <c r="M189" s="131"/>
      <c r="P189" s="4"/>
      <c r="Q189" s="113"/>
      <c r="S189" s="114" t="str">
        <f>IF(G283="","",G283)</f>
        <v/>
      </c>
    </row>
    <row r="190" spans="2:19" x14ac:dyDescent="0.25">
      <c r="B190" s="191"/>
      <c r="C190" s="30" t="str">
        <f>IF($B$105="","",$B$105)</f>
        <v/>
      </c>
      <c r="D190" s="43"/>
      <c r="E190" s="43"/>
      <c r="F190" s="43"/>
      <c r="G190" s="43"/>
      <c r="H190" s="108" t="str">
        <f t="shared" si="29"/>
        <v/>
      </c>
      <c r="I190" s="2"/>
      <c r="J190" s="2"/>
      <c r="K190" s="2"/>
      <c r="L190" s="2"/>
      <c r="M190" s="131"/>
      <c r="P190" s="4"/>
      <c r="Q190" s="113"/>
      <c r="S190" s="114" t="str">
        <f>IF(G284="","",G284)</f>
        <v/>
      </c>
    </row>
    <row r="191" spans="2:19" ht="16.5" thickBot="1" x14ac:dyDescent="0.3">
      <c r="B191" s="192"/>
      <c r="C191" s="121" t="str">
        <f>IF($B$108="","",$B$108)</f>
        <v/>
      </c>
      <c r="D191" s="53"/>
      <c r="E191" s="53"/>
      <c r="F191" s="53"/>
      <c r="G191" s="53"/>
      <c r="H191" s="65" t="str">
        <f>IF(Q93="","",Q93)</f>
        <v/>
      </c>
      <c r="I191" s="2"/>
      <c r="J191" s="2"/>
      <c r="K191" s="2"/>
      <c r="L191" s="2"/>
      <c r="M191" s="131"/>
      <c r="P191" s="4"/>
      <c r="Q191" s="113"/>
      <c r="S191" s="114" t="e">
        <f>IF(#REF!="","",#REF!)</f>
        <v>#REF!</v>
      </c>
    </row>
    <row r="192" spans="2:19" x14ac:dyDescent="0.25">
      <c r="B192" s="190" t="str">
        <f>IF(J99="","",J99)</f>
        <v/>
      </c>
      <c r="C192" s="27" t="str">
        <f>IF($B$102="","",$B$102)</f>
        <v/>
      </c>
      <c r="D192" s="58"/>
      <c r="E192" s="58"/>
      <c r="F192" s="58"/>
      <c r="G192" s="58"/>
      <c r="H192" s="123" t="str">
        <f t="shared" si="29"/>
        <v/>
      </c>
      <c r="I192" s="2"/>
      <c r="J192" s="2"/>
      <c r="K192" s="2"/>
      <c r="L192" s="2"/>
      <c r="M192" s="131"/>
      <c r="P192" s="4"/>
      <c r="Q192" s="113"/>
      <c r="S192" s="114" t="e">
        <f>IF(#REF!="","",#REF!)</f>
        <v>#REF!</v>
      </c>
    </row>
    <row r="193" spans="2:19" x14ac:dyDescent="0.25">
      <c r="B193" s="191"/>
      <c r="C193" s="30" t="str">
        <f>IF($B$105="","",$B$105)</f>
        <v/>
      </c>
      <c r="D193" s="43"/>
      <c r="E193" s="43"/>
      <c r="F193" s="43"/>
      <c r="G193" s="43"/>
      <c r="H193" s="108" t="str">
        <f t="shared" si="29"/>
        <v/>
      </c>
      <c r="I193" s="2"/>
      <c r="J193" s="2"/>
      <c r="K193" s="2"/>
      <c r="L193" s="2"/>
      <c r="M193" s="131"/>
      <c r="P193" s="4"/>
      <c r="Q193" s="113"/>
      <c r="S193" s="114" t="e">
        <f>IF(#REF!="","",#REF!)</f>
        <v>#REF!</v>
      </c>
    </row>
    <row r="194" spans="2:19" ht="16.5" thickBot="1" x14ac:dyDescent="0.3">
      <c r="B194" s="192"/>
      <c r="C194" s="33" t="str">
        <f>IF($B$108="","",$B$108)</f>
        <v/>
      </c>
      <c r="D194" s="53"/>
      <c r="E194" s="53"/>
      <c r="F194" s="53"/>
      <c r="G194" s="53"/>
      <c r="H194" s="65" t="str">
        <f t="shared" si="29"/>
        <v/>
      </c>
      <c r="I194" s="2"/>
      <c r="J194" s="2"/>
      <c r="K194" s="2"/>
      <c r="L194" s="2"/>
      <c r="M194" s="131"/>
      <c r="P194" s="4"/>
      <c r="Q194" s="113"/>
      <c r="S194" s="114" t="str">
        <f>IF(F285="","",F285)</f>
        <v/>
      </c>
    </row>
    <row r="195" spans="2:19" x14ac:dyDescent="0.25">
      <c r="B195" s="13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31"/>
      <c r="P195" s="183"/>
    </row>
    <row r="196" spans="2:19" x14ac:dyDescent="0.25">
      <c r="B196" s="130"/>
      <c r="C196" s="139" t="s">
        <v>120</v>
      </c>
      <c r="D196" s="17" t="str">
        <f>IF(D198&lt;&gt;"",D198,IF(Q149="","",Q149))</f>
        <v/>
      </c>
      <c r="E196" s="3"/>
      <c r="F196" s="3"/>
      <c r="G196" s="3"/>
      <c r="H196" s="3"/>
      <c r="I196" s="3"/>
      <c r="J196" s="3"/>
      <c r="K196" s="3"/>
      <c r="L196" s="2"/>
      <c r="M196" s="131"/>
      <c r="Q196" s="113"/>
      <c r="S196" s="114"/>
    </row>
    <row r="197" spans="2:19" x14ac:dyDescent="0.25">
      <c r="B197" s="130"/>
      <c r="C197" s="153" t="s">
        <v>121</v>
      </c>
      <c r="D197" s="2"/>
      <c r="E197" s="154">
        <f>LEN(D196)</f>
        <v>0</v>
      </c>
      <c r="F197" s="2"/>
      <c r="G197" s="2"/>
      <c r="H197" s="2"/>
      <c r="I197" s="2"/>
      <c r="J197" s="2"/>
      <c r="K197" s="2"/>
      <c r="L197" s="2"/>
      <c r="M197" s="131"/>
      <c r="Q197" s="113"/>
      <c r="S197" s="114"/>
    </row>
    <row r="198" spans="2:19" x14ac:dyDescent="0.25">
      <c r="B198" s="130"/>
      <c r="C198" s="139" t="s">
        <v>122</v>
      </c>
      <c r="D198" s="8"/>
      <c r="E198" s="3"/>
      <c r="F198" s="3"/>
      <c r="G198" s="3"/>
      <c r="H198" s="3"/>
      <c r="I198" s="3"/>
      <c r="J198" s="3"/>
      <c r="K198" s="3"/>
      <c r="L198" s="2"/>
      <c r="M198" s="131"/>
      <c r="Q198" s="113"/>
      <c r="S198" s="114"/>
    </row>
    <row r="199" spans="2:19" ht="16.5" thickBot="1" x14ac:dyDescent="0.3">
      <c r="B199" s="132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5"/>
    </row>
    <row r="200" spans="2:19" ht="16.5" thickTop="1" x14ac:dyDescent="0.25">
      <c r="B200" s="155" t="s">
        <v>221</v>
      </c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9"/>
    </row>
    <row r="201" spans="2:19" x14ac:dyDescent="0.25">
      <c r="B201" s="130"/>
      <c r="C201" s="139" t="s">
        <v>222</v>
      </c>
      <c r="D201" s="207" t="s">
        <v>245</v>
      </c>
      <c r="E201" s="207"/>
      <c r="F201" s="2"/>
      <c r="G201" s="139" t="s">
        <v>223</v>
      </c>
      <c r="H201" s="208"/>
      <c r="I201" s="208"/>
      <c r="J201" s="2"/>
      <c r="K201" s="2"/>
      <c r="L201" s="2"/>
      <c r="M201" s="131"/>
    </row>
    <row r="202" spans="2:19" x14ac:dyDescent="0.25">
      <c r="B202" s="130"/>
      <c r="C202" s="139" t="s">
        <v>12</v>
      </c>
      <c r="D202" s="207" t="s">
        <v>246</v>
      </c>
      <c r="E202" s="207"/>
      <c r="F202" s="2"/>
      <c r="G202" s="139" t="s">
        <v>224</v>
      </c>
      <c r="H202" s="209"/>
      <c r="I202" s="209"/>
      <c r="J202" s="2"/>
      <c r="K202" s="2"/>
      <c r="L202" s="2"/>
      <c r="M202" s="131"/>
    </row>
    <row r="203" spans="2:19" x14ac:dyDescent="0.25">
      <c r="B203" s="13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31"/>
    </row>
    <row r="204" spans="2:19" x14ac:dyDescent="0.25">
      <c r="B204" s="13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31"/>
    </row>
    <row r="205" spans="2:19" x14ac:dyDescent="0.25">
      <c r="B205" s="147" t="s">
        <v>239</v>
      </c>
      <c r="C205" s="2"/>
      <c r="D205" s="2"/>
      <c r="E205" s="185" t="s">
        <v>238</v>
      </c>
      <c r="F205" s="185" t="s">
        <v>236</v>
      </c>
      <c r="G205" s="2"/>
      <c r="H205" s="2"/>
      <c r="I205" s="2"/>
      <c r="J205" s="2"/>
      <c r="K205" s="2"/>
      <c r="L205" s="2"/>
      <c r="M205" s="131"/>
    </row>
    <row r="206" spans="2:19" ht="16.5" thickBot="1" x14ac:dyDescent="0.3">
      <c r="B206" s="163" t="s">
        <v>225</v>
      </c>
      <c r="C206" s="185" t="s">
        <v>226</v>
      </c>
      <c r="D206" s="185" t="s">
        <v>125</v>
      </c>
      <c r="E206" s="185" t="s">
        <v>237</v>
      </c>
      <c r="F206" s="185" t="s">
        <v>235</v>
      </c>
      <c r="G206" s="185" t="s">
        <v>131</v>
      </c>
      <c r="H206" s="185" t="s">
        <v>227</v>
      </c>
      <c r="I206" s="185" t="s">
        <v>228</v>
      </c>
      <c r="J206" s="2"/>
      <c r="K206" s="2"/>
      <c r="L206" s="2"/>
      <c r="M206" s="131"/>
    </row>
    <row r="207" spans="2:19" x14ac:dyDescent="0.25">
      <c r="B207" s="167">
        <f>IF('Data Entry'!M4="","",'Data Entry'!M4)</f>
        <v>60</v>
      </c>
      <c r="C207" s="27">
        <f>IF('Data Entry'!N4="","",'Data Entry'!N4)</f>
        <v>5</v>
      </c>
      <c r="D207" s="27" t="str">
        <f>IF('Data Entry'!O4="","",'Data Entry'!O4)</f>
        <v/>
      </c>
      <c r="E207" s="27" t="str">
        <f>IF('Data Entry'!P4="","",'Data Entry'!P4)</f>
        <v/>
      </c>
      <c r="F207" s="27" t="str">
        <f>IF('Data Entry'!Q4="","",'Data Entry'!Q4)</f>
        <v/>
      </c>
      <c r="G207" s="27" t="str">
        <f>IF('Data Entry'!R4="","",'Data Entry'!R4)</f>
        <v/>
      </c>
      <c r="H207" s="27" t="str">
        <f>IF('Data Entry'!S4="","",'Data Entry'!S4)</f>
        <v/>
      </c>
      <c r="I207" s="180" t="str">
        <f>IF(D207="","",(D207-B207)/B207)</f>
        <v/>
      </c>
      <c r="J207" s="2"/>
      <c r="K207" s="2"/>
      <c r="L207" s="2"/>
      <c r="M207" s="131"/>
      <c r="P207" s="4"/>
    </row>
    <row r="208" spans="2:19" x14ac:dyDescent="0.25">
      <c r="B208" s="168">
        <f>IF('Data Entry'!M5="","",'Data Entry'!M5)</f>
        <v>80</v>
      </c>
      <c r="C208" s="30">
        <f>IF('Data Entry'!N5="","",'Data Entry'!N5)</f>
        <v>5</v>
      </c>
      <c r="D208" s="30" t="str">
        <f>IF('Data Entry'!O5="","",AVERAGE('Data Entry'!O5:O9))</f>
        <v/>
      </c>
      <c r="E208" s="30" t="str">
        <f>IF('Data Entry'!P5="","",AVERAGE('Data Entry'!P5:P9))</f>
        <v/>
      </c>
      <c r="F208" s="30" t="str">
        <f>IF('Data Entry'!Q5="","",AVERAGE('Data Entry'!Q5:Q9))</f>
        <v/>
      </c>
      <c r="G208" s="30" t="str">
        <f>IF('Data Entry'!R5="","",AVERAGE('Data Entry'!R5:R9))</f>
        <v/>
      </c>
      <c r="H208" s="30" t="str">
        <f>IF('Data Entry'!S5="","",AVERAGE('Data Entry'!S5:S9))</f>
        <v/>
      </c>
      <c r="I208" s="31" t="str">
        <f t="shared" ref="I208:I210" si="30">IF(D208="","",(D208-B208)/B208)</f>
        <v/>
      </c>
      <c r="J208" s="2"/>
      <c r="K208" s="2"/>
      <c r="L208" s="2"/>
      <c r="M208" s="131"/>
      <c r="P208" s="4"/>
    </row>
    <row r="209" spans="2:19" x14ac:dyDescent="0.25">
      <c r="B209" s="168">
        <f>IF('Data Entry'!M10="","",'Data Entry'!M10)</f>
        <v>100</v>
      </c>
      <c r="C209" s="30">
        <f>IF('Data Entry'!N10="","",'Data Entry'!N10)</f>
        <v>5</v>
      </c>
      <c r="D209" s="30" t="str">
        <f>IF('Data Entry'!O10="","",'Data Entry'!O10)</f>
        <v/>
      </c>
      <c r="E209" s="30" t="str">
        <f>IF('Data Entry'!P10="","",'Data Entry'!P10)</f>
        <v/>
      </c>
      <c r="F209" s="30" t="str">
        <f>IF('Data Entry'!Q10="","",'Data Entry'!Q10)</f>
        <v/>
      </c>
      <c r="G209" s="30" t="str">
        <f>IF('Data Entry'!R10="","",'Data Entry'!R10)</f>
        <v/>
      </c>
      <c r="H209" s="30" t="str">
        <f>IF('Data Entry'!S10="","",'Data Entry'!S10)</f>
        <v/>
      </c>
      <c r="I209" s="31" t="str">
        <f t="shared" si="30"/>
        <v/>
      </c>
      <c r="J209" s="2"/>
      <c r="K209" s="2"/>
      <c r="L209" s="2"/>
      <c r="M209" s="131"/>
      <c r="P209" s="4"/>
    </row>
    <row r="210" spans="2:19" ht="16.5" thickBot="1" x14ac:dyDescent="0.3">
      <c r="B210" s="169">
        <f>IF('Data Entry'!M11="","",'Data Entry'!M11)</f>
        <v>120</v>
      </c>
      <c r="C210" s="33">
        <f>IF('Data Entry'!N11="","",'Data Entry'!N11)</f>
        <v>5</v>
      </c>
      <c r="D210" s="33" t="str">
        <f>IF('Data Entry'!O11="","",'Data Entry'!O11)</f>
        <v/>
      </c>
      <c r="E210" s="33" t="str">
        <f>IF('Data Entry'!P11="","",'Data Entry'!P11)</f>
        <v/>
      </c>
      <c r="F210" s="33" t="str">
        <f>IF('Data Entry'!Q11="","",'Data Entry'!Q11)</f>
        <v/>
      </c>
      <c r="G210" s="33" t="str">
        <f>IF('Data Entry'!R11="","",'Data Entry'!R11)</f>
        <v/>
      </c>
      <c r="H210" s="33" t="str">
        <f>IF('Data Entry'!S11="","",'Data Entry'!S11)</f>
        <v/>
      </c>
      <c r="I210" s="34" t="str">
        <f t="shared" si="30"/>
        <v/>
      </c>
      <c r="J210" s="2"/>
      <c r="K210" s="2"/>
      <c r="L210" s="2"/>
      <c r="M210" s="131"/>
      <c r="P210" s="4"/>
      <c r="Q210" s="113"/>
      <c r="S210" s="114"/>
    </row>
    <row r="211" spans="2:19" ht="16.5" thickBot="1" x14ac:dyDescent="0.3">
      <c r="B211" s="130"/>
      <c r="C211" s="152" t="s">
        <v>118</v>
      </c>
      <c r="D211" s="145" t="s">
        <v>229</v>
      </c>
      <c r="E211" s="2"/>
      <c r="F211" s="2"/>
      <c r="G211" s="2"/>
      <c r="H211" s="139" t="s">
        <v>112</v>
      </c>
      <c r="I211" s="67" t="s">
        <v>89</v>
      </c>
      <c r="J211" s="2"/>
      <c r="K211" s="2"/>
      <c r="L211" s="2"/>
      <c r="M211" s="131"/>
      <c r="P211" s="4"/>
      <c r="Q211" s="113"/>
      <c r="S211" s="114"/>
    </row>
    <row r="212" spans="2:19" x14ac:dyDescent="0.25">
      <c r="B212" s="147" t="s">
        <v>240</v>
      </c>
      <c r="C212" s="2"/>
      <c r="D212" s="2"/>
      <c r="E212" s="2"/>
      <c r="F212" s="2"/>
      <c r="G212" s="2"/>
      <c r="H212" s="2"/>
      <c r="L212" s="2"/>
      <c r="M212" s="131"/>
      <c r="P212" s="4"/>
      <c r="Q212" s="113"/>
      <c r="S212" s="114"/>
    </row>
    <row r="213" spans="2:19" x14ac:dyDescent="0.25">
      <c r="B213" s="130"/>
      <c r="C213" s="2"/>
      <c r="D213" s="185" t="s">
        <v>238</v>
      </c>
      <c r="E213" s="185" t="s">
        <v>236</v>
      </c>
      <c r="F213" s="2"/>
      <c r="G213" s="2"/>
      <c r="H213" s="2"/>
      <c r="I213" s="170" t="s">
        <v>241</v>
      </c>
      <c r="J213" s="2"/>
      <c r="K213" s="2"/>
      <c r="L213" s="2"/>
      <c r="M213" s="131"/>
    </row>
    <row r="214" spans="2:19" ht="16.5" thickBot="1" x14ac:dyDescent="0.3">
      <c r="B214" s="163" t="s">
        <v>230</v>
      </c>
      <c r="C214" s="185" t="s">
        <v>125</v>
      </c>
      <c r="D214" s="185" t="s">
        <v>237</v>
      </c>
      <c r="E214" s="185" t="s">
        <v>235</v>
      </c>
      <c r="F214" s="185" t="s">
        <v>131</v>
      </c>
      <c r="G214" s="185" t="s">
        <v>227</v>
      </c>
      <c r="H214" s="2"/>
      <c r="I214" s="185" t="s">
        <v>230</v>
      </c>
      <c r="J214" s="185" t="s">
        <v>105</v>
      </c>
      <c r="K214" s="185" t="s">
        <v>106</v>
      </c>
      <c r="L214" s="2"/>
      <c r="M214" s="131"/>
    </row>
    <row r="215" spans="2:19" ht="16.5" thickBot="1" x14ac:dyDescent="0.3">
      <c r="B215" s="171">
        <f>IF('Data Entry'!M5="","",'Data Entry'!M5)</f>
        <v>80</v>
      </c>
      <c r="C215" s="26" t="str">
        <f>IF('Data Entry'!O5="","",'Data Entry'!O5)</f>
        <v/>
      </c>
      <c r="D215" s="27" t="str">
        <f>IF('Data Entry'!P5="","",'Data Entry'!P5)</f>
        <v/>
      </c>
      <c r="E215" s="27" t="str">
        <f>IF('Data Entry'!Q5="","",'Data Entry'!Q5)</f>
        <v/>
      </c>
      <c r="F215" s="27" t="str">
        <f>IF('Data Entry'!R5="","",'Data Entry'!R5)</f>
        <v/>
      </c>
      <c r="G215" s="28" t="str">
        <f>IF('Data Entry'!S5="","",'Data Entry'!S5)</f>
        <v/>
      </c>
      <c r="H215" s="2"/>
      <c r="I215" s="67">
        <f>IF('Data Entry'!M12="","",'Data Entry'!M12)</f>
        <v>80</v>
      </c>
      <c r="J215" s="26">
        <f>IF('Data Entry'!N12="","",'Data Entry'!N12)</f>
        <v>1</v>
      </c>
      <c r="K215" s="28" t="str">
        <f>IF('Data Entry'!Q12="","",'Data Entry'!Q12)</f>
        <v/>
      </c>
      <c r="L215" s="2"/>
      <c r="M215" s="131"/>
    </row>
    <row r="216" spans="2:19" x14ac:dyDescent="0.25">
      <c r="B216" s="130"/>
      <c r="C216" s="29" t="str">
        <f>IF('Data Entry'!O6="","",'Data Entry'!O6)</f>
        <v/>
      </c>
      <c r="D216" s="30" t="str">
        <f>IF('Data Entry'!P6="","",'Data Entry'!P6)</f>
        <v/>
      </c>
      <c r="E216" s="30" t="str">
        <f>IF('Data Entry'!Q6="","",'Data Entry'!Q6)</f>
        <v/>
      </c>
      <c r="F216" s="30" t="str">
        <f>IF('Data Entry'!R6="","",'Data Entry'!R6)</f>
        <v/>
      </c>
      <c r="G216" s="31" t="str">
        <f>IF('Data Entry'!S6="","",'Data Entry'!S6)</f>
        <v/>
      </c>
      <c r="H216" s="2"/>
      <c r="I216" s="2"/>
      <c r="J216" s="29">
        <f>IF('Data Entry'!N13="","",'Data Entry'!N13)</f>
        <v>10</v>
      </c>
      <c r="K216" s="31" t="str">
        <f>IF('Data Entry'!Q13="","",'Data Entry'!Q13)</f>
        <v/>
      </c>
      <c r="L216" s="2"/>
      <c r="M216" s="131"/>
    </row>
    <row r="217" spans="2:19" x14ac:dyDescent="0.25">
      <c r="B217" s="130"/>
      <c r="C217" s="29" t="str">
        <f>IF('Data Entry'!O7="","",'Data Entry'!O7)</f>
        <v/>
      </c>
      <c r="D217" s="30" t="str">
        <f>IF('Data Entry'!P7="","",'Data Entry'!P7)</f>
        <v/>
      </c>
      <c r="E217" s="30" t="str">
        <f>IF('Data Entry'!Q7="","",'Data Entry'!Q7)</f>
        <v/>
      </c>
      <c r="F217" s="30" t="str">
        <f>IF('Data Entry'!R7="","",'Data Entry'!R7)</f>
        <v/>
      </c>
      <c r="G217" s="31" t="str">
        <f>IF('Data Entry'!S7="","",'Data Entry'!S7)</f>
        <v/>
      </c>
      <c r="H217" s="2"/>
      <c r="I217" s="2"/>
      <c r="J217" s="29">
        <f>IF('Data Entry'!N14="","",'Data Entry'!N14)</f>
        <v>7.5</v>
      </c>
      <c r="K217" s="31" t="str">
        <f>IF('Data Entry'!Q14="","",'Data Entry'!Q14)</f>
        <v/>
      </c>
      <c r="L217" s="2"/>
      <c r="M217" s="131"/>
    </row>
    <row r="218" spans="2:19" ht="16.5" thickBot="1" x14ac:dyDescent="0.3">
      <c r="B218" s="130"/>
      <c r="C218" s="29" t="str">
        <f>IF('Data Entry'!O8="","",'Data Entry'!O8)</f>
        <v/>
      </c>
      <c r="D218" s="30" t="str">
        <f>IF('Data Entry'!P8="","",'Data Entry'!P8)</f>
        <v/>
      </c>
      <c r="E218" s="30" t="str">
        <f>IF('Data Entry'!Q8="","",'Data Entry'!Q8)</f>
        <v/>
      </c>
      <c r="F218" s="30" t="str">
        <f>IF('Data Entry'!R8="","",'Data Entry'!R8)</f>
        <v/>
      </c>
      <c r="G218" s="31" t="str">
        <f>IF('Data Entry'!S8="","",'Data Entry'!S8)</f>
        <v/>
      </c>
      <c r="H218" s="2"/>
      <c r="I218" s="2"/>
      <c r="J218" s="32">
        <f>IF(C208="","",C208)</f>
        <v>5</v>
      </c>
      <c r="K218" s="34" t="str">
        <f>IF(F208="","",F208)</f>
        <v/>
      </c>
      <c r="L218" s="2"/>
      <c r="M218" s="131"/>
    </row>
    <row r="219" spans="2:19" ht="16.5" thickBot="1" x14ac:dyDescent="0.3">
      <c r="B219" s="130"/>
      <c r="C219" s="32" t="str">
        <f>IF('Data Entry'!O9="","",'Data Entry'!O9)</f>
        <v/>
      </c>
      <c r="D219" s="33" t="str">
        <f>IF('Data Entry'!P9="","",'Data Entry'!P9)</f>
        <v/>
      </c>
      <c r="E219" s="33" t="str">
        <f>IF('Data Entry'!Q9="","",'Data Entry'!Q9)</f>
        <v/>
      </c>
      <c r="F219" s="33" t="str">
        <f>IF('Data Entry'!R9="","",'Data Entry'!R9)</f>
        <v/>
      </c>
      <c r="G219" s="34" t="str">
        <f>IF('Data Entry'!S9="","",'Data Entry'!S9)</f>
        <v/>
      </c>
      <c r="H219" s="2"/>
      <c r="I219" s="2"/>
      <c r="J219" s="139" t="s">
        <v>242</v>
      </c>
      <c r="K219" s="67" t="s">
        <v>89</v>
      </c>
      <c r="L219" s="2"/>
      <c r="M219" s="131"/>
    </row>
    <row r="220" spans="2:19" ht="16.5" thickBot="1" x14ac:dyDescent="0.3">
      <c r="B220" s="172" t="s">
        <v>231</v>
      </c>
      <c r="C220" s="101" t="str">
        <f>IF(C215="","",AVERAGE(C215:C219))</f>
        <v/>
      </c>
      <c r="D220" s="2"/>
      <c r="E220" s="101" t="str">
        <f>IF(E215="","",AVERAGE(E215:E219))</f>
        <v/>
      </c>
      <c r="F220" s="2"/>
      <c r="G220" s="2"/>
      <c r="H220" s="2"/>
      <c r="I220" s="2"/>
      <c r="J220" s="139" t="s">
        <v>112</v>
      </c>
      <c r="K220" s="67" t="s">
        <v>89</v>
      </c>
      <c r="L220" s="2"/>
      <c r="M220" s="131"/>
    </row>
    <row r="221" spans="2:19" x14ac:dyDescent="0.25">
      <c r="B221" s="172" t="s">
        <v>232</v>
      </c>
      <c r="C221" s="104" t="str">
        <f>IF(C215="","",STDEV(C215:C219))</f>
        <v/>
      </c>
      <c r="D221" s="2"/>
      <c r="E221" s="104" t="str">
        <f>IF(E215="","",STDEV(E215:E219))</f>
        <v/>
      </c>
      <c r="F221" s="2"/>
      <c r="G221" s="2"/>
      <c r="H221" s="2"/>
      <c r="I221" s="2"/>
      <c r="J221" s="152" t="s">
        <v>118</v>
      </c>
      <c r="K221" s="145" t="s">
        <v>243</v>
      </c>
      <c r="L221" s="2"/>
      <c r="M221" s="131"/>
    </row>
    <row r="222" spans="2:19" x14ac:dyDescent="0.25">
      <c r="B222" s="172" t="s">
        <v>234</v>
      </c>
      <c r="C222" s="104" t="str">
        <f>IF(OR(C220="",C221=""),"",C221/C220)</f>
        <v/>
      </c>
      <c r="D222" s="2"/>
      <c r="E222" s="104" t="str">
        <f>IF(OR(E220="",E221=""),"",E221/E220)</f>
        <v/>
      </c>
      <c r="F222" s="2"/>
      <c r="G222" s="2"/>
      <c r="H222" s="2"/>
      <c r="I222" s="2"/>
      <c r="J222" s="2"/>
      <c r="K222" s="2"/>
      <c r="L222" s="2"/>
      <c r="M222" s="131"/>
    </row>
    <row r="223" spans="2:19" ht="16.5" thickBot="1" x14ac:dyDescent="0.3">
      <c r="B223" s="172" t="s">
        <v>112</v>
      </c>
      <c r="C223" s="102" t="str">
        <f>IF(C222="","",IF(C222&lt;0.05,"PASS", "FAIL"))</f>
        <v/>
      </c>
      <c r="D223" s="2"/>
      <c r="E223" s="102" t="str">
        <f>IF(E222="","",IF(E222&lt;0.05,"PASS", "FAIL"))</f>
        <v/>
      </c>
      <c r="F223" s="2"/>
      <c r="G223" s="2"/>
      <c r="H223" s="2"/>
      <c r="I223" s="2"/>
      <c r="J223" s="2"/>
      <c r="K223" s="2"/>
      <c r="L223" s="2"/>
      <c r="M223" s="131"/>
    </row>
    <row r="224" spans="2:19" x14ac:dyDescent="0.25">
      <c r="B224" s="130"/>
      <c r="C224" s="152" t="s">
        <v>118</v>
      </c>
      <c r="D224" s="145" t="s">
        <v>233</v>
      </c>
      <c r="E224" s="2"/>
      <c r="F224" s="2"/>
      <c r="G224" s="2"/>
      <c r="H224" s="2"/>
      <c r="I224" s="2"/>
      <c r="J224" s="2"/>
      <c r="K224" s="2"/>
      <c r="L224" s="2"/>
      <c r="M224" s="131"/>
    </row>
    <row r="225" spans="2:13" ht="16.5" thickBot="1" x14ac:dyDescent="0.3">
      <c r="B225" s="132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5"/>
    </row>
    <row r="226" spans="2:13" ht="16.5" thickTop="1" x14ac:dyDescent="0.25">
      <c r="B226" s="155" t="s">
        <v>244</v>
      </c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9"/>
    </row>
    <row r="227" spans="2:13" x14ac:dyDescent="0.25">
      <c r="B227" s="173" t="s">
        <v>247</v>
      </c>
      <c r="C227" s="35" t="s">
        <v>248</v>
      </c>
      <c r="D227" s="35" t="s">
        <v>249</v>
      </c>
      <c r="E227" s="35" t="s">
        <v>250</v>
      </c>
      <c r="F227" s="35" t="s">
        <v>251</v>
      </c>
      <c r="G227" s="36" t="s">
        <v>252</v>
      </c>
      <c r="H227" s="139" t="s">
        <v>253</v>
      </c>
      <c r="I227" s="116">
        <f>IF(J227&lt;&gt;"",J227,IF(Q98="","",Q98))</f>
        <v>70</v>
      </c>
      <c r="J227" s="184">
        <v>70</v>
      </c>
      <c r="K227" s="2"/>
      <c r="L227" s="2"/>
      <c r="M227" s="131"/>
    </row>
    <row r="228" spans="2:13" x14ac:dyDescent="0.25">
      <c r="B228" s="168" t="str">
        <f>IF($B$102="","",$B$102)</f>
        <v/>
      </c>
      <c r="C228" s="43"/>
      <c r="D228" s="43"/>
      <c r="E228" s="43"/>
      <c r="F228" s="43"/>
      <c r="G228" s="45"/>
      <c r="H228" s="2"/>
      <c r="I228" s="201" t="s">
        <v>254</v>
      </c>
      <c r="J228" s="201"/>
      <c r="K228" s="145" t="s">
        <v>255</v>
      </c>
      <c r="L228" s="2"/>
      <c r="M228" s="131"/>
    </row>
    <row r="229" spans="2:13" x14ac:dyDescent="0.25">
      <c r="B229" s="168" t="str">
        <f>IF($B$105="","",$B$105)</f>
        <v/>
      </c>
      <c r="C229" s="43"/>
      <c r="D229" s="43"/>
      <c r="E229" s="43"/>
      <c r="F229" s="43"/>
      <c r="G229" s="45"/>
      <c r="H229" s="2"/>
      <c r="I229" s="188">
        <v>1</v>
      </c>
      <c r="J229" s="188" t="s">
        <v>140</v>
      </c>
      <c r="K229" s="145" t="s">
        <v>256</v>
      </c>
      <c r="L229" s="2"/>
      <c r="M229" s="131"/>
    </row>
    <row r="230" spans="2:13" ht="16.5" thickBot="1" x14ac:dyDescent="0.3">
      <c r="B230" s="169" t="str">
        <f>IF($B$108="","",$B$108)</f>
        <v/>
      </c>
      <c r="C230" s="53"/>
      <c r="D230" s="53"/>
      <c r="E230" s="53"/>
      <c r="F230" s="53"/>
      <c r="G230" s="55"/>
      <c r="H230" s="2"/>
      <c r="I230" s="188">
        <v>2</v>
      </c>
      <c r="J230" s="188" t="s">
        <v>141</v>
      </c>
      <c r="K230" s="2"/>
      <c r="L230" s="2"/>
      <c r="M230" s="131"/>
    </row>
    <row r="231" spans="2:13" ht="16.5" thickBot="1" x14ac:dyDescent="0.3">
      <c r="B231" s="130"/>
      <c r="C231" s="2"/>
      <c r="D231" s="2"/>
      <c r="E231" s="139" t="s">
        <v>112</v>
      </c>
      <c r="F231" s="103"/>
      <c r="G231" s="103"/>
      <c r="H231" s="2"/>
      <c r="I231" s="188">
        <v>3</v>
      </c>
      <c r="J231" s="188" t="s">
        <v>142</v>
      </c>
      <c r="K231" s="2"/>
      <c r="L231" s="2"/>
      <c r="M231" s="131"/>
    </row>
    <row r="232" spans="2:13" x14ac:dyDescent="0.25">
      <c r="B232" s="130"/>
      <c r="C232" s="2"/>
      <c r="D232" s="2"/>
      <c r="E232" s="2"/>
      <c r="F232" s="2"/>
      <c r="G232" s="2"/>
      <c r="H232" s="2"/>
      <c r="I232" s="188">
        <v>4</v>
      </c>
      <c r="J232" s="188" t="s">
        <v>143</v>
      </c>
      <c r="K232" s="2"/>
      <c r="L232" s="2"/>
      <c r="M232" s="131"/>
    </row>
    <row r="233" spans="2:13" x14ac:dyDescent="0.25">
      <c r="B233" s="130"/>
      <c r="C233" s="139" t="s">
        <v>120</v>
      </c>
      <c r="D233" s="17" t="str">
        <f>IF(D235&lt;&gt;"",D235,IF(Q151="","",Q151))</f>
        <v/>
      </c>
      <c r="E233" s="3"/>
      <c r="F233" s="3"/>
      <c r="G233" s="3"/>
      <c r="H233" s="3"/>
      <c r="I233" s="3"/>
      <c r="J233" s="3"/>
      <c r="K233" s="3"/>
      <c r="L233" s="2"/>
      <c r="M233" s="131"/>
    </row>
    <row r="234" spans="2:13" x14ac:dyDescent="0.25">
      <c r="B234" s="130"/>
      <c r="C234" s="153" t="s">
        <v>121</v>
      </c>
      <c r="D234" s="2"/>
      <c r="E234" s="154">
        <f>LEN(D233)</f>
        <v>0</v>
      </c>
      <c r="F234" s="2"/>
      <c r="G234" s="2"/>
      <c r="H234" s="2"/>
      <c r="I234" s="2"/>
      <c r="J234" s="2"/>
      <c r="K234" s="2"/>
      <c r="L234" s="2"/>
      <c r="M234" s="131"/>
    </row>
    <row r="235" spans="2:13" x14ac:dyDescent="0.25">
      <c r="B235" s="130"/>
      <c r="C235" s="139" t="s">
        <v>122</v>
      </c>
      <c r="D235" s="8"/>
      <c r="E235" s="3"/>
      <c r="F235" s="3"/>
      <c r="G235" s="3"/>
      <c r="H235" s="3"/>
      <c r="I235" s="3"/>
      <c r="J235" s="3"/>
      <c r="K235" s="3"/>
      <c r="L235" s="2"/>
      <c r="M235" s="131"/>
    </row>
    <row r="236" spans="2:13" x14ac:dyDescent="0.25">
      <c r="B236" s="13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31"/>
    </row>
    <row r="237" spans="2:13" x14ac:dyDescent="0.25">
      <c r="B237" s="13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31"/>
    </row>
    <row r="238" spans="2:13" x14ac:dyDescent="0.25">
      <c r="B238" s="147" t="s">
        <v>149</v>
      </c>
      <c r="C238" s="2"/>
      <c r="D238" s="2"/>
      <c r="E238" s="2"/>
      <c r="F238" s="2"/>
      <c r="G238" s="170" t="s">
        <v>258</v>
      </c>
      <c r="H238" s="2"/>
      <c r="I238" s="2"/>
      <c r="J238" s="2"/>
      <c r="K238" s="2"/>
      <c r="L238" s="2"/>
      <c r="M238" s="131"/>
    </row>
    <row r="239" spans="2:13" x14ac:dyDescent="0.25">
      <c r="B239" s="168" t="s">
        <v>257</v>
      </c>
      <c r="C239" s="30" t="str">
        <f>IF($B$102="","",$B$102)</f>
        <v/>
      </c>
      <c r="D239" s="30" t="str">
        <f>IF($B$105="","",$B$105)</f>
        <v/>
      </c>
      <c r="E239" s="30" t="str">
        <f>IF($B$108="","",$B$108)</f>
        <v/>
      </c>
      <c r="F239" s="2"/>
      <c r="G239" s="116" t="str">
        <f>IF(H239&lt;&gt;"",H239,IF(Q105="","",Q105))</f>
        <v/>
      </c>
      <c r="H239" s="184"/>
      <c r="I239" s="174" t="s">
        <v>262</v>
      </c>
      <c r="J239" s="2"/>
      <c r="K239" s="2"/>
      <c r="L239" s="2"/>
      <c r="M239" s="131"/>
    </row>
    <row r="240" spans="2:13" x14ac:dyDescent="0.25">
      <c r="B240" s="168" t="s">
        <v>152</v>
      </c>
      <c r="C240" s="43"/>
      <c r="D240" s="43"/>
      <c r="E240" s="43"/>
      <c r="F240" s="2"/>
      <c r="G240" s="2"/>
      <c r="H240" s="2"/>
      <c r="I240" s="2"/>
      <c r="J240" s="2"/>
      <c r="K240" s="2"/>
      <c r="L240" s="2"/>
      <c r="M240" s="131"/>
    </row>
    <row r="241" spans="2:13" x14ac:dyDescent="0.25">
      <c r="B241" s="168" t="s">
        <v>153</v>
      </c>
      <c r="C241" s="43"/>
      <c r="D241" s="43"/>
      <c r="E241" s="43"/>
      <c r="F241" s="2"/>
      <c r="G241" s="2"/>
      <c r="H241" s="35" t="str">
        <f>IF($B$102="","",$B$102)</f>
        <v/>
      </c>
      <c r="I241" s="35" t="str">
        <f>IF($B$105="","",$B$105)</f>
        <v/>
      </c>
      <c r="J241" s="35" t="str">
        <f>IF($B$108="","",$B$108)</f>
        <v/>
      </c>
      <c r="K241" s="2"/>
      <c r="L241" s="2"/>
      <c r="M241" s="131"/>
    </row>
    <row r="242" spans="2:13" x14ac:dyDescent="0.25">
      <c r="B242" s="168" t="s">
        <v>154</v>
      </c>
      <c r="C242" s="43"/>
      <c r="D242" s="43"/>
      <c r="E242" s="43"/>
      <c r="F242" s="2"/>
      <c r="G242" s="139" t="s">
        <v>259</v>
      </c>
      <c r="H242" s="43"/>
      <c r="I242" s="43"/>
      <c r="J242" s="43"/>
      <c r="K242" s="2"/>
      <c r="L242" s="2"/>
      <c r="M242" s="131"/>
    </row>
    <row r="243" spans="2:13" x14ac:dyDescent="0.25">
      <c r="B243" s="168" t="s">
        <v>155</v>
      </c>
      <c r="C243" s="43"/>
      <c r="D243" s="43"/>
      <c r="E243" s="43"/>
      <c r="F243" s="2"/>
      <c r="G243" s="139" t="s">
        <v>260</v>
      </c>
      <c r="H243" s="43"/>
      <c r="I243" s="43"/>
      <c r="J243" s="43"/>
      <c r="K243" s="2"/>
      <c r="L243" s="2"/>
      <c r="M243" s="131"/>
    </row>
    <row r="244" spans="2:13" x14ac:dyDescent="0.25">
      <c r="B244" s="168" t="s">
        <v>156</v>
      </c>
      <c r="C244" s="43"/>
      <c r="D244" s="43"/>
      <c r="E244" s="43"/>
      <c r="F244" s="2"/>
      <c r="G244" s="139" t="s">
        <v>261</v>
      </c>
      <c r="H244" s="30" t="str">
        <f>IF(OR(H242="",H243=""),"",SQRT(H242^2+H243^2))</f>
        <v/>
      </c>
      <c r="I244" s="30" t="str">
        <f t="shared" ref="I244:J244" si="31">IF(OR(I242="",I243=""),"",SQRT(I242^2+I243^2))</f>
        <v/>
      </c>
      <c r="J244" s="30" t="str">
        <f t="shared" si="31"/>
        <v/>
      </c>
      <c r="K244" s="2"/>
      <c r="L244" s="2"/>
      <c r="M244" s="131"/>
    </row>
    <row r="245" spans="2:13" x14ac:dyDescent="0.25">
      <c r="B245" s="168" t="s">
        <v>157</v>
      </c>
      <c r="C245" s="43"/>
      <c r="D245" s="43"/>
      <c r="E245" s="43"/>
      <c r="F245" s="2"/>
      <c r="G245" s="139" t="s">
        <v>112</v>
      </c>
      <c r="H245" s="30" t="str">
        <f>IF($G$239="","NA",IF(OR(H242=0,H243="",H244=""),"",IF($G$239=1,IF(AND(H242&gt;H241*0.85,H243&gt;H241*0.85),"YES","NO"),IF(H244&gt;H241*0.85,"YES","NO"))))</f>
        <v>NA</v>
      </c>
      <c r="I245" s="30" t="str">
        <f>IF($G$239="","NA",IF(OR(I242=0,I243="",I244=""),"",IF($G$239=1,IF(AND(I242&gt;I241*0.85,I243&gt;I241*0.85),"YES","NO"),IF(I244&gt;I241*0.85,"YES","NO"))))</f>
        <v>NA</v>
      </c>
      <c r="J245" s="30" t="str">
        <f>IF($G$239="","NA",IF(OR(J242=0,J243="",J244=""),"",IF($G$239=1,IF(AND(J242&gt;J241*0.85,J243&gt;J241*0.85),"YES","NO"),IF(J244&gt;J241*0.85,"YES","NO"))))</f>
        <v>NA</v>
      </c>
      <c r="K245" s="2"/>
      <c r="L245" s="2"/>
      <c r="M245" s="131"/>
    </row>
    <row r="246" spans="2:13" x14ac:dyDescent="0.25">
      <c r="B246" s="168" t="s">
        <v>158</v>
      </c>
      <c r="C246" s="43"/>
      <c r="D246" s="43"/>
      <c r="E246" s="43"/>
      <c r="F246" s="2"/>
      <c r="G246" s="2"/>
      <c r="H246" s="152" t="s">
        <v>263</v>
      </c>
      <c r="I246" s="145" t="s">
        <v>264</v>
      </c>
      <c r="J246" s="2"/>
      <c r="K246" s="2"/>
      <c r="L246" s="2"/>
      <c r="M246" s="131"/>
    </row>
    <row r="247" spans="2:13" x14ac:dyDescent="0.25">
      <c r="B247" s="168" t="s">
        <v>159</v>
      </c>
      <c r="C247" s="43"/>
      <c r="D247" s="43"/>
      <c r="E247" s="43"/>
      <c r="F247" s="2"/>
      <c r="G247" s="2"/>
      <c r="H247" s="2"/>
      <c r="I247" s="2"/>
      <c r="J247" s="2"/>
      <c r="K247" s="2"/>
      <c r="L247" s="2"/>
      <c r="M247" s="131"/>
    </row>
    <row r="248" spans="2:13" x14ac:dyDescent="0.25">
      <c r="B248" s="168" t="s">
        <v>160</v>
      </c>
      <c r="C248" s="43"/>
      <c r="D248" s="43"/>
      <c r="E248" s="43"/>
      <c r="F248" s="2"/>
      <c r="G248" s="2"/>
      <c r="H248" s="2"/>
      <c r="I248" s="2"/>
      <c r="J248" s="2"/>
      <c r="K248" s="2"/>
      <c r="L248" s="2"/>
      <c r="M248" s="131"/>
    </row>
    <row r="249" spans="2:13" x14ac:dyDescent="0.25">
      <c r="B249" s="168" t="s">
        <v>161</v>
      </c>
      <c r="C249" s="43"/>
      <c r="D249" s="43"/>
      <c r="E249" s="43"/>
      <c r="F249" s="2"/>
      <c r="G249" s="2"/>
      <c r="H249" s="2"/>
      <c r="I249" s="2"/>
      <c r="J249" s="2"/>
      <c r="K249" s="2"/>
      <c r="L249" s="2"/>
      <c r="M249" s="131"/>
    </row>
    <row r="250" spans="2:13" x14ac:dyDescent="0.25">
      <c r="B250" s="168" t="s">
        <v>162</v>
      </c>
      <c r="C250" s="43"/>
      <c r="D250" s="43"/>
      <c r="E250" s="43"/>
      <c r="F250" s="2"/>
      <c r="G250" s="2"/>
      <c r="H250" s="2"/>
      <c r="I250" s="2"/>
      <c r="J250" s="2"/>
      <c r="K250" s="2"/>
      <c r="L250" s="2"/>
      <c r="M250" s="131"/>
    </row>
    <row r="251" spans="2:13" x14ac:dyDescent="0.25">
      <c r="B251" s="168" t="s">
        <v>163</v>
      </c>
      <c r="C251" s="43"/>
      <c r="D251" s="43"/>
      <c r="E251" s="43"/>
      <c r="F251" s="2"/>
      <c r="G251" s="2"/>
      <c r="H251" s="2"/>
      <c r="I251" s="2"/>
      <c r="J251" s="2"/>
      <c r="K251" s="2"/>
      <c r="L251" s="2"/>
      <c r="M251" s="131"/>
    </row>
    <row r="252" spans="2:13" x14ac:dyDescent="0.25">
      <c r="B252" s="130"/>
      <c r="C252" s="139" t="s">
        <v>120</v>
      </c>
      <c r="D252" s="17" t="str">
        <f>IF(D254&lt;&gt;"",D254,IF(Q152="","",Q152))</f>
        <v/>
      </c>
      <c r="E252" s="3"/>
      <c r="F252" s="3"/>
      <c r="G252" s="3"/>
      <c r="H252" s="3"/>
      <c r="I252" s="3"/>
      <c r="J252" s="3"/>
      <c r="K252" s="3"/>
      <c r="L252" s="2"/>
      <c r="M252" s="131"/>
    </row>
    <row r="253" spans="2:13" x14ac:dyDescent="0.25">
      <c r="B253" s="130"/>
      <c r="C253" s="153" t="s">
        <v>121</v>
      </c>
      <c r="D253" s="2"/>
      <c r="E253" s="154">
        <f>LEN(D252)</f>
        <v>0</v>
      </c>
      <c r="F253" s="2"/>
      <c r="G253" s="2"/>
      <c r="H253" s="2"/>
      <c r="I253" s="2"/>
      <c r="J253" s="2"/>
      <c r="K253" s="2"/>
      <c r="L253" s="2"/>
      <c r="M253" s="131"/>
    </row>
    <row r="254" spans="2:13" x14ac:dyDescent="0.25">
      <c r="B254" s="130"/>
      <c r="C254" s="139" t="s">
        <v>122</v>
      </c>
      <c r="D254" s="8"/>
      <c r="E254" s="3"/>
      <c r="F254" s="3"/>
      <c r="G254" s="3"/>
      <c r="H254" s="3"/>
      <c r="I254" s="3"/>
      <c r="J254" s="3"/>
      <c r="K254" s="3"/>
      <c r="L254" s="2"/>
      <c r="M254" s="131"/>
    </row>
    <row r="255" spans="2:13" x14ac:dyDescent="0.25">
      <c r="B255" s="13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31"/>
    </row>
    <row r="256" spans="2:13" x14ac:dyDescent="0.25">
      <c r="B256" s="147" t="s">
        <v>265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31"/>
    </row>
    <row r="257" spans="2:13" x14ac:dyDescent="0.25">
      <c r="B257" s="175" t="str">
        <f>IF(C257&lt;&gt;"",C257,IF(Q106="","",Q106))</f>
        <v/>
      </c>
      <c r="C257" s="8"/>
      <c r="D257" s="2" t="s">
        <v>266</v>
      </c>
      <c r="E257" s="2"/>
      <c r="F257" s="2"/>
      <c r="G257" s="2"/>
      <c r="H257" s="2"/>
      <c r="I257" s="2"/>
      <c r="J257" s="2"/>
      <c r="K257" s="2"/>
      <c r="L257" s="2"/>
      <c r="M257" s="131"/>
    </row>
    <row r="258" spans="2:13" ht="16.5" thickBot="1" x14ac:dyDescent="0.3">
      <c r="B258" s="130"/>
      <c r="C258" s="185" t="s">
        <v>189</v>
      </c>
      <c r="D258" s="185" t="s">
        <v>267</v>
      </c>
      <c r="E258" s="185" t="s">
        <v>268</v>
      </c>
      <c r="F258" s="185" t="s">
        <v>199</v>
      </c>
      <c r="G258" s="2"/>
      <c r="H258" s="2"/>
      <c r="I258" s="185" t="s">
        <v>269</v>
      </c>
      <c r="J258" s="185" t="s">
        <v>153</v>
      </c>
      <c r="K258" s="185" t="s">
        <v>162</v>
      </c>
      <c r="L258" s="185" t="s">
        <v>270</v>
      </c>
      <c r="M258" s="131"/>
    </row>
    <row r="259" spans="2:13" x14ac:dyDescent="0.25">
      <c r="B259" s="172" t="s">
        <v>278</v>
      </c>
      <c r="C259" s="105" t="str">
        <f>IF(OR(I259="",I260="",I263=""),"",(I259-I260)*I263)</f>
        <v/>
      </c>
      <c r="D259" s="202" t="str">
        <f>IF(OR(C259="",C260=""),"",(ABS(C259)+ABS(C260))/$B$257)</f>
        <v/>
      </c>
      <c r="E259" s="202" t="str">
        <f>IF(OR(D259="",D261=""),"",D259+D261)</f>
        <v/>
      </c>
      <c r="F259" s="124" t="str">
        <f>IF(Q107="","",Q107)</f>
        <v/>
      </c>
      <c r="G259" s="2"/>
      <c r="H259" s="139" t="s">
        <v>273</v>
      </c>
      <c r="I259" s="43"/>
      <c r="J259" s="43"/>
      <c r="K259" s="43"/>
      <c r="L259" s="43"/>
      <c r="M259" s="131"/>
    </row>
    <row r="260" spans="2:13" x14ac:dyDescent="0.25">
      <c r="B260" s="172" t="s">
        <v>279</v>
      </c>
      <c r="C260" s="107" t="str">
        <f>IF(OR(J259="",J260="",I263=""),"",(J259-J260)*I263)</f>
        <v/>
      </c>
      <c r="D260" s="203"/>
      <c r="E260" s="206"/>
      <c r="F260" s="125" t="str">
        <f>IF(Q108="","",Q108)</f>
        <v/>
      </c>
      <c r="G260" s="2"/>
      <c r="H260" s="139" t="s">
        <v>274</v>
      </c>
      <c r="I260" s="43"/>
      <c r="J260" s="43"/>
      <c r="K260" s="43"/>
      <c r="L260" s="43"/>
      <c r="M260" s="131"/>
    </row>
    <row r="261" spans="2:13" ht="16.5" thickBot="1" x14ac:dyDescent="0.3">
      <c r="B261" s="172" t="s">
        <v>280</v>
      </c>
      <c r="C261" s="107" t="str">
        <f>IF(OR(K259="",K260="",I263=""),"",(K259-K260)*I263)</f>
        <v/>
      </c>
      <c r="D261" s="204" t="str">
        <f>IF(OR(C261="",C262=""),"",(ABS(C261)+ABS(C262))/$B$257)</f>
        <v/>
      </c>
      <c r="E261" s="206"/>
      <c r="F261" s="125" t="str">
        <f>IF(Q109="","",Q109)</f>
        <v/>
      </c>
      <c r="G261" s="185" t="s">
        <v>200</v>
      </c>
      <c r="H261" s="139" t="s">
        <v>275</v>
      </c>
      <c r="I261" s="30" t="str">
        <f>B257</f>
        <v/>
      </c>
      <c r="J261" s="2"/>
      <c r="K261" s="2"/>
      <c r="L261" s="2"/>
      <c r="M261" s="131"/>
    </row>
    <row r="262" spans="2:13" ht="16.5" thickBot="1" x14ac:dyDescent="0.3">
      <c r="B262" s="172" t="s">
        <v>281</v>
      </c>
      <c r="C262" s="109" t="str">
        <f>IF(OR(L259="",L260="",I263=""),"",(L259-L260)*I263)</f>
        <v/>
      </c>
      <c r="D262" s="205"/>
      <c r="E262" s="205"/>
      <c r="F262" s="126" t="str">
        <f>IF(Q110="","",Q110)</f>
        <v/>
      </c>
      <c r="G262" s="110" t="str">
        <f>IF(OR(D259="",D261="",E259=""),"",IF(OR(D259&gt;0.02,D261&gt;0.02,E259&gt;0.04),"NO","YES"))</f>
        <v/>
      </c>
      <c r="H262" s="139" t="s">
        <v>276</v>
      </c>
      <c r="I262" s="43"/>
      <c r="J262" s="2"/>
      <c r="K262" s="2"/>
      <c r="L262" s="2"/>
      <c r="M262" s="131"/>
    </row>
    <row r="263" spans="2:13" x14ac:dyDescent="0.25">
      <c r="B263" s="176" t="s">
        <v>118</v>
      </c>
      <c r="C263" s="145" t="s">
        <v>271</v>
      </c>
      <c r="D263" s="2"/>
      <c r="E263" s="2"/>
      <c r="F263" s="2"/>
      <c r="G263" s="2"/>
      <c r="H263" s="139" t="s">
        <v>277</v>
      </c>
      <c r="I263" s="30" t="str">
        <f>IF(OR(I261="",I262=""),"",I261/I262)</f>
        <v/>
      </c>
      <c r="J263" s="2"/>
      <c r="K263" s="2"/>
      <c r="L263" s="2"/>
      <c r="M263" s="131"/>
    </row>
    <row r="264" spans="2:13" x14ac:dyDescent="0.25">
      <c r="B264" s="130"/>
      <c r="C264" s="145" t="s">
        <v>272</v>
      </c>
      <c r="D264" s="2"/>
      <c r="E264" s="2"/>
      <c r="F264" s="2"/>
      <c r="G264" s="2"/>
      <c r="H264" s="2"/>
      <c r="I264" s="2"/>
      <c r="J264" s="2"/>
      <c r="K264" s="2"/>
      <c r="L264" s="2"/>
      <c r="M264" s="131"/>
    </row>
    <row r="265" spans="2:13" x14ac:dyDescent="0.25">
      <c r="B265" s="130"/>
      <c r="C265" s="139" t="s">
        <v>120</v>
      </c>
      <c r="D265" s="17" t="str">
        <f>IF(D267&lt;&gt;"",D267,IF(Q153="","",Q153))</f>
        <v/>
      </c>
      <c r="E265" s="3"/>
      <c r="F265" s="3"/>
      <c r="G265" s="3"/>
      <c r="H265" s="3"/>
      <c r="I265" s="3"/>
      <c r="J265" s="3"/>
      <c r="K265" s="3"/>
      <c r="L265" s="2"/>
      <c r="M265" s="131"/>
    </row>
    <row r="266" spans="2:13" x14ac:dyDescent="0.25">
      <c r="B266" s="130"/>
      <c r="C266" s="153" t="s">
        <v>121</v>
      </c>
      <c r="D266" s="2"/>
      <c r="E266" s="154">
        <f>LEN(D265)</f>
        <v>0</v>
      </c>
      <c r="F266" s="2"/>
      <c r="G266" s="2"/>
      <c r="H266" s="2"/>
      <c r="I266" s="2"/>
      <c r="J266" s="2"/>
      <c r="K266" s="2"/>
      <c r="L266" s="2"/>
      <c r="M266" s="131"/>
    </row>
    <row r="267" spans="2:13" x14ac:dyDescent="0.25">
      <c r="B267" s="130"/>
      <c r="C267" s="139" t="s">
        <v>122</v>
      </c>
      <c r="D267" s="8"/>
      <c r="E267" s="3"/>
      <c r="F267" s="3"/>
      <c r="G267" s="3"/>
      <c r="H267" s="3"/>
      <c r="I267" s="3"/>
      <c r="J267" s="3"/>
      <c r="K267" s="3"/>
      <c r="L267" s="2"/>
      <c r="M267" s="131"/>
    </row>
    <row r="268" spans="2:13" ht="16.5" thickBot="1" x14ac:dyDescent="0.3">
      <c r="B268" s="132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5"/>
    </row>
    <row r="269" spans="2:13" ht="16.5" thickTop="1" x14ac:dyDescent="0.25">
      <c r="B269" s="18" t="s">
        <v>375</v>
      </c>
    </row>
    <row r="270" spans="2:13" x14ac:dyDescent="0.25">
      <c r="B270" s="4" t="s">
        <v>376</v>
      </c>
      <c r="C270" s="116" t="str">
        <f>IF(D270&lt;&gt;"",D270,IF(Q157="","",Q157))</f>
        <v/>
      </c>
      <c r="D270" s="184"/>
    </row>
    <row r="271" spans="2:13" x14ac:dyDescent="0.25">
      <c r="B271" s="4" t="s">
        <v>316</v>
      </c>
      <c r="C271" s="116" t="str">
        <f t="shared" ref="C271:C272" si="32">IF(D271&lt;&gt;"",D271,IF(Q158="","",Q158))</f>
        <v/>
      </c>
      <c r="D271" s="184"/>
    </row>
    <row r="272" spans="2:13" x14ac:dyDescent="0.25">
      <c r="B272" s="4" t="s">
        <v>317</v>
      </c>
      <c r="C272" s="116" t="str">
        <f t="shared" si="32"/>
        <v/>
      </c>
      <c r="D272" s="184"/>
    </row>
    <row r="274" spans="2:11" x14ac:dyDescent="0.25">
      <c r="B274" s="18" t="s">
        <v>377</v>
      </c>
    </row>
    <row r="275" spans="2:11" x14ac:dyDescent="0.25">
      <c r="D275" s="1" t="s">
        <v>378</v>
      </c>
      <c r="E275" s="1" t="s">
        <v>371</v>
      </c>
      <c r="F275" s="1" t="s">
        <v>374</v>
      </c>
      <c r="G275" s="1" t="s">
        <v>372</v>
      </c>
      <c r="H275" s="1" t="s">
        <v>373</v>
      </c>
    </row>
    <row r="276" spans="2:11" x14ac:dyDescent="0.25">
      <c r="D276" s="43">
        <v>9</v>
      </c>
      <c r="E276" s="43">
        <v>29.93</v>
      </c>
      <c r="F276" s="43">
        <v>18.68</v>
      </c>
      <c r="G276" s="43">
        <v>22.38</v>
      </c>
      <c r="H276" s="43">
        <v>19.23</v>
      </c>
    </row>
    <row r="277" spans="2:11" x14ac:dyDescent="0.25">
      <c r="D277" s="43"/>
      <c r="E277" s="43"/>
      <c r="F277" s="43"/>
      <c r="G277" s="43"/>
      <c r="H277" s="43"/>
    </row>
    <row r="278" spans="2:11" x14ac:dyDescent="0.25">
      <c r="D278" s="43"/>
      <c r="E278" s="43"/>
      <c r="F278" s="43"/>
      <c r="G278" s="43"/>
      <c r="H278" s="43"/>
    </row>
    <row r="279" spans="2:11" x14ac:dyDescent="0.25">
      <c r="C279" s="4" t="s">
        <v>380</v>
      </c>
      <c r="D279" s="30">
        <f>IF(D276="","",AVERAGE(D276:D278))</f>
        <v>9</v>
      </c>
      <c r="E279" s="30">
        <f t="shared" ref="E279:H279" si="33">IF(E276="","",AVERAGE(E276:E278))</f>
        <v>29.93</v>
      </c>
      <c r="F279" s="30">
        <f t="shared" si="33"/>
        <v>18.68</v>
      </c>
      <c r="G279" s="30">
        <f t="shared" si="33"/>
        <v>22.38</v>
      </c>
      <c r="H279" s="30">
        <f t="shared" si="33"/>
        <v>19.23</v>
      </c>
    </row>
    <row r="280" spans="2:11" x14ac:dyDescent="0.25">
      <c r="C280" s="4" t="s">
        <v>379</v>
      </c>
      <c r="D280" s="30" t="e">
        <f>IF(D276="","",STDEV(D276:D278))</f>
        <v>#DIV/0!</v>
      </c>
      <c r="E280" s="30" t="e">
        <f t="shared" ref="E280:H280" si="34">IF(E276="","",STDEV(E276:E278))</f>
        <v>#DIV/0!</v>
      </c>
      <c r="F280" s="30" t="e">
        <f t="shared" si="34"/>
        <v>#DIV/0!</v>
      </c>
      <c r="G280" s="30" t="e">
        <f t="shared" si="34"/>
        <v>#DIV/0!</v>
      </c>
      <c r="H280" s="30" t="e">
        <f t="shared" si="34"/>
        <v>#DIV/0!</v>
      </c>
    </row>
    <row r="281" spans="2:11" x14ac:dyDescent="0.25">
      <c r="C281" s="4" t="s">
        <v>381</v>
      </c>
      <c r="D281" s="216">
        <f>IF(D279="","",D279/3+(2/3)*AVERAGE(E279:H279))</f>
        <v>18.036666666666665</v>
      </c>
    </row>
    <row r="282" spans="2:11" x14ac:dyDescent="0.25">
      <c r="C282" s="4" t="s">
        <v>382</v>
      </c>
      <c r="D282" s="214" t="str">
        <f>IF(Q160="","",Q160)</f>
        <v/>
      </c>
    </row>
    <row r="283" spans="2:11" x14ac:dyDescent="0.25">
      <c r="C283" s="4" t="s">
        <v>383</v>
      </c>
      <c r="D283" s="215" t="str">
        <f>IF(OR(D281="",D282=""),"",(D281-D282)/D282)</f>
        <v/>
      </c>
    </row>
    <row r="284" spans="2:11" x14ac:dyDescent="0.25">
      <c r="C284" s="4" t="s">
        <v>370</v>
      </c>
      <c r="D284" s="215" t="str">
        <f>IF(OR(D281="",C270=""),"",(D281-C270)/C270)</f>
        <v/>
      </c>
    </row>
    <row r="286" spans="2:11" x14ac:dyDescent="0.25">
      <c r="C286" s="139" t="s">
        <v>120</v>
      </c>
      <c r="D286" s="17" t="str">
        <f>IF(D288&lt;&gt;"",D288,IF(Q161="","",Q161))</f>
        <v/>
      </c>
      <c r="E286" s="3"/>
      <c r="F286" s="3"/>
      <c r="G286" s="3"/>
      <c r="H286" s="3"/>
      <c r="I286" s="3"/>
      <c r="J286" s="3"/>
      <c r="K286" s="3"/>
    </row>
    <row r="287" spans="2:11" x14ac:dyDescent="0.25">
      <c r="C287" s="153" t="s">
        <v>121</v>
      </c>
      <c r="D287" s="2"/>
      <c r="E287" s="154">
        <f>LEN(D286)</f>
        <v>0</v>
      </c>
      <c r="F287" s="2"/>
      <c r="G287" s="2"/>
      <c r="H287" s="2"/>
      <c r="I287" s="2"/>
      <c r="J287" s="2"/>
      <c r="K287" s="2"/>
    </row>
    <row r="288" spans="2:11" x14ac:dyDescent="0.25">
      <c r="C288" s="139" t="s">
        <v>122</v>
      </c>
      <c r="D288" s="8"/>
      <c r="E288" s="3"/>
      <c r="F288" s="3"/>
      <c r="G288" s="3"/>
      <c r="H288" s="3"/>
      <c r="I288" s="3"/>
      <c r="J288" s="3"/>
      <c r="K288" s="3"/>
    </row>
    <row r="293" ht="15.75" customHeight="1" x14ac:dyDescent="0.25"/>
    <row r="294" ht="15.75" customHeight="1" x14ac:dyDescent="0.25"/>
    <row r="297" ht="15.75" customHeight="1" x14ac:dyDescent="0.25"/>
    <row r="298" ht="15.75" customHeight="1" x14ac:dyDescent="0.25"/>
  </sheetData>
  <mergeCells count="18">
    <mergeCell ref="D202:E202"/>
    <mergeCell ref="H201:I201"/>
    <mergeCell ref="H202:I202"/>
    <mergeCell ref="B192:B194"/>
    <mergeCell ref="J99:L99"/>
    <mergeCell ref="G133:H133"/>
    <mergeCell ref="D99:F99"/>
    <mergeCell ref="G99:I99"/>
    <mergeCell ref="D145:E145"/>
    <mergeCell ref="D152:E152"/>
    <mergeCell ref="B174:B175"/>
    <mergeCell ref="B186:B188"/>
    <mergeCell ref="B189:B191"/>
    <mergeCell ref="I228:J228"/>
    <mergeCell ref="D259:D260"/>
    <mergeCell ref="D261:D262"/>
    <mergeCell ref="E259:E262"/>
    <mergeCell ref="D201:E201"/>
  </mergeCells>
  <conditionalFormatting sqref="K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D1C-946B-42C0-B073-C807EAD76DA5}">
  <dimension ref="A1:S92"/>
  <sheetViews>
    <sheetView topLeftCell="A55" workbookViewId="0">
      <selection activeCell="I77" sqref="I77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139</v>
      </c>
    </row>
    <row r="2" spans="1:10" x14ac:dyDescent="0.25">
      <c r="A2" s="1">
        <v>1</v>
      </c>
      <c r="B2" s="1" t="s">
        <v>140</v>
      </c>
    </row>
    <row r="3" spans="1:10" x14ac:dyDescent="0.25">
      <c r="A3" s="1">
        <v>2</v>
      </c>
      <c r="B3" s="1" t="s">
        <v>141</v>
      </c>
    </row>
    <row r="4" spans="1:10" x14ac:dyDescent="0.25">
      <c r="A4" s="1">
        <v>3</v>
      </c>
      <c r="B4" s="1" t="s">
        <v>142</v>
      </c>
    </row>
    <row r="5" spans="1:10" x14ac:dyDescent="0.25">
      <c r="A5" s="1">
        <v>4</v>
      </c>
      <c r="B5" s="1" t="s">
        <v>143</v>
      </c>
    </row>
    <row r="7" spans="1:10" x14ac:dyDescent="0.25">
      <c r="A7" s="1" t="s">
        <v>144</v>
      </c>
      <c r="D7" s="1" t="s">
        <v>145</v>
      </c>
      <c r="F7" s="1">
        <v>65</v>
      </c>
      <c r="G7" s="1">
        <v>70</v>
      </c>
      <c r="H7" s="1">
        <v>75</v>
      </c>
      <c r="I7" s="1">
        <v>80</v>
      </c>
      <c r="J7" s="1" t="s">
        <v>146</v>
      </c>
    </row>
    <row r="8" spans="1:10" x14ac:dyDescent="0.25">
      <c r="A8" s="1">
        <v>1.1000000000000001</v>
      </c>
      <c r="B8" s="1">
        <v>0.5</v>
      </c>
      <c r="D8" s="1">
        <v>1</v>
      </c>
      <c r="E8" s="1">
        <f t="shared" ref="E8:E26" si="0">HLOOKUP(LEEDS_KV,$F$7:$I$26,D8+1)</f>
        <v>0.16700000000000001</v>
      </c>
      <c r="F8" s="1">
        <v>0.188</v>
      </c>
      <c r="G8" s="1">
        <v>0.16700000000000001</v>
      </c>
      <c r="H8" s="1">
        <v>0.14899999999999999</v>
      </c>
      <c r="I8" s="1">
        <v>0.13500000000000001</v>
      </c>
      <c r="J8" s="1">
        <v>0.16</v>
      </c>
    </row>
    <row r="9" spans="1:10" x14ac:dyDescent="0.25">
      <c r="A9" s="1">
        <v>1.2</v>
      </c>
      <c r="B9" s="1">
        <v>0.56000000000000005</v>
      </c>
      <c r="D9" s="1">
        <v>2</v>
      </c>
      <c r="E9" s="1">
        <f t="shared" si="0"/>
        <v>0.14799999999999999</v>
      </c>
      <c r="F9" s="1">
        <v>0.16700000000000001</v>
      </c>
      <c r="G9" s="1">
        <v>0.14799999999999999</v>
      </c>
      <c r="H9" s="1">
        <v>0.13200000000000001</v>
      </c>
      <c r="I9" s="1">
        <v>0.12</v>
      </c>
      <c r="J9" s="1">
        <v>0.14499999999999999</v>
      </c>
    </row>
    <row r="10" spans="1:10" x14ac:dyDescent="0.25">
      <c r="A10" s="1">
        <v>1.3</v>
      </c>
      <c r="B10" s="1">
        <v>0.63</v>
      </c>
      <c r="D10" s="1">
        <v>3</v>
      </c>
      <c r="E10" s="1">
        <f t="shared" si="0"/>
        <v>0.128</v>
      </c>
      <c r="F10" s="1">
        <v>0.14499999999999999</v>
      </c>
      <c r="G10" s="1">
        <v>0.128</v>
      </c>
      <c r="H10" s="1">
        <v>0.114</v>
      </c>
      <c r="I10" s="1">
        <v>0.104</v>
      </c>
      <c r="J10" s="1">
        <v>0.123</v>
      </c>
    </row>
    <row r="11" spans="1:10" x14ac:dyDescent="0.25">
      <c r="A11" s="1">
        <v>2.1</v>
      </c>
      <c r="B11" s="1">
        <v>0.71</v>
      </c>
      <c r="D11" s="1">
        <v>4</v>
      </c>
      <c r="E11" s="1">
        <f t="shared" si="0"/>
        <v>0.109</v>
      </c>
      <c r="F11" s="1">
        <v>0.124</v>
      </c>
      <c r="G11" s="1">
        <v>0.109</v>
      </c>
      <c r="H11" s="1">
        <v>9.7000000000000003E-2</v>
      </c>
      <c r="I11" s="1">
        <v>8.7999999999999995E-2</v>
      </c>
      <c r="J11" s="1">
        <v>0.108</v>
      </c>
    </row>
    <row r="12" spans="1:10" x14ac:dyDescent="0.25">
      <c r="A12" s="1">
        <v>2.2000000000000002</v>
      </c>
      <c r="B12" s="1">
        <v>0.8</v>
      </c>
      <c r="D12" s="1">
        <v>5</v>
      </c>
      <c r="E12" s="1">
        <f t="shared" si="0"/>
        <v>8.7599999999999997E-2</v>
      </c>
      <c r="F12" s="1">
        <v>9.9299999999999999E-2</v>
      </c>
      <c r="G12" s="1">
        <v>8.7599999999999997E-2</v>
      </c>
      <c r="H12" s="1">
        <v>7.8E-2</v>
      </c>
      <c r="I12" s="1">
        <v>7.0499999999999993E-2</v>
      </c>
      <c r="J12" s="1">
        <v>8.5999999999999993E-2</v>
      </c>
    </row>
    <row r="13" spans="1:10" x14ac:dyDescent="0.25">
      <c r="A13" s="1">
        <v>2.2999999999999998</v>
      </c>
      <c r="B13" s="1">
        <v>0.9</v>
      </c>
      <c r="D13" s="1">
        <v>6</v>
      </c>
      <c r="E13" s="1">
        <f t="shared" si="0"/>
        <v>7.4899999999999994E-2</v>
      </c>
      <c r="F13" s="1">
        <v>8.4699999999999998E-2</v>
      </c>
      <c r="G13" s="1">
        <v>7.4899999999999994E-2</v>
      </c>
      <c r="H13" s="1">
        <v>6.7000000000000004E-2</v>
      </c>
      <c r="I13" s="1">
        <v>6.0900000000000003E-2</v>
      </c>
      <c r="J13" s="1">
        <v>7.5999999999999998E-2</v>
      </c>
    </row>
    <row r="14" spans="1:10" x14ac:dyDescent="0.25">
      <c r="A14" s="1">
        <v>3.1</v>
      </c>
      <c r="B14" s="1">
        <v>1</v>
      </c>
      <c r="D14" s="1">
        <v>7</v>
      </c>
      <c r="E14" s="1">
        <f t="shared" si="0"/>
        <v>6.7400000000000002E-2</v>
      </c>
      <c r="F14" s="1">
        <v>7.6600000000000001E-2</v>
      </c>
      <c r="G14" s="1">
        <v>6.7400000000000002E-2</v>
      </c>
      <c r="H14" s="1">
        <v>5.9900000000000002E-2</v>
      </c>
      <c r="I14" s="1">
        <v>5.4199999999999998E-2</v>
      </c>
      <c r="J14" s="1">
        <v>6.6000000000000003E-2</v>
      </c>
    </row>
    <row r="15" spans="1:10" x14ac:dyDescent="0.25">
      <c r="A15" s="1">
        <v>3.2</v>
      </c>
      <c r="B15" s="1">
        <v>1.1200000000000001</v>
      </c>
      <c r="D15" s="1">
        <v>8</v>
      </c>
      <c r="E15" s="1">
        <f t="shared" si="0"/>
        <v>5.2499999999999998E-2</v>
      </c>
      <c r="F15" s="1">
        <v>5.9299999999999999E-2</v>
      </c>
      <c r="G15" s="1">
        <v>5.2499999999999998E-2</v>
      </c>
      <c r="H15" s="1">
        <v>4.7E-2</v>
      </c>
      <c r="I15" s="1">
        <v>4.2700000000000002E-2</v>
      </c>
      <c r="J15" s="1">
        <v>5.5E-2</v>
      </c>
    </row>
    <row r="16" spans="1:10" x14ac:dyDescent="0.25">
      <c r="A16" s="1">
        <v>3.3</v>
      </c>
      <c r="B16" s="1">
        <v>1.25</v>
      </c>
      <c r="D16" s="1">
        <v>9</v>
      </c>
      <c r="E16" s="1">
        <f t="shared" si="0"/>
        <v>4.4999999999999998E-2</v>
      </c>
      <c r="F16" s="1">
        <v>5.1200000000000002E-2</v>
      </c>
      <c r="G16" s="1">
        <v>4.4999999999999998E-2</v>
      </c>
      <c r="H16" s="1">
        <v>3.9899999999999998E-2</v>
      </c>
      <c r="I16" s="1">
        <v>3.5999999999999997E-2</v>
      </c>
      <c r="J16" s="1">
        <v>4.4999999999999998E-2</v>
      </c>
    </row>
    <row r="17" spans="1:10" x14ac:dyDescent="0.25">
      <c r="A17" s="1">
        <v>4.0999999999999996</v>
      </c>
      <c r="B17" s="1">
        <v>1.4</v>
      </c>
      <c r="D17" s="1">
        <v>10</v>
      </c>
      <c r="E17" s="1">
        <f t="shared" si="0"/>
        <v>3.7100000000000001E-2</v>
      </c>
      <c r="F17" s="1">
        <v>0.04</v>
      </c>
      <c r="G17" s="1">
        <v>3.7100000000000001E-2</v>
      </c>
      <c r="H17" s="1">
        <v>3.4700000000000002E-2</v>
      </c>
      <c r="I17" s="1">
        <v>3.2899999999999999E-2</v>
      </c>
      <c r="J17" s="1">
        <v>3.9E-2</v>
      </c>
    </row>
    <row r="18" spans="1:10" x14ac:dyDescent="0.25">
      <c r="A18" s="1">
        <v>4.2</v>
      </c>
      <c r="B18" s="1">
        <v>1.6</v>
      </c>
      <c r="D18" s="1">
        <v>11</v>
      </c>
      <c r="E18" s="1">
        <f t="shared" si="0"/>
        <v>3.2199999999999999E-2</v>
      </c>
      <c r="F18" s="1">
        <v>3.4700000000000002E-2</v>
      </c>
      <c r="G18" s="1">
        <v>3.2199999999999999E-2</v>
      </c>
      <c r="H18" s="1">
        <v>3.0099999999999998E-2</v>
      </c>
      <c r="I18" s="1">
        <v>2.8500000000000001E-2</v>
      </c>
      <c r="J18" s="1">
        <v>3.3000000000000002E-2</v>
      </c>
    </row>
    <row r="19" spans="1:10" x14ac:dyDescent="0.25">
      <c r="A19" s="1">
        <v>4.3</v>
      </c>
      <c r="B19" s="1">
        <v>1.8</v>
      </c>
      <c r="D19" s="1">
        <v>12</v>
      </c>
      <c r="E19" s="1">
        <f t="shared" si="0"/>
        <v>2.46E-2</v>
      </c>
      <c r="F19" s="1">
        <v>2.69E-2</v>
      </c>
      <c r="G19" s="1">
        <v>2.46E-2</v>
      </c>
      <c r="H19" s="1">
        <v>2.3300000000000001E-2</v>
      </c>
      <c r="I19" s="1">
        <v>2.1999999999999999E-2</v>
      </c>
      <c r="J19" s="1">
        <v>2.7E-2</v>
      </c>
    </row>
    <row r="20" spans="1:10" x14ac:dyDescent="0.25">
      <c r="A20" s="1">
        <v>5.0999999999999996</v>
      </c>
      <c r="B20" s="1">
        <v>2</v>
      </c>
      <c r="D20" s="1">
        <v>13</v>
      </c>
      <c r="E20" s="1">
        <f t="shared" si="0"/>
        <v>2.1499999999999998E-2</v>
      </c>
      <c r="F20" s="1">
        <v>2.3199999999999998E-2</v>
      </c>
      <c r="G20" s="1">
        <v>2.1499999999999998E-2</v>
      </c>
      <c r="H20" s="1">
        <v>2.01E-2</v>
      </c>
      <c r="I20" s="1">
        <v>1.9E-2</v>
      </c>
      <c r="J20" s="1">
        <v>2.3E-2</v>
      </c>
    </row>
    <row r="21" spans="1:10" x14ac:dyDescent="0.25">
      <c r="A21" s="1">
        <v>5.2</v>
      </c>
      <c r="B21" s="1">
        <v>2.2400000000000002</v>
      </c>
      <c r="D21" s="1">
        <v>14</v>
      </c>
      <c r="E21" s="1">
        <f t="shared" si="0"/>
        <v>1.72E-2</v>
      </c>
      <c r="F21" s="1">
        <v>1.8599999999999998E-2</v>
      </c>
      <c r="G21" s="1">
        <v>1.72E-2</v>
      </c>
      <c r="H21" s="1">
        <v>1.61E-2</v>
      </c>
      <c r="I21" s="1">
        <v>1.5299999999999999E-2</v>
      </c>
      <c r="J21" s="1">
        <v>1.7999999999999999E-2</v>
      </c>
    </row>
    <row r="22" spans="1:10" x14ac:dyDescent="0.25">
      <c r="A22" s="1">
        <v>5.3</v>
      </c>
      <c r="B22" s="1">
        <v>2.5</v>
      </c>
      <c r="D22" s="1">
        <v>15</v>
      </c>
      <c r="E22" s="1">
        <f t="shared" si="0"/>
        <v>1.55E-2</v>
      </c>
      <c r="F22" s="1">
        <v>1.6799999999999999E-2</v>
      </c>
      <c r="G22" s="1">
        <v>1.55E-2</v>
      </c>
      <c r="H22" s="1">
        <v>1.4500000000000001E-2</v>
      </c>
      <c r="I22" s="1">
        <v>1.38E-2</v>
      </c>
      <c r="J22" s="1">
        <v>1.6E-2</v>
      </c>
    </row>
    <row r="23" spans="1:10" x14ac:dyDescent="0.25">
      <c r="A23" s="1">
        <v>6.1</v>
      </c>
      <c r="B23" s="1">
        <v>2.8</v>
      </c>
      <c r="D23" s="1">
        <v>16</v>
      </c>
      <c r="E23" s="1">
        <f t="shared" si="0"/>
        <v>1.2999999999999999E-2</v>
      </c>
      <c r="F23" s="1">
        <v>1.4E-2</v>
      </c>
      <c r="G23" s="1">
        <v>1.2999999999999999E-2</v>
      </c>
      <c r="H23" s="1">
        <v>1.2200000000000001E-2</v>
      </c>
      <c r="I23" s="1">
        <v>1.15E-2</v>
      </c>
      <c r="J23" s="1">
        <v>1.2999999999999999E-2</v>
      </c>
    </row>
    <row r="24" spans="1:10" x14ac:dyDescent="0.25">
      <c r="A24" s="1">
        <v>6.2</v>
      </c>
      <c r="B24" s="1">
        <v>3.15</v>
      </c>
      <c r="D24" s="1">
        <v>17</v>
      </c>
      <c r="E24" s="1">
        <f t="shared" si="0"/>
        <v>1.0999999999999999E-2</v>
      </c>
      <c r="F24" s="1">
        <v>1.1900000000000001E-2</v>
      </c>
      <c r="G24" s="1">
        <v>1.0999999999999999E-2</v>
      </c>
      <c r="H24" s="1">
        <v>1.03E-2</v>
      </c>
      <c r="I24" s="1">
        <v>9.7000000000000003E-3</v>
      </c>
      <c r="J24" s="1">
        <v>1.0999999999999999E-2</v>
      </c>
    </row>
    <row r="25" spans="1:10" x14ac:dyDescent="0.25">
      <c r="A25" s="1">
        <v>6.3</v>
      </c>
      <c r="B25" s="1">
        <v>3.55</v>
      </c>
      <c r="D25" s="1">
        <v>18</v>
      </c>
      <c r="E25" s="1">
        <f t="shared" si="0"/>
        <v>8.6E-3</v>
      </c>
      <c r="F25" s="1">
        <v>9.2999999999999992E-3</v>
      </c>
      <c r="G25" s="1">
        <v>8.6E-3</v>
      </c>
      <c r="H25" s="1">
        <v>8.0999999999999996E-3</v>
      </c>
      <c r="I25" s="1">
        <v>7.7000000000000002E-3</v>
      </c>
      <c r="J25" s="1">
        <v>8.9999999999999993E-3</v>
      </c>
    </row>
    <row r="26" spans="1:10" x14ac:dyDescent="0.25">
      <c r="A26" s="1">
        <v>7.1</v>
      </c>
      <c r="B26" s="1">
        <v>4</v>
      </c>
      <c r="D26" s="1">
        <v>19</v>
      </c>
      <c r="E26" s="1">
        <f t="shared" si="0"/>
        <v>6.6E-3</v>
      </c>
      <c r="F26" s="1">
        <v>7.1000000000000004E-3</v>
      </c>
      <c r="G26" s="1">
        <v>6.6E-3</v>
      </c>
      <c r="H26" s="1">
        <v>6.1999999999999998E-3</v>
      </c>
      <c r="I26" s="1">
        <v>5.8999999999999999E-3</v>
      </c>
      <c r="J26" s="1">
        <v>7.0000000000000001E-3</v>
      </c>
    </row>
    <row r="27" spans="1:10" x14ac:dyDescent="0.25">
      <c r="A27" s="1">
        <v>7.2</v>
      </c>
      <c r="B27" s="1">
        <v>4.5</v>
      </c>
    </row>
    <row r="28" spans="1:10" x14ac:dyDescent="0.25">
      <c r="A28" s="1">
        <v>7.3</v>
      </c>
      <c r="B28" s="1">
        <v>5</v>
      </c>
    </row>
    <row r="30" spans="1:10" x14ac:dyDescent="0.25">
      <c r="A30" s="1" t="s">
        <v>147</v>
      </c>
      <c r="B30" s="1">
        <v>65</v>
      </c>
      <c r="C30" s="1">
        <v>70</v>
      </c>
      <c r="D30" s="1">
        <v>75</v>
      </c>
      <c r="E30" s="1">
        <v>80</v>
      </c>
    </row>
    <row r="31" spans="1:10" x14ac:dyDescent="0.25">
      <c r="A31" s="1">
        <v>1.2E-2</v>
      </c>
      <c r="B31" s="1">
        <v>1.1900000000000001E-2</v>
      </c>
      <c r="C31" s="1">
        <v>1.0999999999999999E-2</v>
      </c>
      <c r="D31" s="1">
        <v>1.03E-2</v>
      </c>
      <c r="E31" s="1">
        <v>9.7000000000000003E-3</v>
      </c>
      <c r="J31" s="1" t="s">
        <v>148</v>
      </c>
    </row>
    <row r="32" spans="1:10" x14ac:dyDescent="0.25">
      <c r="A32" s="1">
        <v>1.6E-2</v>
      </c>
      <c r="B32" s="1">
        <v>1.6799999999999999E-2</v>
      </c>
      <c r="C32" s="1">
        <v>1.55E-2</v>
      </c>
      <c r="D32" s="1">
        <v>1.4500000000000001E-2</v>
      </c>
      <c r="E32" s="1">
        <v>1.38E-2</v>
      </c>
    </row>
    <row r="33" spans="1:12" x14ac:dyDescent="0.25">
      <c r="A33" s="1">
        <v>2.3E-2</v>
      </c>
      <c r="B33" s="1">
        <v>2.3199999999999998E-2</v>
      </c>
      <c r="C33" s="1">
        <v>2.1499999999999998E-2</v>
      </c>
      <c r="D33" s="1">
        <v>2.01E-2</v>
      </c>
      <c r="E33" s="1">
        <v>1.9E-2</v>
      </c>
    </row>
    <row r="34" spans="1:12" x14ac:dyDescent="0.25">
      <c r="A34" s="1">
        <v>3.2000000000000001E-2</v>
      </c>
      <c r="B34" s="1">
        <v>3.4700000000000002E-2</v>
      </c>
      <c r="C34" s="1">
        <v>3.2199999999999999E-2</v>
      </c>
      <c r="D34" s="1">
        <v>3.0099999999999998E-2</v>
      </c>
      <c r="E34" s="1">
        <v>2.8500000000000001E-2</v>
      </c>
    </row>
    <row r="35" spans="1:12" x14ac:dyDescent="0.25">
      <c r="A35" s="1">
        <v>4.4999999999999998E-2</v>
      </c>
      <c r="B35" s="1">
        <v>5.1200000000000002E-2</v>
      </c>
      <c r="C35" s="1">
        <v>4.4999999999999998E-2</v>
      </c>
      <c r="D35" s="1">
        <v>3.9899999999999998E-2</v>
      </c>
      <c r="E35" s="1">
        <v>3.5999999999999997E-2</v>
      </c>
    </row>
    <row r="36" spans="1:12" x14ac:dyDescent="0.25">
      <c r="A36" s="1">
        <v>6.6000000000000003E-2</v>
      </c>
      <c r="B36" s="1">
        <v>7.6600000000000001E-2</v>
      </c>
      <c r="C36" s="1">
        <v>6.7400000000000002E-2</v>
      </c>
      <c r="D36" s="1">
        <v>5.9900000000000002E-2</v>
      </c>
      <c r="E36" s="1">
        <v>5.4199999999999998E-2</v>
      </c>
    </row>
    <row r="37" spans="1:12" x14ac:dyDescent="0.25">
      <c r="A37" s="1">
        <v>8.5999999999999993E-2</v>
      </c>
      <c r="B37" s="1">
        <v>9.9299999999999999E-2</v>
      </c>
      <c r="C37" s="1">
        <v>8.7599999999999997E-2</v>
      </c>
      <c r="D37" s="1">
        <v>7.8E-2</v>
      </c>
      <c r="E37" s="1">
        <v>7.0499999999999993E-2</v>
      </c>
    </row>
    <row r="38" spans="1:12" x14ac:dyDescent="0.25">
      <c r="A38" s="1">
        <v>0.123</v>
      </c>
      <c r="B38" s="1">
        <v>0.14499999999999999</v>
      </c>
      <c r="C38" s="1">
        <v>0.128</v>
      </c>
      <c r="D38" s="1">
        <v>0.114</v>
      </c>
      <c r="E38" s="1">
        <v>0.104</v>
      </c>
    </row>
    <row r="39" spans="1:12" x14ac:dyDescent="0.25">
      <c r="A39" s="1">
        <v>0.16</v>
      </c>
      <c r="B39" s="1">
        <v>0.188</v>
      </c>
      <c r="C39" s="1">
        <v>0.16700000000000001</v>
      </c>
      <c r="D39" s="1">
        <v>0.14899999999999999</v>
      </c>
      <c r="E39" s="1">
        <v>0.13500000000000001</v>
      </c>
    </row>
    <row r="40" spans="1:12" x14ac:dyDescent="0.25">
      <c r="A40" s="1">
        <v>0.23</v>
      </c>
      <c r="B40" s="1">
        <v>0.26700000000000002</v>
      </c>
      <c r="C40" s="1">
        <v>0.23799999999999999</v>
      </c>
      <c r="D40" s="1">
        <v>0.214</v>
      </c>
      <c r="E40" s="1">
        <v>0.19400000000000001</v>
      </c>
    </row>
    <row r="41" spans="1:12" x14ac:dyDescent="0.25">
      <c r="A41" s="1">
        <v>0.35</v>
      </c>
      <c r="B41" s="1">
        <v>0.39900000000000002</v>
      </c>
      <c r="C41" s="1">
        <v>0.36</v>
      </c>
      <c r="D41" s="1">
        <v>0.32700000000000001</v>
      </c>
      <c r="E41" s="1">
        <v>0.29899999999999999</v>
      </c>
    </row>
    <row r="42" spans="1:12" x14ac:dyDescent="0.25">
      <c r="A42" s="1">
        <v>0.5</v>
      </c>
      <c r="B42" s="1">
        <v>0.61799999999999999</v>
      </c>
      <c r="C42" s="1">
        <v>0.57299999999999995</v>
      </c>
      <c r="D42" s="1">
        <v>0.53300000000000003</v>
      </c>
      <c r="E42" s="1">
        <v>0.497</v>
      </c>
    </row>
    <row r="43" spans="1:12" x14ac:dyDescent="0.25">
      <c r="A43" s="1">
        <v>0.66</v>
      </c>
      <c r="B43" s="1">
        <v>0.76900000000000002</v>
      </c>
      <c r="C43" s="1">
        <v>0.72599999999999998</v>
      </c>
      <c r="D43" s="1">
        <v>0.68600000000000005</v>
      </c>
      <c r="E43" s="1">
        <v>0.64900000000000002</v>
      </c>
    </row>
    <row r="44" spans="1:12" x14ac:dyDescent="0.25">
      <c r="A44" s="1">
        <v>0.93</v>
      </c>
      <c r="B44" s="1">
        <v>0.96899999999999997</v>
      </c>
      <c r="C44" s="1">
        <v>0.95399999999999996</v>
      </c>
      <c r="D44" s="1">
        <v>0.93600000000000005</v>
      </c>
      <c r="E44" s="1">
        <v>0.91500000000000004</v>
      </c>
    </row>
    <row r="46" spans="1:12" x14ac:dyDescent="0.25">
      <c r="A46" s="1" t="s">
        <v>149</v>
      </c>
      <c r="B46" s="5" t="s">
        <v>150</v>
      </c>
      <c r="C46" s="5" t="s">
        <v>151</v>
      </c>
      <c r="D46" s="5">
        <v>1</v>
      </c>
      <c r="E46" s="5">
        <v>2</v>
      </c>
      <c r="F46" s="5">
        <v>3</v>
      </c>
      <c r="G46" s="5">
        <v>4</v>
      </c>
      <c r="H46" s="5">
        <v>5</v>
      </c>
      <c r="I46" s="5">
        <v>6</v>
      </c>
      <c r="J46" s="5">
        <v>7</v>
      </c>
      <c r="K46" s="5">
        <v>8</v>
      </c>
      <c r="L46" s="5">
        <v>9</v>
      </c>
    </row>
    <row r="47" spans="1:12" x14ac:dyDescent="0.25">
      <c r="A47" s="5" t="s">
        <v>152</v>
      </c>
      <c r="B47" s="5">
        <v>11.1</v>
      </c>
      <c r="C47" s="5">
        <f t="shared" ref="C47:C58" si="1">SQRT(PI()*(B47/2)^2)</f>
        <v>9.8371188725256129</v>
      </c>
      <c r="D47" s="5">
        <v>0.16</v>
      </c>
      <c r="E47" s="5">
        <v>0.123</v>
      </c>
      <c r="F47" s="5">
        <v>8.5999999999999993E-2</v>
      </c>
      <c r="G47" s="5">
        <v>6.6000000000000003E-2</v>
      </c>
      <c r="H47" s="5">
        <v>4.4999999999999998E-2</v>
      </c>
      <c r="I47" s="5">
        <v>3.2000000000000001E-2</v>
      </c>
      <c r="J47" s="5">
        <v>2.3E-2</v>
      </c>
      <c r="K47" s="5">
        <v>1.6E-2</v>
      </c>
      <c r="L47" s="5">
        <v>1.2E-2</v>
      </c>
    </row>
    <row r="48" spans="1:12" x14ac:dyDescent="0.25">
      <c r="A48" s="5" t="s">
        <v>153</v>
      </c>
      <c r="B48" s="5">
        <v>7.9</v>
      </c>
      <c r="C48" s="5">
        <f t="shared" si="1"/>
        <v>7.0011927110767882</v>
      </c>
      <c r="D48" s="5">
        <v>0.16</v>
      </c>
      <c r="E48" s="5">
        <v>0.123</v>
      </c>
      <c r="F48" s="5">
        <v>8.5999999999999993E-2</v>
      </c>
      <c r="G48" s="5">
        <v>6.6000000000000003E-2</v>
      </c>
      <c r="H48" s="5">
        <v>4.4999999999999998E-2</v>
      </c>
      <c r="I48" s="5">
        <v>3.2000000000000001E-2</v>
      </c>
      <c r="J48" s="5">
        <v>2.3E-2</v>
      </c>
      <c r="K48" s="5">
        <v>1.6E-2</v>
      </c>
      <c r="L48" s="5">
        <v>1.2E-2</v>
      </c>
    </row>
    <row r="49" spans="1:19" x14ac:dyDescent="0.25">
      <c r="A49" s="5" t="s">
        <v>154</v>
      </c>
      <c r="B49" s="5">
        <v>5.6</v>
      </c>
      <c r="C49" s="5">
        <f t="shared" si="1"/>
        <v>4.9628707825354441</v>
      </c>
      <c r="D49" s="5">
        <v>0.16</v>
      </c>
      <c r="E49" s="5">
        <v>0.123</v>
      </c>
      <c r="F49" s="5">
        <v>8.5999999999999993E-2</v>
      </c>
      <c r="G49" s="5">
        <v>6.6000000000000003E-2</v>
      </c>
      <c r="H49" s="5">
        <v>4.4999999999999998E-2</v>
      </c>
      <c r="I49" s="5">
        <v>3.2000000000000001E-2</v>
      </c>
      <c r="J49" s="5">
        <v>2.3E-2</v>
      </c>
      <c r="K49" s="5">
        <v>1.6E-2</v>
      </c>
      <c r="L49" s="5">
        <v>1.2E-2</v>
      </c>
    </row>
    <row r="50" spans="1:19" x14ac:dyDescent="0.25">
      <c r="A50" s="5" t="s">
        <v>155</v>
      </c>
      <c r="B50" s="5">
        <v>4</v>
      </c>
      <c r="C50" s="5">
        <f t="shared" si="1"/>
        <v>3.5449077018110318</v>
      </c>
      <c r="D50" s="5">
        <v>0.23</v>
      </c>
      <c r="E50" s="5">
        <v>0.16</v>
      </c>
      <c r="F50" s="5">
        <v>0.123</v>
      </c>
      <c r="G50" s="5">
        <v>8.5999999999999993E-2</v>
      </c>
      <c r="H50" s="5">
        <v>6.6000000000000003E-2</v>
      </c>
      <c r="I50" s="5">
        <v>4.4999999999999998E-2</v>
      </c>
      <c r="J50" s="5">
        <v>3.2000000000000001E-2</v>
      </c>
      <c r="K50" s="5">
        <v>2.3E-2</v>
      </c>
      <c r="L50" s="5">
        <v>1.6E-2</v>
      </c>
    </row>
    <row r="51" spans="1:19" x14ac:dyDescent="0.25">
      <c r="A51" s="5" t="s">
        <v>156</v>
      </c>
      <c r="B51" s="5">
        <v>2.8</v>
      </c>
      <c r="C51" s="5">
        <f t="shared" si="1"/>
        <v>2.4814353912677221</v>
      </c>
      <c r="D51" s="5">
        <v>0.23</v>
      </c>
      <c r="E51" s="5">
        <v>0.16</v>
      </c>
      <c r="F51" s="5">
        <v>0.123</v>
      </c>
      <c r="G51" s="5">
        <v>8.5999999999999993E-2</v>
      </c>
      <c r="H51" s="5">
        <v>6.6000000000000003E-2</v>
      </c>
      <c r="I51" s="5">
        <v>4.4999999999999998E-2</v>
      </c>
      <c r="J51" s="5">
        <v>3.2000000000000001E-2</v>
      </c>
      <c r="K51" s="5">
        <v>2.3E-2</v>
      </c>
      <c r="L51" s="5">
        <v>1.6E-2</v>
      </c>
    </row>
    <row r="52" spans="1:19" x14ac:dyDescent="0.25">
      <c r="A52" s="5" t="s">
        <v>157</v>
      </c>
      <c r="B52" s="5">
        <v>2</v>
      </c>
      <c r="C52" s="5">
        <f t="shared" si="1"/>
        <v>1.7724538509055159</v>
      </c>
      <c r="D52" s="5">
        <v>0.23</v>
      </c>
      <c r="E52" s="5">
        <v>0.16</v>
      </c>
      <c r="F52" s="5">
        <v>0.123</v>
      </c>
      <c r="G52" s="5">
        <v>8.5999999999999993E-2</v>
      </c>
      <c r="H52" s="5">
        <v>6.6000000000000003E-2</v>
      </c>
      <c r="I52" s="5">
        <v>4.4999999999999998E-2</v>
      </c>
      <c r="J52" s="5">
        <v>3.2000000000000001E-2</v>
      </c>
      <c r="K52" s="5">
        <v>2.3E-2</v>
      </c>
      <c r="L52" s="5">
        <v>1.6E-2</v>
      </c>
    </row>
    <row r="53" spans="1:19" x14ac:dyDescent="0.25">
      <c r="A53" s="5" t="s">
        <v>158</v>
      </c>
      <c r="B53" s="5">
        <v>1.4</v>
      </c>
      <c r="C53" s="5">
        <f t="shared" si="1"/>
        <v>1.240717695633861</v>
      </c>
      <c r="D53" s="5">
        <v>0.5</v>
      </c>
      <c r="E53" s="5">
        <v>0.35</v>
      </c>
      <c r="F53" s="5">
        <v>0.23</v>
      </c>
      <c r="G53" s="5">
        <v>0.16</v>
      </c>
      <c r="H53" s="5">
        <v>0.123</v>
      </c>
      <c r="I53" s="5">
        <v>8.5999999999999993E-2</v>
      </c>
      <c r="J53" s="5">
        <v>6.6000000000000003E-2</v>
      </c>
      <c r="K53" s="5">
        <v>4.4999999999999998E-2</v>
      </c>
      <c r="L53" s="5">
        <v>3.2000000000000001E-2</v>
      </c>
    </row>
    <row r="54" spans="1:19" x14ac:dyDescent="0.25">
      <c r="A54" s="5" t="s">
        <v>159</v>
      </c>
      <c r="B54" s="5">
        <v>1</v>
      </c>
      <c r="C54" s="5">
        <f t="shared" si="1"/>
        <v>0.88622692545275794</v>
      </c>
      <c r="D54" s="5">
        <v>0.5</v>
      </c>
      <c r="E54" s="5">
        <v>0.35</v>
      </c>
      <c r="F54" s="5">
        <v>0.23</v>
      </c>
      <c r="G54" s="5">
        <v>0.16</v>
      </c>
      <c r="H54" s="5">
        <v>0.123</v>
      </c>
      <c r="I54" s="5">
        <v>8.5999999999999993E-2</v>
      </c>
      <c r="J54" s="5">
        <v>6.6000000000000003E-2</v>
      </c>
      <c r="K54" s="5">
        <v>4.4999999999999998E-2</v>
      </c>
      <c r="L54" s="5">
        <v>3.2000000000000001E-2</v>
      </c>
    </row>
    <row r="55" spans="1:19" x14ac:dyDescent="0.25">
      <c r="A55" s="5" t="s">
        <v>160</v>
      </c>
      <c r="B55" s="5">
        <v>0.7</v>
      </c>
      <c r="C55" s="5">
        <f t="shared" si="1"/>
        <v>0.62035884781693051</v>
      </c>
      <c r="D55" s="5">
        <v>0.5</v>
      </c>
      <c r="E55" s="5">
        <v>0.35</v>
      </c>
      <c r="F55" s="5">
        <v>0.23</v>
      </c>
      <c r="G55" s="5">
        <v>0.16</v>
      </c>
      <c r="H55" s="5">
        <v>0.123</v>
      </c>
      <c r="I55" s="5">
        <v>8.5999999999999993E-2</v>
      </c>
      <c r="J55" s="5">
        <v>6.6000000000000003E-2</v>
      </c>
      <c r="K55" s="5">
        <v>4.4999999999999998E-2</v>
      </c>
      <c r="L55" s="5">
        <v>3.2000000000000001E-2</v>
      </c>
    </row>
    <row r="56" spans="1:19" x14ac:dyDescent="0.25">
      <c r="A56" s="5" t="s">
        <v>161</v>
      </c>
      <c r="B56" s="5">
        <v>0.5</v>
      </c>
      <c r="C56" s="5">
        <f t="shared" si="1"/>
        <v>0.44311346272637897</v>
      </c>
      <c r="D56" s="5">
        <v>0.93</v>
      </c>
      <c r="E56" s="5">
        <v>0.66</v>
      </c>
      <c r="F56" s="5">
        <v>0.5</v>
      </c>
      <c r="G56" s="5">
        <v>0.35</v>
      </c>
      <c r="H56" s="5">
        <v>0.23</v>
      </c>
      <c r="I56" s="5">
        <v>0.16</v>
      </c>
      <c r="J56" s="5">
        <v>0.123</v>
      </c>
      <c r="K56" s="5">
        <v>8.5999999999999993E-2</v>
      </c>
      <c r="L56" s="5">
        <v>6.6000000000000003E-2</v>
      </c>
    </row>
    <row r="57" spans="1:19" x14ac:dyDescent="0.25">
      <c r="A57" s="5" t="s">
        <v>162</v>
      </c>
      <c r="B57" s="5">
        <v>0.35</v>
      </c>
      <c r="C57" s="5">
        <f t="shared" si="1"/>
        <v>0.31017942390846526</v>
      </c>
      <c r="D57" s="5">
        <v>0.93</v>
      </c>
      <c r="E57" s="5">
        <v>0.66</v>
      </c>
      <c r="F57" s="5">
        <v>0.5</v>
      </c>
      <c r="G57" s="5">
        <v>0.35</v>
      </c>
      <c r="H57" s="5">
        <v>0.23</v>
      </c>
      <c r="I57" s="5">
        <v>0.16</v>
      </c>
      <c r="J57" s="5">
        <v>0.123</v>
      </c>
      <c r="K57" s="5">
        <v>8.5999999999999993E-2</v>
      </c>
      <c r="L57" s="5">
        <v>6.6000000000000003E-2</v>
      </c>
    </row>
    <row r="58" spans="1:19" x14ac:dyDescent="0.25">
      <c r="A58" s="5" t="s">
        <v>163</v>
      </c>
      <c r="B58" s="5">
        <v>0.25</v>
      </c>
      <c r="C58" s="5">
        <f t="shared" si="1"/>
        <v>0.22155673136318949</v>
      </c>
      <c r="D58" s="5">
        <v>0.93</v>
      </c>
      <c r="E58" s="5">
        <v>0.66</v>
      </c>
      <c r="F58" s="5">
        <v>0.5</v>
      </c>
      <c r="G58" s="5">
        <v>0.35</v>
      </c>
      <c r="H58" s="5">
        <v>0.23</v>
      </c>
      <c r="I58" s="5">
        <v>0.16</v>
      </c>
      <c r="J58" s="5">
        <v>0.123</v>
      </c>
      <c r="K58" s="5">
        <v>8.5999999999999993E-2</v>
      </c>
      <c r="L58" s="5">
        <v>6.6000000000000003E-2</v>
      </c>
    </row>
    <row r="60" spans="1:19" x14ac:dyDescent="0.25">
      <c r="A60" s="1" t="s">
        <v>164</v>
      </c>
      <c r="B60" s="1">
        <v>0</v>
      </c>
      <c r="C60" s="1">
        <v>1</v>
      </c>
      <c r="D60" s="1">
        <v>1.5</v>
      </c>
      <c r="E60" s="1">
        <v>2</v>
      </c>
      <c r="F60" s="1">
        <v>2.5</v>
      </c>
      <c r="G60" s="1">
        <v>3</v>
      </c>
      <c r="H60" s="1">
        <v>3.5</v>
      </c>
      <c r="I60" s="1">
        <v>4</v>
      </c>
      <c r="J60" s="1">
        <v>4.5</v>
      </c>
      <c r="K60" s="1">
        <v>5</v>
      </c>
      <c r="L60" s="1">
        <v>5.5</v>
      </c>
      <c r="M60" s="1">
        <v>6</v>
      </c>
      <c r="N60" s="1">
        <v>6.5</v>
      </c>
      <c r="O60" s="1">
        <v>7</v>
      </c>
      <c r="P60" s="1">
        <v>7.5</v>
      </c>
      <c r="Q60" s="1">
        <v>8</v>
      </c>
      <c r="R60" s="1">
        <v>8.5</v>
      </c>
      <c r="S60" s="1">
        <v>9</v>
      </c>
    </row>
    <row r="61" spans="1:19" x14ac:dyDescent="0.25">
      <c r="A61" s="1" t="s">
        <v>152</v>
      </c>
      <c r="B61" s="1" t="e">
        <v>#N/A</v>
      </c>
      <c r="C61" s="1">
        <f t="shared" ref="C61:C72" si="2">VLOOKUP(D47,TO10kVAdj,MATCH(LEEDS_KV,$B$30:$E$30,0)+1)</f>
        <v>0.16700000000000001</v>
      </c>
      <c r="D61" s="1">
        <f>(C61+E61)/2</f>
        <v>0.14750000000000002</v>
      </c>
      <c r="E61" s="1">
        <f t="shared" ref="E61:E72" si="3">VLOOKUP(E47,TO10kVAdj,MATCH(LEEDS_KV,$B$30:$E$30,0)+1)</f>
        <v>0.128</v>
      </c>
      <c r="F61" s="1">
        <f>(E61+G61)/2</f>
        <v>0.10780000000000001</v>
      </c>
      <c r="G61" s="1">
        <f t="shared" ref="G61:G72" si="4">VLOOKUP(F47,TO10kVAdj,MATCH(LEEDS_KV,$B$30:$E$30,0)+1)</f>
        <v>8.7599999999999997E-2</v>
      </c>
      <c r="H61" s="1">
        <f>(G61+I61)/2</f>
        <v>7.7499999999999999E-2</v>
      </c>
      <c r="I61" s="1">
        <f t="shared" ref="I61:I72" si="5">VLOOKUP(G47,TO10kVAdj,MATCH(LEEDS_KV,$B$30:$E$30,0)+1)</f>
        <v>6.7400000000000002E-2</v>
      </c>
      <c r="J61" s="1">
        <f>(I61+K61)/2</f>
        <v>5.62E-2</v>
      </c>
      <c r="K61" s="1">
        <f t="shared" ref="K61:K72" si="6">VLOOKUP(H47,TO10kVAdj,MATCH(LEEDS_KV,$B$30:$E$30,0)+1)</f>
        <v>4.4999999999999998E-2</v>
      </c>
      <c r="L61" s="1">
        <f>(K61+M61)/2</f>
        <v>3.8599999999999995E-2</v>
      </c>
      <c r="M61" s="1">
        <f t="shared" ref="M61:M72" si="7">VLOOKUP(I47,TO10kVAdj,MATCH(LEEDS_KV,$B$30:$E$30,0)+1)</f>
        <v>3.2199999999999999E-2</v>
      </c>
      <c r="N61" s="1">
        <f>(M61+O61)/2</f>
        <v>2.6849999999999999E-2</v>
      </c>
      <c r="O61" s="1">
        <f t="shared" ref="O61:O72" si="8">VLOOKUP(J47,TO10kVAdj,MATCH(LEEDS_KV,$B$30:$E$30,0)+1)</f>
        <v>2.1499999999999998E-2</v>
      </c>
      <c r="P61" s="1">
        <f>(O61+Q61)/2</f>
        <v>1.8499999999999999E-2</v>
      </c>
      <c r="Q61" s="1">
        <f t="shared" ref="Q61:Q72" si="9">VLOOKUP(K47,TO10kVAdj,MATCH(LEEDS_KV,$B$30:$E$30,0)+1)</f>
        <v>1.55E-2</v>
      </c>
      <c r="R61" s="1">
        <f>(Q61+S61)/2</f>
        <v>1.325E-2</v>
      </c>
      <c r="S61" s="1">
        <f t="shared" ref="S61:S72" si="10">VLOOKUP(L47,TO10kVAdj,MATCH(LEEDS_KV,$B$30:$E$30,0)+1)</f>
        <v>1.0999999999999999E-2</v>
      </c>
    </row>
    <row r="62" spans="1:19" x14ac:dyDescent="0.25">
      <c r="A62" s="1" t="s">
        <v>153</v>
      </c>
      <c r="B62" s="1" t="e">
        <v>#N/A</v>
      </c>
      <c r="C62" s="1">
        <f t="shared" si="2"/>
        <v>0.16700000000000001</v>
      </c>
      <c r="D62" s="1">
        <f t="shared" ref="D62:F72" si="11">(C62+E62)/2</f>
        <v>0.14750000000000002</v>
      </c>
      <c r="E62" s="1">
        <f t="shared" si="3"/>
        <v>0.128</v>
      </c>
      <c r="F62" s="1">
        <f t="shared" si="11"/>
        <v>0.10780000000000001</v>
      </c>
      <c r="G62" s="1">
        <f t="shared" si="4"/>
        <v>8.7599999999999997E-2</v>
      </c>
      <c r="H62" s="1">
        <f t="shared" ref="H62" si="12">(G62+I62)/2</f>
        <v>7.7499999999999999E-2</v>
      </c>
      <c r="I62" s="1">
        <f t="shared" si="5"/>
        <v>6.7400000000000002E-2</v>
      </c>
      <c r="J62" s="1">
        <f t="shared" ref="J62" si="13">(I62+K62)/2</f>
        <v>5.62E-2</v>
      </c>
      <c r="K62" s="1">
        <f t="shared" si="6"/>
        <v>4.4999999999999998E-2</v>
      </c>
      <c r="L62" s="1">
        <f t="shared" ref="L62" si="14">(K62+M62)/2</f>
        <v>3.8599999999999995E-2</v>
      </c>
      <c r="M62" s="1">
        <f t="shared" si="7"/>
        <v>3.2199999999999999E-2</v>
      </c>
      <c r="N62" s="1">
        <f t="shared" ref="N62" si="15">(M62+O62)/2</f>
        <v>2.6849999999999999E-2</v>
      </c>
      <c r="O62" s="1">
        <f t="shared" si="8"/>
        <v>2.1499999999999998E-2</v>
      </c>
      <c r="P62" s="1">
        <f t="shared" ref="P62" si="16">(O62+Q62)/2</f>
        <v>1.8499999999999999E-2</v>
      </c>
      <c r="Q62" s="1">
        <f t="shared" si="9"/>
        <v>1.55E-2</v>
      </c>
      <c r="R62" s="1">
        <f t="shared" ref="R62" si="17">(Q62+S62)/2</f>
        <v>1.325E-2</v>
      </c>
      <c r="S62" s="1">
        <f t="shared" si="10"/>
        <v>1.0999999999999999E-2</v>
      </c>
    </row>
    <row r="63" spans="1:19" x14ac:dyDescent="0.25">
      <c r="A63" s="1" t="s">
        <v>154</v>
      </c>
      <c r="B63" s="1" t="e">
        <v>#N/A</v>
      </c>
      <c r="C63" s="1">
        <f t="shared" si="2"/>
        <v>0.16700000000000001</v>
      </c>
      <c r="D63" s="1">
        <f t="shared" si="11"/>
        <v>0.14750000000000002</v>
      </c>
      <c r="E63" s="1">
        <f t="shared" si="3"/>
        <v>0.128</v>
      </c>
      <c r="F63" s="1">
        <f t="shared" si="11"/>
        <v>0.10780000000000001</v>
      </c>
      <c r="G63" s="1">
        <f t="shared" si="4"/>
        <v>8.7599999999999997E-2</v>
      </c>
      <c r="H63" s="1">
        <f t="shared" ref="H63" si="18">(G63+I63)/2</f>
        <v>7.7499999999999999E-2</v>
      </c>
      <c r="I63" s="1">
        <f t="shared" si="5"/>
        <v>6.7400000000000002E-2</v>
      </c>
      <c r="J63" s="1">
        <f t="shared" ref="J63" si="19">(I63+K63)/2</f>
        <v>5.62E-2</v>
      </c>
      <c r="K63" s="1">
        <f t="shared" si="6"/>
        <v>4.4999999999999998E-2</v>
      </c>
      <c r="L63" s="1">
        <f t="shared" ref="L63" si="20">(K63+M63)/2</f>
        <v>3.8599999999999995E-2</v>
      </c>
      <c r="M63" s="1">
        <f t="shared" si="7"/>
        <v>3.2199999999999999E-2</v>
      </c>
      <c r="N63" s="1">
        <f t="shared" ref="N63" si="21">(M63+O63)/2</f>
        <v>2.6849999999999999E-2</v>
      </c>
      <c r="O63" s="1">
        <f t="shared" si="8"/>
        <v>2.1499999999999998E-2</v>
      </c>
      <c r="P63" s="1">
        <f t="shared" ref="P63" si="22">(O63+Q63)/2</f>
        <v>1.8499999999999999E-2</v>
      </c>
      <c r="Q63" s="1">
        <f t="shared" si="9"/>
        <v>1.55E-2</v>
      </c>
      <c r="R63" s="1">
        <f t="shared" ref="R63" si="23">(Q63+S63)/2</f>
        <v>1.325E-2</v>
      </c>
      <c r="S63" s="1">
        <f t="shared" si="10"/>
        <v>1.0999999999999999E-2</v>
      </c>
    </row>
    <row r="64" spans="1:19" x14ac:dyDescent="0.25">
      <c r="A64" s="1" t="s">
        <v>155</v>
      </c>
      <c r="B64" s="1" t="e">
        <v>#N/A</v>
      </c>
      <c r="C64" s="1">
        <f t="shared" si="2"/>
        <v>0.23799999999999999</v>
      </c>
      <c r="D64" s="1">
        <f t="shared" si="11"/>
        <v>0.20250000000000001</v>
      </c>
      <c r="E64" s="1">
        <f t="shared" si="3"/>
        <v>0.16700000000000001</v>
      </c>
      <c r="F64" s="1">
        <f t="shared" si="11"/>
        <v>0.14750000000000002</v>
      </c>
      <c r="G64" s="1">
        <f t="shared" si="4"/>
        <v>0.128</v>
      </c>
      <c r="H64" s="1">
        <f t="shared" ref="H64" si="24">(G64+I64)/2</f>
        <v>0.10780000000000001</v>
      </c>
      <c r="I64" s="1">
        <f t="shared" si="5"/>
        <v>8.7599999999999997E-2</v>
      </c>
      <c r="J64" s="1">
        <f t="shared" ref="J64" si="25">(I64+K64)/2</f>
        <v>7.7499999999999999E-2</v>
      </c>
      <c r="K64" s="1">
        <f t="shared" si="6"/>
        <v>6.7400000000000002E-2</v>
      </c>
      <c r="L64" s="1">
        <f t="shared" ref="L64" si="26">(K64+M64)/2</f>
        <v>5.62E-2</v>
      </c>
      <c r="M64" s="1">
        <f t="shared" si="7"/>
        <v>4.4999999999999998E-2</v>
      </c>
      <c r="N64" s="1">
        <f t="shared" ref="N64" si="27">(M64+O64)/2</f>
        <v>3.8599999999999995E-2</v>
      </c>
      <c r="O64" s="1">
        <f t="shared" si="8"/>
        <v>3.2199999999999999E-2</v>
      </c>
      <c r="P64" s="1">
        <f t="shared" ref="P64" si="28">(O64+Q64)/2</f>
        <v>2.6849999999999999E-2</v>
      </c>
      <c r="Q64" s="1">
        <f t="shared" si="9"/>
        <v>2.1499999999999998E-2</v>
      </c>
      <c r="R64" s="1">
        <f t="shared" ref="R64" si="29">(Q64+S64)/2</f>
        <v>1.8499999999999999E-2</v>
      </c>
      <c r="S64" s="1">
        <f t="shared" si="10"/>
        <v>1.55E-2</v>
      </c>
    </row>
    <row r="65" spans="1:19" x14ac:dyDescent="0.25">
      <c r="A65" s="1" t="s">
        <v>156</v>
      </c>
      <c r="B65" s="1" t="e">
        <v>#N/A</v>
      </c>
      <c r="C65" s="1">
        <f t="shared" si="2"/>
        <v>0.23799999999999999</v>
      </c>
      <c r="D65" s="1">
        <f t="shared" si="11"/>
        <v>0.20250000000000001</v>
      </c>
      <c r="E65" s="1">
        <f t="shared" si="3"/>
        <v>0.16700000000000001</v>
      </c>
      <c r="F65" s="1">
        <f t="shared" si="11"/>
        <v>0.14750000000000002</v>
      </c>
      <c r="G65" s="1">
        <f t="shared" si="4"/>
        <v>0.128</v>
      </c>
      <c r="H65" s="1">
        <f t="shared" ref="H65" si="30">(G65+I65)/2</f>
        <v>0.10780000000000001</v>
      </c>
      <c r="I65" s="1">
        <f t="shared" si="5"/>
        <v>8.7599999999999997E-2</v>
      </c>
      <c r="J65" s="1">
        <f t="shared" ref="J65" si="31">(I65+K65)/2</f>
        <v>7.7499999999999999E-2</v>
      </c>
      <c r="K65" s="1">
        <f t="shared" si="6"/>
        <v>6.7400000000000002E-2</v>
      </c>
      <c r="L65" s="1">
        <f t="shared" ref="L65" si="32">(K65+M65)/2</f>
        <v>5.62E-2</v>
      </c>
      <c r="M65" s="1">
        <f t="shared" si="7"/>
        <v>4.4999999999999998E-2</v>
      </c>
      <c r="N65" s="1">
        <f t="shared" ref="N65" si="33">(M65+O65)/2</f>
        <v>3.8599999999999995E-2</v>
      </c>
      <c r="O65" s="1">
        <f t="shared" si="8"/>
        <v>3.2199999999999999E-2</v>
      </c>
      <c r="P65" s="1">
        <f t="shared" ref="P65" si="34">(O65+Q65)/2</f>
        <v>2.6849999999999999E-2</v>
      </c>
      <c r="Q65" s="1">
        <f t="shared" si="9"/>
        <v>2.1499999999999998E-2</v>
      </c>
      <c r="R65" s="1">
        <f t="shared" ref="R65" si="35">(Q65+S65)/2</f>
        <v>1.8499999999999999E-2</v>
      </c>
      <c r="S65" s="1">
        <f t="shared" si="10"/>
        <v>1.55E-2</v>
      </c>
    </row>
    <row r="66" spans="1:19" x14ac:dyDescent="0.25">
      <c r="A66" s="1" t="s">
        <v>157</v>
      </c>
      <c r="B66" s="1" t="e">
        <v>#N/A</v>
      </c>
      <c r="C66" s="1">
        <f t="shared" si="2"/>
        <v>0.23799999999999999</v>
      </c>
      <c r="D66" s="1">
        <f t="shared" si="11"/>
        <v>0.20250000000000001</v>
      </c>
      <c r="E66" s="1">
        <f t="shared" si="3"/>
        <v>0.16700000000000001</v>
      </c>
      <c r="F66" s="1">
        <f t="shared" si="11"/>
        <v>0.14750000000000002</v>
      </c>
      <c r="G66" s="1">
        <f t="shared" si="4"/>
        <v>0.128</v>
      </c>
      <c r="H66" s="1">
        <f t="shared" ref="H66" si="36">(G66+I66)/2</f>
        <v>0.10780000000000001</v>
      </c>
      <c r="I66" s="1">
        <f t="shared" si="5"/>
        <v>8.7599999999999997E-2</v>
      </c>
      <c r="J66" s="1">
        <f t="shared" ref="J66" si="37">(I66+K66)/2</f>
        <v>7.7499999999999999E-2</v>
      </c>
      <c r="K66" s="1">
        <f t="shared" si="6"/>
        <v>6.7400000000000002E-2</v>
      </c>
      <c r="L66" s="1">
        <f t="shared" ref="L66" si="38">(K66+M66)/2</f>
        <v>5.62E-2</v>
      </c>
      <c r="M66" s="1">
        <f t="shared" si="7"/>
        <v>4.4999999999999998E-2</v>
      </c>
      <c r="N66" s="1">
        <f t="shared" ref="N66" si="39">(M66+O66)/2</f>
        <v>3.8599999999999995E-2</v>
      </c>
      <c r="O66" s="1">
        <f t="shared" si="8"/>
        <v>3.2199999999999999E-2</v>
      </c>
      <c r="P66" s="1">
        <f t="shared" ref="P66" si="40">(O66+Q66)/2</f>
        <v>2.6849999999999999E-2</v>
      </c>
      <c r="Q66" s="1">
        <f t="shared" si="9"/>
        <v>2.1499999999999998E-2</v>
      </c>
      <c r="R66" s="1">
        <f t="shared" ref="R66" si="41">(Q66+S66)/2</f>
        <v>1.8499999999999999E-2</v>
      </c>
      <c r="S66" s="1">
        <f t="shared" si="10"/>
        <v>1.55E-2</v>
      </c>
    </row>
    <row r="67" spans="1:19" x14ac:dyDescent="0.25">
      <c r="A67" s="1" t="s">
        <v>158</v>
      </c>
      <c r="B67" s="1" t="e">
        <v>#N/A</v>
      </c>
      <c r="C67" s="1">
        <f t="shared" si="2"/>
        <v>0.57299999999999995</v>
      </c>
      <c r="D67" s="1">
        <f t="shared" si="11"/>
        <v>0.46649999999999997</v>
      </c>
      <c r="E67" s="1">
        <f t="shared" si="3"/>
        <v>0.36</v>
      </c>
      <c r="F67" s="1">
        <f t="shared" si="11"/>
        <v>0.29899999999999999</v>
      </c>
      <c r="G67" s="1">
        <f t="shared" si="4"/>
        <v>0.23799999999999999</v>
      </c>
      <c r="H67" s="1">
        <f t="shared" ref="H67" si="42">(G67+I67)/2</f>
        <v>0.20250000000000001</v>
      </c>
      <c r="I67" s="1">
        <f t="shared" si="5"/>
        <v>0.16700000000000001</v>
      </c>
      <c r="J67" s="1">
        <f t="shared" ref="J67" si="43">(I67+K67)/2</f>
        <v>0.14750000000000002</v>
      </c>
      <c r="K67" s="1">
        <f t="shared" si="6"/>
        <v>0.128</v>
      </c>
      <c r="L67" s="1">
        <f t="shared" ref="L67" si="44">(K67+M67)/2</f>
        <v>0.10780000000000001</v>
      </c>
      <c r="M67" s="1">
        <f t="shared" si="7"/>
        <v>8.7599999999999997E-2</v>
      </c>
      <c r="N67" s="1">
        <f t="shared" ref="N67" si="45">(M67+O67)/2</f>
        <v>7.7499999999999999E-2</v>
      </c>
      <c r="O67" s="1">
        <f t="shared" si="8"/>
        <v>6.7400000000000002E-2</v>
      </c>
      <c r="P67" s="1">
        <f t="shared" ref="P67" si="46">(O67+Q67)/2</f>
        <v>5.62E-2</v>
      </c>
      <c r="Q67" s="1">
        <f t="shared" si="9"/>
        <v>4.4999999999999998E-2</v>
      </c>
      <c r="R67" s="1">
        <f t="shared" ref="R67" si="47">(Q67+S67)/2</f>
        <v>3.8599999999999995E-2</v>
      </c>
      <c r="S67" s="1">
        <f t="shared" si="10"/>
        <v>3.2199999999999999E-2</v>
      </c>
    </row>
    <row r="68" spans="1:19" x14ac:dyDescent="0.25">
      <c r="A68" s="1" t="s">
        <v>159</v>
      </c>
      <c r="B68" s="1" t="e">
        <v>#N/A</v>
      </c>
      <c r="C68" s="1">
        <f t="shared" si="2"/>
        <v>0.57299999999999995</v>
      </c>
      <c r="D68" s="1">
        <f t="shared" si="11"/>
        <v>0.46649999999999997</v>
      </c>
      <c r="E68" s="1">
        <f t="shared" si="3"/>
        <v>0.36</v>
      </c>
      <c r="F68" s="1">
        <f t="shared" si="11"/>
        <v>0.29899999999999999</v>
      </c>
      <c r="G68" s="1">
        <f t="shared" si="4"/>
        <v>0.23799999999999999</v>
      </c>
      <c r="H68" s="1">
        <f t="shared" ref="H68" si="48">(G68+I68)/2</f>
        <v>0.20250000000000001</v>
      </c>
      <c r="I68" s="1">
        <f t="shared" si="5"/>
        <v>0.16700000000000001</v>
      </c>
      <c r="J68" s="1">
        <f t="shared" ref="J68" si="49">(I68+K68)/2</f>
        <v>0.14750000000000002</v>
      </c>
      <c r="K68" s="1">
        <f t="shared" si="6"/>
        <v>0.128</v>
      </c>
      <c r="L68" s="1">
        <f t="shared" ref="L68" si="50">(K68+M68)/2</f>
        <v>0.10780000000000001</v>
      </c>
      <c r="M68" s="1">
        <f t="shared" si="7"/>
        <v>8.7599999999999997E-2</v>
      </c>
      <c r="N68" s="1">
        <f t="shared" ref="N68" si="51">(M68+O68)/2</f>
        <v>7.7499999999999999E-2</v>
      </c>
      <c r="O68" s="1">
        <f t="shared" si="8"/>
        <v>6.7400000000000002E-2</v>
      </c>
      <c r="P68" s="1">
        <f t="shared" ref="P68" si="52">(O68+Q68)/2</f>
        <v>5.62E-2</v>
      </c>
      <c r="Q68" s="1">
        <f t="shared" si="9"/>
        <v>4.4999999999999998E-2</v>
      </c>
      <c r="R68" s="1">
        <f t="shared" ref="R68" si="53">(Q68+S68)/2</f>
        <v>3.8599999999999995E-2</v>
      </c>
      <c r="S68" s="1">
        <f t="shared" si="10"/>
        <v>3.2199999999999999E-2</v>
      </c>
    </row>
    <row r="69" spans="1:19" x14ac:dyDescent="0.25">
      <c r="A69" s="1" t="s">
        <v>160</v>
      </c>
      <c r="B69" s="1" t="e">
        <v>#N/A</v>
      </c>
      <c r="C69" s="1">
        <f t="shared" si="2"/>
        <v>0.57299999999999995</v>
      </c>
      <c r="D69" s="1">
        <f t="shared" si="11"/>
        <v>0.46649999999999997</v>
      </c>
      <c r="E69" s="1">
        <f t="shared" si="3"/>
        <v>0.36</v>
      </c>
      <c r="F69" s="1">
        <f t="shared" si="11"/>
        <v>0.29899999999999999</v>
      </c>
      <c r="G69" s="1">
        <f t="shared" si="4"/>
        <v>0.23799999999999999</v>
      </c>
      <c r="H69" s="1">
        <f t="shared" ref="H69" si="54">(G69+I69)/2</f>
        <v>0.20250000000000001</v>
      </c>
      <c r="I69" s="1">
        <f t="shared" si="5"/>
        <v>0.16700000000000001</v>
      </c>
      <c r="J69" s="1">
        <f t="shared" ref="J69" si="55">(I69+K69)/2</f>
        <v>0.14750000000000002</v>
      </c>
      <c r="K69" s="1">
        <f t="shared" si="6"/>
        <v>0.128</v>
      </c>
      <c r="L69" s="1">
        <f t="shared" ref="L69" si="56">(K69+M69)/2</f>
        <v>0.10780000000000001</v>
      </c>
      <c r="M69" s="1">
        <f t="shared" si="7"/>
        <v>8.7599999999999997E-2</v>
      </c>
      <c r="N69" s="1">
        <f t="shared" ref="N69" si="57">(M69+O69)/2</f>
        <v>7.7499999999999999E-2</v>
      </c>
      <c r="O69" s="1">
        <f t="shared" si="8"/>
        <v>6.7400000000000002E-2</v>
      </c>
      <c r="P69" s="1">
        <f t="shared" ref="P69" si="58">(O69+Q69)/2</f>
        <v>5.62E-2</v>
      </c>
      <c r="Q69" s="1">
        <f t="shared" si="9"/>
        <v>4.4999999999999998E-2</v>
      </c>
      <c r="R69" s="1">
        <f t="shared" ref="R69" si="59">(Q69+S69)/2</f>
        <v>3.8599999999999995E-2</v>
      </c>
      <c r="S69" s="1">
        <f t="shared" si="10"/>
        <v>3.2199999999999999E-2</v>
      </c>
    </row>
    <row r="70" spans="1:19" x14ac:dyDescent="0.25">
      <c r="A70" s="1" t="s">
        <v>161</v>
      </c>
      <c r="B70" s="1" t="e">
        <v>#N/A</v>
      </c>
      <c r="C70" s="1">
        <f t="shared" si="2"/>
        <v>0.95399999999999996</v>
      </c>
      <c r="D70" s="1">
        <f t="shared" si="11"/>
        <v>0.84</v>
      </c>
      <c r="E70" s="1">
        <f t="shared" si="3"/>
        <v>0.72599999999999998</v>
      </c>
      <c r="F70" s="1">
        <f t="shared" si="11"/>
        <v>0.64949999999999997</v>
      </c>
      <c r="G70" s="1">
        <f t="shared" si="4"/>
        <v>0.57299999999999995</v>
      </c>
      <c r="H70" s="1">
        <f t="shared" ref="H70" si="60">(G70+I70)/2</f>
        <v>0.46649999999999997</v>
      </c>
      <c r="I70" s="1">
        <f t="shared" si="5"/>
        <v>0.36</v>
      </c>
      <c r="J70" s="1">
        <f t="shared" ref="J70" si="61">(I70+K70)/2</f>
        <v>0.29899999999999999</v>
      </c>
      <c r="K70" s="1">
        <f t="shared" si="6"/>
        <v>0.23799999999999999</v>
      </c>
      <c r="L70" s="1">
        <f t="shared" ref="L70" si="62">(K70+M70)/2</f>
        <v>0.20250000000000001</v>
      </c>
      <c r="M70" s="1">
        <f t="shared" si="7"/>
        <v>0.16700000000000001</v>
      </c>
      <c r="N70" s="1">
        <f t="shared" ref="N70" si="63">(M70+O70)/2</f>
        <v>0.14750000000000002</v>
      </c>
      <c r="O70" s="1">
        <f t="shared" si="8"/>
        <v>0.128</v>
      </c>
      <c r="P70" s="1">
        <f t="shared" ref="P70" si="64">(O70+Q70)/2</f>
        <v>0.10780000000000001</v>
      </c>
      <c r="Q70" s="1">
        <f t="shared" si="9"/>
        <v>8.7599999999999997E-2</v>
      </c>
      <c r="R70" s="1">
        <f t="shared" ref="R70" si="65">(Q70+S70)/2</f>
        <v>7.7499999999999999E-2</v>
      </c>
      <c r="S70" s="1">
        <f t="shared" si="10"/>
        <v>6.7400000000000002E-2</v>
      </c>
    </row>
    <row r="71" spans="1:19" x14ac:dyDescent="0.25">
      <c r="A71" s="1" t="s">
        <v>162</v>
      </c>
      <c r="B71" s="1" t="e">
        <v>#N/A</v>
      </c>
      <c r="C71" s="1">
        <f t="shared" si="2"/>
        <v>0.95399999999999996</v>
      </c>
      <c r="D71" s="1">
        <f t="shared" si="11"/>
        <v>0.84</v>
      </c>
      <c r="E71" s="1">
        <f t="shared" si="3"/>
        <v>0.72599999999999998</v>
      </c>
      <c r="F71" s="1">
        <f t="shared" si="11"/>
        <v>0.64949999999999997</v>
      </c>
      <c r="G71" s="1">
        <f t="shared" si="4"/>
        <v>0.57299999999999995</v>
      </c>
      <c r="H71" s="1">
        <f t="shared" ref="H71" si="66">(G71+I71)/2</f>
        <v>0.46649999999999997</v>
      </c>
      <c r="I71" s="1">
        <f t="shared" si="5"/>
        <v>0.36</v>
      </c>
      <c r="J71" s="1">
        <f t="shared" ref="J71" si="67">(I71+K71)/2</f>
        <v>0.29899999999999999</v>
      </c>
      <c r="K71" s="1">
        <f t="shared" si="6"/>
        <v>0.23799999999999999</v>
      </c>
      <c r="L71" s="1">
        <f t="shared" ref="L71" si="68">(K71+M71)/2</f>
        <v>0.20250000000000001</v>
      </c>
      <c r="M71" s="1">
        <f t="shared" si="7"/>
        <v>0.16700000000000001</v>
      </c>
      <c r="N71" s="1">
        <f t="shared" ref="N71" si="69">(M71+O71)/2</f>
        <v>0.14750000000000002</v>
      </c>
      <c r="O71" s="1">
        <f t="shared" si="8"/>
        <v>0.128</v>
      </c>
      <c r="P71" s="1">
        <f t="shared" ref="P71" si="70">(O71+Q71)/2</f>
        <v>0.10780000000000001</v>
      </c>
      <c r="Q71" s="1">
        <f t="shared" si="9"/>
        <v>8.7599999999999997E-2</v>
      </c>
      <c r="R71" s="1">
        <f t="shared" ref="R71" si="71">(Q71+S71)/2</f>
        <v>7.7499999999999999E-2</v>
      </c>
      <c r="S71" s="1">
        <f t="shared" si="10"/>
        <v>6.7400000000000002E-2</v>
      </c>
    </row>
    <row r="72" spans="1:19" x14ac:dyDescent="0.25">
      <c r="A72" s="1" t="s">
        <v>163</v>
      </c>
      <c r="B72" s="1" t="e">
        <v>#N/A</v>
      </c>
      <c r="C72" s="1">
        <f t="shared" si="2"/>
        <v>0.95399999999999996</v>
      </c>
      <c r="D72" s="1">
        <f t="shared" si="11"/>
        <v>0.84</v>
      </c>
      <c r="E72" s="1">
        <f t="shared" si="3"/>
        <v>0.72599999999999998</v>
      </c>
      <c r="F72" s="1">
        <f t="shared" si="11"/>
        <v>0.64949999999999997</v>
      </c>
      <c r="G72" s="1">
        <f t="shared" si="4"/>
        <v>0.57299999999999995</v>
      </c>
      <c r="H72" s="1">
        <f t="shared" ref="H72" si="72">(G72+I72)/2</f>
        <v>0.46649999999999997</v>
      </c>
      <c r="I72" s="1">
        <f t="shared" si="5"/>
        <v>0.36</v>
      </c>
      <c r="J72" s="1">
        <f t="shared" ref="J72" si="73">(I72+K72)/2</f>
        <v>0.29899999999999999</v>
      </c>
      <c r="K72" s="1">
        <f t="shared" si="6"/>
        <v>0.23799999999999999</v>
      </c>
      <c r="L72" s="1">
        <f t="shared" ref="L72" si="74">(K72+M72)/2</f>
        <v>0.20250000000000001</v>
      </c>
      <c r="M72" s="1">
        <f t="shared" si="7"/>
        <v>0.16700000000000001</v>
      </c>
      <c r="N72" s="1">
        <f t="shared" ref="N72" si="75">(M72+O72)/2</f>
        <v>0.14750000000000002</v>
      </c>
      <c r="O72" s="1">
        <f t="shared" si="8"/>
        <v>0.128</v>
      </c>
      <c r="P72" s="1">
        <f t="shared" ref="P72" si="76">(O72+Q72)/2</f>
        <v>0.10780000000000001</v>
      </c>
      <c r="Q72" s="1">
        <f t="shared" si="9"/>
        <v>8.7599999999999997E-2</v>
      </c>
      <c r="R72" s="1">
        <f t="shared" ref="R72" si="77">(Q72+S72)/2</f>
        <v>7.7499999999999999E-2</v>
      </c>
      <c r="S72" s="1">
        <f t="shared" si="10"/>
        <v>6.7400000000000002E-2</v>
      </c>
    </row>
    <row r="74" spans="1:19" x14ac:dyDescent="0.25">
      <c r="A74" s="1" t="s">
        <v>123</v>
      </c>
    </row>
    <row r="75" spans="1:19" x14ac:dyDescent="0.25">
      <c r="B75" s="1" t="s">
        <v>165</v>
      </c>
      <c r="E75" s="1" t="s">
        <v>166</v>
      </c>
      <c r="I75" s="1" t="s">
        <v>167</v>
      </c>
    </row>
    <row r="76" spans="1:19" x14ac:dyDescent="0.25">
      <c r="B76" s="1" t="s">
        <v>168</v>
      </c>
      <c r="E76" s="1" t="s">
        <v>131</v>
      </c>
      <c r="F76" s="1" t="s">
        <v>168</v>
      </c>
      <c r="G76" s="1" t="s">
        <v>169</v>
      </c>
      <c r="I76" s="1" t="s">
        <v>126</v>
      </c>
      <c r="J76" s="1" t="s">
        <v>128</v>
      </c>
    </row>
    <row r="77" spans="1:19" x14ac:dyDescent="0.25">
      <c r="A77" s="1" t="s">
        <v>104</v>
      </c>
      <c r="B77" s="1" t="s">
        <v>170</v>
      </c>
      <c r="D77" s="1" t="s">
        <v>104</v>
      </c>
      <c r="E77" s="1" t="s">
        <v>170</v>
      </c>
      <c r="F77" s="1" t="s">
        <v>170</v>
      </c>
      <c r="G77" s="1" t="s">
        <v>170</v>
      </c>
    </row>
    <row r="78" spans="1:19" x14ac:dyDescent="0.25">
      <c r="A78" s="1">
        <v>30</v>
      </c>
      <c r="B78" s="1">
        <v>0.3</v>
      </c>
      <c r="D78" s="1">
        <v>60</v>
      </c>
      <c r="E78" s="1">
        <v>2.2000000000000002</v>
      </c>
      <c r="F78" s="1">
        <v>1.8</v>
      </c>
      <c r="G78" s="1">
        <v>2.4</v>
      </c>
    </row>
    <row r="79" spans="1:19" x14ac:dyDescent="0.25">
      <c r="A79" s="1">
        <v>40</v>
      </c>
      <c r="B79" s="1">
        <v>0.4</v>
      </c>
      <c r="D79" s="1">
        <v>70</v>
      </c>
      <c r="E79" s="1">
        <v>2.6</v>
      </c>
      <c r="F79" s="1">
        <v>2.2000000000000002</v>
      </c>
      <c r="G79" s="1">
        <v>2.9</v>
      </c>
    </row>
    <row r="80" spans="1:19" x14ac:dyDescent="0.25">
      <c r="A80" s="1">
        <v>50</v>
      </c>
      <c r="B80" s="1">
        <v>0.5</v>
      </c>
      <c r="D80" s="1">
        <v>80</v>
      </c>
      <c r="E80" s="1">
        <v>3</v>
      </c>
      <c r="F80" s="1">
        <v>2.6</v>
      </c>
      <c r="G80" s="1">
        <v>3.5</v>
      </c>
    </row>
    <row r="81" spans="1:7" x14ac:dyDescent="0.25">
      <c r="A81" s="1">
        <v>51</v>
      </c>
      <c r="B81" s="1">
        <v>1.2</v>
      </c>
      <c r="D81" s="1">
        <v>90</v>
      </c>
      <c r="E81" s="1">
        <v>3.5</v>
      </c>
      <c r="F81" s="1">
        <v>3.1</v>
      </c>
      <c r="G81" s="1">
        <v>4</v>
      </c>
    </row>
    <row r="82" spans="1:7" x14ac:dyDescent="0.25">
      <c r="A82" s="1">
        <v>60</v>
      </c>
      <c r="B82" s="1">
        <v>1.3</v>
      </c>
      <c r="D82" s="1">
        <v>100</v>
      </c>
      <c r="E82" s="1">
        <v>3.9</v>
      </c>
      <c r="F82" s="1">
        <v>3.5</v>
      </c>
      <c r="G82" s="1">
        <v>4.5</v>
      </c>
    </row>
    <row r="83" spans="1:7" x14ac:dyDescent="0.25">
      <c r="A83" s="1">
        <v>70</v>
      </c>
      <c r="B83" s="1">
        <v>1.5</v>
      </c>
      <c r="D83" s="1">
        <v>110</v>
      </c>
      <c r="E83" s="1">
        <v>4.3</v>
      </c>
      <c r="F83" s="1">
        <v>3.9</v>
      </c>
      <c r="G83" s="1">
        <v>5.0999999999999996</v>
      </c>
    </row>
    <row r="84" spans="1:7" x14ac:dyDescent="0.25">
      <c r="A84" s="1">
        <v>71</v>
      </c>
      <c r="B84" s="1">
        <v>2.1</v>
      </c>
      <c r="D84" s="1">
        <v>120</v>
      </c>
      <c r="E84" s="1">
        <v>5.7</v>
      </c>
      <c r="F84" s="1">
        <v>4.4000000000000004</v>
      </c>
      <c r="G84" s="1">
        <v>5.6</v>
      </c>
    </row>
    <row r="85" spans="1:7" x14ac:dyDescent="0.25">
      <c r="A85" s="1">
        <v>80</v>
      </c>
      <c r="B85" s="1">
        <v>2.2999999999999998</v>
      </c>
      <c r="D85" s="1">
        <v>130</v>
      </c>
      <c r="E85" s="1">
        <v>5.2</v>
      </c>
      <c r="F85" s="1">
        <v>4.8</v>
      </c>
      <c r="G85" s="1">
        <v>6.1</v>
      </c>
    </row>
    <row r="86" spans="1:7" x14ac:dyDescent="0.25">
      <c r="A86" s="1">
        <v>90</v>
      </c>
      <c r="B86" s="1">
        <v>2.5</v>
      </c>
    </row>
    <row r="87" spans="1:7" x14ac:dyDescent="0.25">
      <c r="A87" s="1">
        <v>100</v>
      </c>
      <c r="B87" s="1">
        <v>2.7</v>
      </c>
    </row>
    <row r="88" spans="1:7" x14ac:dyDescent="0.25">
      <c r="A88" s="1">
        <v>110</v>
      </c>
      <c r="B88" s="1">
        <v>3</v>
      </c>
    </row>
    <row r="89" spans="1:7" x14ac:dyDescent="0.25">
      <c r="A89" s="1">
        <v>120</v>
      </c>
      <c r="B89" s="1">
        <v>3.2</v>
      </c>
    </row>
    <row r="90" spans="1:7" x14ac:dyDescent="0.25">
      <c r="A90" s="1">
        <v>130</v>
      </c>
      <c r="B90" s="1">
        <v>3.5</v>
      </c>
    </row>
    <row r="91" spans="1:7" x14ac:dyDescent="0.25">
      <c r="A91" s="1">
        <v>140</v>
      </c>
      <c r="B91" s="1">
        <v>3.8</v>
      </c>
    </row>
    <row r="92" spans="1:7" x14ac:dyDescent="0.25">
      <c r="A92" s="1">
        <v>150</v>
      </c>
      <c r="B92" s="1">
        <v>4.0999999999999996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901-8DE2-4124-ADF4-895440D7E131}">
  <dimension ref="A1:AF14"/>
  <sheetViews>
    <sheetView workbookViewId="0">
      <selection activeCell="M1" sqref="M1:AF14"/>
    </sheetView>
  </sheetViews>
  <sheetFormatPr defaultRowHeight="15.75" x14ac:dyDescent="0.25"/>
  <sheetData>
    <row r="1" spans="1:32" x14ac:dyDescent="0.25">
      <c r="A1" s="147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M1" s="177" t="s">
        <v>356</v>
      </c>
      <c r="N1" s="178"/>
      <c r="O1" s="178"/>
      <c r="P1" s="178"/>
      <c r="Q1" s="178"/>
      <c r="R1" s="178"/>
      <c r="S1" s="178"/>
      <c r="T1" s="178"/>
      <c r="U1" s="177" t="s">
        <v>356</v>
      </c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2" x14ac:dyDescent="0.25">
      <c r="A2" s="148" t="s">
        <v>99</v>
      </c>
      <c r="B2" s="23" t="s">
        <v>100</v>
      </c>
      <c r="C2" s="24" t="s">
        <v>89</v>
      </c>
      <c r="D2" s="8"/>
      <c r="E2" s="19"/>
      <c r="F2" s="24" t="s">
        <v>89</v>
      </c>
      <c r="G2" s="8"/>
      <c r="H2" s="19"/>
      <c r="I2" s="17" t="s">
        <v>89</v>
      </c>
      <c r="J2" s="8"/>
      <c r="K2" s="19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</row>
    <row r="3" spans="1:32" x14ac:dyDescent="0.25">
      <c r="A3" s="148" t="s">
        <v>101</v>
      </c>
      <c r="B3" s="23" t="s">
        <v>102</v>
      </c>
      <c r="C3" s="197" t="s">
        <v>89</v>
      </c>
      <c r="D3" s="193"/>
      <c r="E3" s="194"/>
      <c r="F3" s="197" t="s">
        <v>89</v>
      </c>
      <c r="G3" s="193"/>
      <c r="H3" s="194"/>
      <c r="I3" s="193" t="s">
        <v>89</v>
      </c>
      <c r="J3" s="193"/>
      <c r="K3" s="194"/>
      <c r="M3" s="179" t="s">
        <v>357</v>
      </c>
      <c r="N3" s="179" t="s">
        <v>358</v>
      </c>
      <c r="O3" s="179" t="s">
        <v>359</v>
      </c>
      <c r="P3" s="179" t="s">
        <v>360</v>
      </c>
      <c r="Q3" s="179" t="s">
        <v>361</v>
      </c>
      <c r="R3" s="179" t="s">
        <v>362</v>
      </c>
      <c r="S3" s="179" t="s">
        <v>363</v>
      </c>
      <c r="T3" s="178"/>
      <c r="U3" s="179" t="s">
        <v>357</v>
      </c>
      <c r="V3" s="179" t="s">
        <v>358</v>
      </c>
      <c r="W3" s="179" t="s">
        <v>359</v>
      </c>
      <c r="X3" s="179" t="s">
        <v>360</v>
      </c>
      <c r="Y3" s="179" t="s">
        <v>361</v>
      </c>
      <c r="Z3" s="179" t="s">
        <v>362</v>
      </c>
      <c r="AA3" s="179" t="s">
        <v>363</v>
      </c>
      <c r="AB3" s="179" t="s">
        <v>364</v>
      </c>
      <c r="AC3" s="179" t="s">
        <v>365</v>
      </c>
      <c r="AD3" s="179" t="s">
        <v>366</v>
      </c>
      <c r="AE3" s="179" t="s">
        <v>367</v>
      </c>
      <c r="AF3" s="179" t="s">
        <v>368</v>
      </c>
    </row>
    <row r="4" spans="1:32" ht="16.5" thickBot="1" x14ac:dyDescent="0.3">
      <c r="A4" s="148" t="s">
        <v>103</v>
      </c>
      <c r="B4" s="23" t="s">
        <v>103</v>
      </c>
      <c r="C4" s="25" t="s">
        <v>104</v>
      </c>
      <c r="D4" s="20" t="s">
        <v>105</v>
      </c>
      <c r="E4" s="21" t="s">
        <v>106</v>
      </c>
      <c r="F4" s="25" t="s">
        <v>104</v>
      </c>
      <c r="G4" s="20" t="s">
        <v>105</v>
      </c>
      <c r="H4" s="21" t="s">
        <v>106</v>
      </c>
      <c r="I4" s="20" t="s">
        <v>104</v>
      </c>
      <c r="J4" s="20" t="s">
        <v>105</v>
      </c>
      <c r="K4" s="21" t="s">
        <v>106</v>
      </c>
      <c r="M4" s="178">
        <v>60</v>
      </c>
      <c r="N4" s="178">
        <v>5</v>
      </c>
      <c r="O4" s="178"/>
      <c r="P4" s="178"/>
      <c r="Q4" s="178"/>
      <c r="R4" s="178"/>
      <c r="S4" s="178"/>
      <c r="T4" s="178"/>
      <c r="U4" s="178">
        <v>60</v>
      </c>
      <c r="V4" s="178">
        <v>5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</row>
    <row r="5" spans="1:32" x14ac:dyDescent="0.25">
      <c r="A5" s="149" t="s">
        <v>107</v>
      </c>
      <c r="B5" s="68">
        <v>10</v>
      </c>
      <c r="C5" s="37"/>
      <c r="D5" s="38"/>
      <c r="E5" s="39"/>
      <c r="F5" s="37"/>
      <c r="G5" s="38"/>
      <c r="H5" s="40"/>
      <c r="I5" s="41"/>
      <c r="J5" s="38"/>
      <c r="K5" s="40"/>
      <c r="M5" s="178">
        <v>80</v>
      </c>
      <c r="N5" s="178">
        <v>5</v>
      </c>
      <c r="O5" s="178"/>
      <c r="P5" s="178"/>
      <c r="Q5" s="178"/>
      <c r="R5" s="178"/>
      <c r="S5" s="178"/>
      <c r="T5" s="178"/>
      <c r="U5" s="178">
        <v>80</v>
      </c>
      <c r="V5" s="178">
        <v>5</v>
      </c>
      <c r="W5" s="178"/>
      <c r="X5" s="178"/>
      <c r="Y5" s="178"/>
      <c r="Z5" s="178"/>
      <c r="AA5" s="178"/>
      <c r="AB5" s="178"/>
      <c r="AC5" s="178"/>
      <c r="AD5" s="178"/>
      <c r="AE5" s="178"/>
      <c r="AF5" s="178"/>
    </row>
    <row r="6" spans="1:32" x14ac:dyDescent="0.25">
      <c r="A6" s="150" t="s">
        <v>89</v>
      </c>
      <c r="B6" s="69">
        <v>20</v>
      </c>
      <c r="C6" s="42"/>
      <c r="D6" s="43"/>
      <c r="E6" s="44"/>
      <c r="F6" s="42"/>
      <c r="G6" s="43"/>
      <c r="H6" s="45"/>
      <c r="I6" s="46"/>
      <c r="J6" s="43"/>
      <c r="K6" s="45"/>
      <c r="M6" s="178">
        <v>80</v>
      </c>
      <c r="N6" s="178">
        <v>5</v>
      </c>
      <c r="O6" s="178"/>
      <c r="P6" s="178"/>
      <c r="Q6" s="178"/>
      <c r="R6" s="178"/>
      <c r="S6" s="178"/>
      <c r="T6" s="178"/>
      <c r="U6" s="178">
        <v>80</v>
      </c>
      <c r="V6" s="178">
        <v>5</v>
      </c>
      <c r="W6" s="178"/>
      <c r="X6" s="178"/>
      <c r="Y6" s="178"/>
      <c r="Z6" s="178"/>
      <c r="AA6" s="178"/>
      <c r="AB6" s="178"/>
      <c r="AC6" s="178"/>
      <c r="AD6" s="178"/>
      <c r="AE6" s="178"/>
      <c r="AF6" s="178"/>
    </row>
    <row r="7" spans="1:32" ht="16.5" thickBot="1" x14ac:dyDescent="0.3">
      <c r="A7" s="151"/>
      <c r="B7" s="70">
        <v>30</v>
      </c>
      <c r="C7" s="47"/>
      <c r="D7" s="48"/>
      <c r="E7" s="49"/>
      <c r="F7" s="47"/>
      <c r="G7" s="48"/>
      <c r="H7" s="50"/>
      <c r="I7" s="51"/>
      <c r="J7" s="48"/>
      <c r="K7" s="50"/>
      <c r="M7" s="178">
        <v>80</v>
      </c>
      <c r="N7" s="178">
        <v>5</v>
      </c>
      <c r="O7" s="178"/>
      <c r="P7" s="178"/>
      <c r="Q7" s="178"/>
      <c r="R7" s="178"/>
      <c r="S7" s="178"/>
      <c r="T7" s="178"/>
      <c r="U7" s="178">
        <v>80</v>
      </c>
      <c r="V7" s="178">
        <v>5</v>
      </c>
      <c r="W7" s="178"/>
      <c r="X7" s="178"/>
      <c r="Y7" s="178"/>
      <c r="Z7" s="178"/>
      <c r="AA7" s="178"/>
      <c r="AB7" s="178"/>
      <c r="AC7" s="178"/>
      <c r="AD7" s="178"/>
      <c r="AE7" s="178"/>
      <c r="AF7" s="178"/>
    </row>
    <row r="8" spans="1:32" x14ac:dyDescent="0.25">
      <c r="A8" s="149" t="s">
        <v>108</v>
      </c>
      <c r="B8" s="68">
        <v>10</v>
      </c>
      <c r="C8" s="37"/>
      <c r="D8" s="38"/>
      <c r="E8" s="39"/>
      <c r="F8" s="37"/>
      <c r="G8" s="38"/>
      <c r="H8" s="40"/>
      <c r="I8" s="41"/>
      <c r="J8" s="38"/>
      <c r="K8" s="40"/>
      <c r="M8" s="178">
        <v>80</v>
      </c>
      <c r="N8" s="178">
        <v>5</v>
      </c>
      <c r="O8" s="178"/>
      <c r="P8" s="178"/>
      <c r="Q8" s="178"/>
      <c r="R8" s="178"/>
      <c r="S8" s="178"/>
      <c r="T8" s="178"/>
      <c r="U8" s="178">
        <v>80</v>
      </c>
      <c r="V8" s="178">
        <v>5</v>
      </c>
      <c r="W8" s="178"/>
      <c r="X8" s="178"/>
      <c r="Y8" s="178"/>
      <c r="Z8" s="178"/>
      <c r="AA8" s="178"/>
      <c r="AB8" s="178"/>
      <c r="AC8" s="178"/>
      <c r="AD8" s="178"/>
      <c r="AE8" s="178"/>
      <c r="AF8" s="178"/>
    </row>
    <row r="9" spans="1:32" x14ac:dyDescent="0.25">
      <c r="A9" s="150" t="s">
        <v>89</v>
      </c>
      <c r="B9" s="69">
        <v>20</v>
      </c>
      <c r="C9" s="42"/>
      <c r="D9" s="43"/>
      <c r="E9" s="44"/>
      <c r="F9" s="42"/>
      <c r="G9" s="43"/>
      <c r="H9" s="45"/>
      <c r="I9" s="46"/>
      <c r="J9" s="43"/>
      <c r="K9" s="45"/>
      <c r="M9" s="178">
        <v>80</v>
      </c>
      <c r="N9" s="178">
        <v>5</v>
      </c>
      <c r="O9" s="178"/>
      <c r="P9" s="178"/>
      <c r="Q9" s="178"/>
      <c r="R9" s="178"/>
      <c r="S9" s="178"/>
      <c r="T9" s="178"/>
      <c r="U9" s="178">
        <v>80</v>
      </c>
      <c r="V9" s="178">
        <v>5</v>
      </c>
      <c r="W9" s="178"/>
      <c r="X9" s="178"/>
      <c r="Y9" s="178"/>
      <c r="Z9" s="178"/>
      <c r="AA9" s="178"/>
      <c r="AB9" s="178"/>
      <c r="AC9" s="178"/>
      <c r="AD9" s="178"/>
      <c r="AE9" s="178"/>
      <c r="AF9" s="178"/>
    </row>
    <row r="10" spans="1:32" ht="16.5" thickBot="1" x14ac:dyDescent="0.3">
      <c r="A10" s="151"/>
      <c r="B10" s="70">
        <v>30</v>
      </c>
      <c r="C10" s="52"/>
      <c r="D10" s="53"/>
      <c r="E10" s="54"/>
      <c r="F10" s="52"/>
      <c r="G10" s="53"/>
      <c r="H10" s="55"/>
      <c r="I10" s="56"/>
      <c r="J10" s="53"/>
      <c r="K10" s="55"/>
      <c r="M10" s="178">
        <v>100</v>
      </c>
      <c r="N10" s="178">
        <v>5</v>
      </c>
      <c r="O10" s="178"/>
      <c r="P10" s="178"/>
      <c r="Q10" s="178"/>
      <c r="R10" s="178"/>
      <c r="S10" s="178"/>
      <c r="T10" s="178"/>
      <c r="U10" s="178">
        <v>100</v>
      </c>
      <c r="V10" s="178">
        <v>5</v>
      </c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</row>
    <row r="11" spans="1:32" x14ac:dyDescent="0.25">
      <c r="A11" s="148" t="s">
        <v>109</v>
      </c>
      <c r="B11" s="68">
        <v>10</v>
      </c>
      <c r="C11" s="57"/>
      <c r="D11" s="58"/>
      <c r="E11" s="59"/>
      <c r="F11" s="57"/>
      <c r="G11" s="58"/>
      <c r="H11" s="60"/>
      <c r="I11" s="61"/>
      <c r="J11" s="58"/>
      <c r="K11" s="60"/>
      <c r="M11" s="178">
        <v>120</v>
      </c>
      <c r="N11" s="178">
        <v>5</v>
      </c>
      <c r="O11" s="178"/>
      <c r="P11" s="178"/>
      <c r="Q11" s="178"/>
      <c r="R11" s="178"/>
      <c r="S11" s="178"/>
      <c r="T11" s="178"/>
      <c r="U11" s="178">
        <v>120</v>
      </c>
      <c r="V11" s="178">
        <v>5</v>
      </c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</row>
    <row r="12" spans="1:32" x14ac:dyDescent="0.25">
      <c r="A12" s="150" t="s">
        <v>89</v>
      </c>
      <c r="B12" s="69">
        <v>20</v>
      </c>
      <c r="C12" s="42"/>
      <c r="D12" s="43"/>
      <c r="E12" s="44"/>
      <c r="F12" s="42"/>
      <c r="G12" s="43"/>
      <c r="H12" s="45"/>
      <c r="I12" s="46"/>
      <c r="J12" s="43"/>
      <c r="K12" s="45"/>
      <c r="M12" s="178">
        <v>80</v>
      </c>
      <c r="N12" s="178">
        <v>1</v>
      </c>
      <c r="O12" s="178"/>
      <c r="P12" s="178"/>
      <c r="Q12" s="178"/>
      <c r="R12" s="178"/>
      <c r="S12" s="178"/>
      <c r="T12" s="178"/>
      <c r="U12" s="178">
        <v>80</v>
      </c>
      <c r="V12" s="178">
        <v>5</v>
      </c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</row>
    <row r="13" spans="1:32" ht="16.5" thickBot="1" x14ac:dyDescent="0.3">
      <c r="A13" s="151"/>
      <c r="B13" s="70">
        <v>30</v>
      </c>
      <c r="C13" s="52"/>
      <c r="D13" s="53"/>
      <c r="E13" s="54"/>
      <c r="F13" s="52"/>
      <c r="G13" s="53"/>
      <c r="H13" s="55"/>
      <c r="I13" s="56"/>
      <c r="J13" s="53"/>
      <c r="K13" s="55"/>
      <c r="M13" s="178">
        <v>80</v>
      </c>
      <c r="N13" s="178">
        <v>10</v>
      </c>
      <c r="O13" s="178"/>
      <c r="P13" s="178"/>
      <c r="Q13" s="178"/>
      <c r="R13" s="178"/>
      <c r="S13" s="178"/>
      <c r="T13" s="178"/>
      <c r="U13" s="178">
        <v>80</v>
      </c>
      <c r="V13" s="178">
        <v>5</v>
      </c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</row>
    <row r="14" spans="1:32" ht="16.5" thickBot="1" x14ac:dyDescent="0.3">
      <c r="A14" s="130"/>
      <c r="B14" s="67" t="s">
        <v>110</v>
      </c>
      <c r="C14" s="52"/>
      <c r="D14" s="53"/>
      <c r="E14" s="54"/>
      <c r="F14" s="52"/>
      <c r="G14" s="53"/>
      <c r="H14" s="55"/>
      <c r="I14" s="56"/>
      <c r="J14" s="53"/>
      <c r="K14" s="55"/>
      <c r="M14" s="178">
        <v>80</v>
      </c>
      <c r="N14" s="178">
        <v>7.5</v>
      </c>
      <c r="O14" s="178"/>
      <c r="P14" s="178"/>
      <c r="Q14" s="178"/>
      <c r="R14" s="178"/>
      <c r="S14" s="178"/>
      <c r="T14" s="178"/>
      <c r="U14" s="178">
        <v>80</v>
      </c>
      <c r="V14" s="178">
        <v>5</v>
      </c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Tables</vt:lpstr>
      <vt:lpstr>Data Entry</vt:lpstr>
      <vt:lpstr>Sheet1!ALUM</vt:lpstr>
      <vt:lpstr>Sheet1!AUTO_MA</vt:lpstr>
      <vt:lpstr>AUTO_MANUAL</vt:lpstr>
      <vt:lpstr>DHALF</vt:lpstr>
      <vt:lpstr>Sheet1!HVL</vt:lpstr>
      <vt:lpstr>HVL_KV</vt:lpstr>
      <vt:lpstr>LEEDS_KV</vt:lpstr>
      <vt:lpstr>Sheet1!LNEXP</vt:lpstr>
      <vt:lpstr>TO10kVAdj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cp:lastPrinted>2023-05-17T13:04:29Z</cp:lastPrinted>
  <dcterms:created xsi:type="dcterms:W3CDTF">2023-04-26T15:01:43Z</dcterms:created>
  <dcterms:modified xsi:type="dcterms:W3CDTF">2024-09-23T17:53:29Z</dcterms:modified>
</cp:coreProperties>
</file>