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media/image19.tif" ContentType="image/tiff"/>
  <Override PartName="/xl/media/image20.tif" ContentType="image/tiff"/>
  <Override PartName="/xl/media/image21.ti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" sheetId="1" state="visible" r:id="rId2"/>
    <sheet name="RadFluoro" sheetId="2" state="visible" r:id="rId3"/>
    <sheet name="Fluoro" sheetId="3" state="visible" r:id="rId4"/>
    <sheet name="NM" sheetId="4" state="visible" r:id="rId5"/>
    <sheet name="CT" sheetId="5" state="visible" r:id="rId6"/>
    <sheet name="ShieldEvaluation" sheetId="6" state="visible" r:id="rId7"/>
    <sheet name="FitParameters" sheetId="7" state="visible" r:id="rId8"/>
    <sheet name="NCRP147_4.1" sheetId="8" state="visible" r:id="rId9"/>
    <sheet name="NCRP147_4.2" sheetId="9" state="visible" r:id="rId10"/>
    <sheet name="NCRP147_4.3" sheetId="10" state="visible" r:id="rId11"/>
    <sheet name="NCRP147_4.4" sheetId="11" state="visible" r:id="rId12"/>
    <sheet name="NCRP147_4.5" sheetId="12" state="visible" r:id="rId13"/>
    <sheet name="NCRP147_4.7" sheetId="13" state="visible" r:id="rId14"/>
    <sheet name="NCRP147_5.2" sheetId="14" state="visible" r:id="rId15"/>
    <sheet name="NCRP147_A1" sheetId="15" state="visible" r:id="rId16"/>
    <sheet name="NCRP147_B1" sheetId="16" state="visible" r:id="rId17"/>
    <sheet name="NCRP147_C1" sheetId="17" state="visible" r:id="rId18"/>
    <sheet name="W_Rh_Al_Ag" sheetId="18" state="visible" r:id="rId19"/>
  </sheets>
  <definedNames>
    <definedName function="false" hidden="false" localSheetId="4" name="_xlnm.Print_Area" vbProcedure="false">CT!$A$1:$H$50</definedName>
    <definedName function="false" hidden="false" localSheetId="2" name="_xlnm.Print_Area" vbProcedure="false">Fluoro!$A$1:$L$41</definedName>
    <definedName function="false" hidden="false" localSheetId="3" name="_xlnm.Print_Area" vbProcedure="false">NM!$A$1:$Q$73</definedName>
    <definedName function="false" hidden="false" localSheetId="1" name="_xlnm.Print_Area" vbProcedure="false">RadFluoro!$A$1:$N$66</definedName>
    <definedName function="false" hidden="false" localSheetId="5" name="_xlnm.Print_Area" vbProcedure="false">ShieldEvaluation!$A$1:$H$34</definedName>
    <definedName function="false" hidden="false" localSheetId="0" name="_xlnm.Print_Area" vbProcedure="false">Table!$A$1:$N$112</definedName>
    <definedName function="false" hidden="false" name="FitParams" vbProcedure="false">FitParameters!$A$5:$AF$30</definedName>
    <definedName function="false" hidden="false" name="inch_value" vbProcedure="false">Table!$AF$6:$AF$41</definedName>
    <definedName function="false" hidden="false" name="KpRadTable" vbProcedure="false">RadFluoro!$C$7</definedName>
    <definedName function="false" hidden="false" name="KpRadWall" vbProcedure="false">RadFluoro!$C$8</definedName>
    <definedName function="false" hidden="false" name="KpRFRad" vbProcedure="false">RadFluoro!$C$11</definedName>
    <definedName function="false" hidden="false" name="KsRadAllFB" vbProcedure="false">RadFluoro!$G$9</definedName>
    <definedName function="false" hidden="false" name="KsRadAllL" vbProcedure="false">RadFluoro!$E$9</definedName>
    <definedName function="false" hidden="false" name="KsRadAllSS" vbProcedure="false">RadFluoro!$F$9</definedName>
    <definedName function="false" hidden="false" name="KSRadTableFB" vbProcedure="false">RadFluoro!$G$7</definedName>
    <definedName function="false" hidden="false" name="KsRadTableL" vbProcedure="false">RadFluoro!$E$7</definedName>
    <definedName function="false" hidden="false" name="KsRadTableSS" vbProcedure="false">RadFluoro!$F$7</definedName>
    <definedName function="false" hidden="false" name="KsRadWallFB" vbProcedure="false">RadFluoro!$G$8</definedName>
    <definedName function="false" hidden="false" name="KsRadWallL" vbProcedure="false">RadFluoro!$E$8</definedName>
    <definedName function="false" hidden="false" name="KsRadWallSS" vbProcedure="false">RadFluoro!$F$8</definedName>
    <definedName function="false" hidden="false" name="KsRFFluoroFB" vbProcedure="false">RadFluoro!$G$10</definedName>
    <definedName function="false" hidden="false" name="KsRFFluoroL" vbProcedure="false">RadFluoro!$E$10</definedName>
    <definedName function="false" hidden="false" name="KsRFFluoroSS" vbProcedure="false">RadFluoro!$F$10</definedName>
    <definedName function="false" hidden="false" name="KsRFRadFB" vbProcedure="false">RadFluoro!$G$11</definedName>
    <definedName function="false" hidden="false" name="KsRFRadL" vbProcedure="false">RadFluoro!$E$11</definedName>
    <definedName function="false" hidden="false" name="KsRFRadSS" vbProcedure="false">RadFluoro!$F$11</definedName>
    <definedName function="false" hidden="false" name="minimum_Pb" vbProcedure="false">Table!$AG$6:$AG$41</definedName>
    <definedName function="false" hidden="false" name="mm_value" vbProcedure="false">Table!$AE$6:$AE$41</definedName>
    <definedName function="false" hidden="false" name="NDAY" vbProcedure="false">NM!$B$2</definedName>
    <definedName function="false" hidden="false" name="Nfl" vbProcedure="false">RadFluoro!$B$13</definedName>
    <definedName function="false" hidden="false" name="Nrad" vbProcedure="false">RadFluoro!$B$14</definedName>
    <definedName function="false" hidden="false" name="NWEEK" vbProcedure="false">NM!$B$3</definedName>
    <definedName function="false" hidden="false" name="PBHVL" vbProcedure="false">NM!$M$18</definedName>
    <definedName function="false" hidden="false" name="PBMU" vbProcedure="false">NM!$M$17</definedName>
    <definedName function="false" hidden="false" name="PBMURHO" vbProcedure="false">NM!$M$15</definedName>
    <definedName function="false" hidden="false" name="PBRHO" vbProcedure="false">NM!$M$16</definedName>
    <definedName function="false" hidden="false" name="RefDist" vbProcedure="false">ShieldEvaluation!$F$16</definedName>
    <definedName function="false" hidden="false" name="RefExp" vbProcedure="false">ShieldEvaluation!$G$16</definedName>
    <definedName function="false" hidden="false" name="RefkV" vbProcedure="false">ShieldEvaluation!$C$16</definedName>
    <definedName function="false" hidden="false" name="RefOutput" vbProcedure="false">ShieldEvaluation!$H$16</definedName>
    <definedName function="false" hidden="false" localSheetId="0" name="Z_488A6099_7FEF_4C88_B110_024D46F0253F_.wvu.PrintArea" vbProcedure="false">Table!$A$1:$N$112</definedName>
    <definedName function="false" hidden="false" localSheetId="1" name="Z_488A6099_7FEF_4C88_B110_024D46F0253F_.wvu.PrintArea" vbProcedure="false">RadFluoro!$A$1:$N$66</definedName>
    <definedName function="false" hidden="false" localSheetId="2" name="Nfl" vbProcedure="false">Fluoro!$B$5</definedName>
    <definedName function="false" hidden="false" localSheetId="2" name="Z_488A6099_7FEF_4C88_B110_024D46F0253F_.wvu.PrintArea" vbProcedure="false">Fluoro!$A$1:$L$41</definedName>
    <definedName function="false" hidden="false" localSheetId="3" name="Z_488A6099_7FEF_4C88_B110_024D46F0253F_.wvu.PrintArea" vbProcedure="false">NM!$A$1:$Q$73</definedName>
    <definedName function="false" hidden="false" localSheetId="4" name="Z_488A6099_7FEF_4C88_B110_024D46F0253F_.wvu.PrintArea" vbProcedure="false">CT!$A$1:$H$50</definedName>
    <definedName function="false" hidden="false" localSheetId="5" name="Z_488A6099_7FEF_4C88_B110_024D46F0253F_.wvu.PrintArea" vbProcedure="false">ShieldEvaluation!$A$1:$H$34</definedName>
  </definedName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F25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 xml:space="preserve">Barrier use factor.  Leave blank for secondary barriers.</t>
        </r>
      </text>
    </comment>
    <comment ref="G25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 xml:space="preserve">Occupancy factor</t>
        </r>
      </text>
    </comment>
    <comment ref="H25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 xml:space="preserve">Type of area
U - Uncontrolled
C - Controlled
C assumed if blank</t>
        </r>
      </text>
    </comment>
    <comment ref="K24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 xml:space="preserve">Dose limits per NCRP 116 recommendations.</t>
        </r>
      </text>
    </comment>
    <comment ref="K43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 xml:space="preserve"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E6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Leakage (mGy/pt)</t>
        </r>
      </text>
    </comment>
    <comment ref="F6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Side scatter (mGy/pt)</t>
        </r>
      </text>
    </comment>
    <comment ref="G6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Forward/Back scatter (mGy/pt)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C11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Dose limits per NCRP 116 recommendations.</t>
        </r>
      </text>
    </comment>
    <comment ref="D11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Occupancy factor</t>
        </r>
      </text>
    </comment>
    <comment ref="D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Barrier transmission factor (B) required to reduce barrier exposure to design limit.</t>
        </r>
      </text>
    </comment>
    <comment ref="E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Barrier thickness from Eq A2, NCRP 147</t>
        </r>
      </text>
    </comment>
    <comment ref="G10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Inverse square correction from isocontour distance to barrier distance</t>
        </r>
      </text>
    </comment>
    <comment ref="K10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Inverse square correction from isocontour distance to barrier distance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B1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Gamma ray exposure constant from Table 22-4, Cherry, Sorenson, Phelps, Physics in Nuclear Medicine 3ed</t>
        </r>
      </text>
    </comment>
    <comment ref="B47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Sum of the exposures from the source areas to each target area</t>
        </r>
      </text>
    </comment>
    <comment ref="C6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Fraction of hour @ avg. activity</t>
        </r>
      </text>
    </comment>
    <comment ref="C17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Type of area
C - Controlled
U - Uncontrolled</t>
        </r>
      </text>
    </comment>
    <comment ref="N4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Assumes activity in patient is attenuated by ~1 HVL of soft tissue (about 5 cm)</t>
        </r>
      </text>
    </comment>
    <comment ref="N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Assumes 0.15 voided activity factor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C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Type of area
U - Uncontrolled
C - Controlled
C assumed if blank</t>
        </r>
      </text>
    </comment>
    <comment ref="J27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Inverse square correction from isocontour distance to barrier distance</t>
        </r>
      </text>
    </comment>
    <comment ref="K27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Isocontour exposure at barrier distance (mGy/mAs)</t>
        </r>
      </text>
    </comment>
    <comment ref="L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Annual isocontour exposure at barrier</t>
        </r>
      </text>
    </comment>
    <comment ref="M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Barrier transmission factor (B) required to reduce barrier exposure to design limit.</t>
        </r>
      </text>
    </comment>
    <comment ref="O2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Barrier thickness from Eq A2, NCRP 147</t>
        </r>
      </text>
    </comment>
    <comment ref="Q18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Fit parameters from Fig A.2 NCRP 147.
Linear interpolation is used to obtain fit parameters for 130 kVp</t>
        </r>
      </text>
    </comment>
    <comment ref="Q24" authorId="0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 xml:space="preserve">Fit parameters for selected kV (C23)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C15" authorId="0">
      <text>
        <r>
          <rPr>
            <sz val="8"/>
            <color rgb="FF000000"/>
            <rFont val="Tahoma"/>
            <family val="2"/>
            <charset val="1"/>
          </rPr>
          <t xml:space="preserve">kVp used for reference exposure</t>
        </r>
      </text>
    </comment>
    <comment ref="C19" authorId="0">
      <text>
        <r>
          <rPr>
            <sz val="8"/>
            <color rgb="FF000000"/>
            <rFont val="Tahoma"/>
            <family val="2"/>
            <charset val="1"/>
          </rPr>
          <t xml:space="preserve">Source to barrier distance</t>
        </r>
      </text>
    </comment>
    <comment ref="D15" authorId="0">
      <text>
        <r>
          <rPr>
            <sz val="8"/>
            <color rgb="FF000000"/>
            <rFont val="Tahoma"/>
            <family val="2"/>
            <charset val="1"/>
          </rPr>
          <t xml:space="preserve">mA used for reference exposure</t>
        </r>
      </text>
    </comment>
    <comment ref="D19" authorId="0">
      <text>
        <r>
          <rPr>
            <sz val="8"/>
            <color rgb="FF000000"/>
            <rFont val="Tahoma"/>
            <family val="2"/>
            <charset val="1"/>
          </rPr>
          <t xml:space="preserve">Incident exposure at barrier</t>
        </r>
      </text>
    </comment>
    <comment ref="E15" authorId="0">
      <text>
        <r>
          <rPr>
            <sz val="8"/>
            <color rgb="FF000000"/>
            <rFont val="Tahoma"/>
            <family val="2"/>
            <charset val="1"/>
          </rPr>
          <t xml:space="preserve">mAs uesd for reference exposure</t>
        </r>
      </text>
    </comment>
    <comment ref="E19" authorId="0">
      <text>
        <r>
          <rPr>
            <sz val="8"/>
            <color rgb="FF000000"/>
            <rFont val="Tahoma"/>
            <family val="2"/>
            <charset val="1"/>
          </rPr>
          <t xml:space="preserve">Transmitted exposure at barrier</t>
        </r>
      </text>
    </comment>
    <comment ref="F14" authorId="0">
      <text>
        <r>
          <rPr>
            <sz val="8"/>
            <color rgb="FF000000"/>
            <rFont val="Tahoma"/>
            <family val="2"/>
            <charset val="1"/>
          </rPr>
          <t xml:space="preserve">Source to detector distance for reference exposure</t>
        </r>
      </text>
    </comment>
    <comment ref="F18" authorId="0">
      <text>
        <r>
          <rPr>
            <sz val="8"/>
            <color rgb="FF000000"/>
            <rFont val="Tahoma"/>
            <family val="2"/>
            <charset val="1"/>
          </rPr>
          <t xml:space="preserve">Transmission = Transmitted exposure/Incident exposure</t>
        </r>
      </text>
    </comment>
    <comment ref="G14" authorId="0">
      <text>
        <r>
          <rPr>
            <sz val="8"/>
            <color rgb="FF000000"/>
            <rFont val="Tahoma"/>
            <family val="2"/>
            <charset val="1"/>
          </rPr>
          <t xml:space="preserve">Reference exposure</t>
        </r>
      </text>
    </comment>
    <comment ref="G19" authorId="0">
      <text>
        <r>
          <rPr>
            <sz val="8"/>
            <color rgb="FF000000"/>
            <rFont val="Tahoma"/>
            <family val="2"/>
            <charset val="1"/>
          </rPr>
          <t xml:space="preserve">Barrier lead equivalent (mm)</t>
        </r>
      </text>
    </comment>
    <comment ref="L11" authorId="0">
      <text>
        <r>
          <rPr>
            <sz val="10"/>
            <rFont val="Times New Roman"/>
            <family val="1"/>
            <charset val="1"/>
          </rPr>
          <t xml:space="preserve"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 xml:space="preserve">g</t>
        </r>
        <r>
          <rPr>
            <sz val="12"/>
            <color rgb="FF000000"/>
            <rFont val="Tahoma"/>
            <family val="2"/>
            <charset val="1"/>
          </rPr>
          <t xml:space="preserve">+</t>
        </r>
        <r>
          <rPr>
            <sz val="12"/>
            <color rgb="FF000000"/>
            <rFont val="Symbol"/>
            <family val="1"/>
            <charset val="2"/>
          </rPr>
          <t xml:space="preserve">b</t>
        </r>
        <r>
          <rPr>
            <sz val="12"/>
            <color rgb="FF000000"/>
            <rFont val="Tahoma"/>
            <family val="2"/>
            <charset val="1"/>
          </rPr>
          <t xml:space="preserve">/</t>
        </r>
        <r>
          <rPr>
            <sz val="12"/>
            <color rgb="FF000000"/>
            <rFont val="Symbol"/>
            <family val="1"/>
            <charset val="2"/>
          </rPr>
          <t xml:space="preserve">a</t>
        </r>
        <r>
          <rPr>
            <sz val="12"/>
            <color rgb="FF000000"/>
            <rFont val="Tahoma"/>
            <family val="2"/>
            <charset val="1"/>
          </rPr>
          <t xml:space="preserve">)/(1+</t>
        </r>
        <r>
          <rPr>
            <sz val="12"/>
            <color rgb="FF000000"/>
            <rFont val="Symbol"/>
            <family val="1"/>
            <charset val="2"/>
          </rPr>
          <t xml:space="preserve">b</t>
        </r>
        <r>
          <rPr>
            <sz val="12"/>
            <color rgb="FF000000"/>
            <rFont val="Tahoma"/>
            <family val="2"/>
            <charset val="1"/>
          </rPr>
          <t xml:space="preserve">/</t>
        </r>
        <r>
          <rPr>
            <sz val="12"/>
            <color rgb="FF000000"/>
            <rFont val="Symbol"/>
            <family val="1"/>
            <charset val="2"/>
          </rPr>
          <t xml:space="preserve">a</t>
        </r>
        <r>
          <rPr>
            <sz val="12"/>
            <color rgb="FF000000"/>
            <rFont val="Tahoma"/>
            <family val="2"/>
            <charset val="1"/>
          </rPr>
          <t xml:space="preserve">))/</t>
        </r>
        <r>
          <rPr>
            <sz val="12"/>
            <color rgb="FF000000"/>
            <rFont val="Symbol"/>
            <family val="1"/>
            <charset val="2"/>
          </rPr>
          <t xml:space="preserve">ag</t>
        </r>
      </text>
    </comment>
    <comment ref="L20" authorId="0">
      <text>
        <r>
          <rPr>
            <sz val="8"/>
            <color rgb="FF000000"/>
            <rFont val="Tahoma"/>
            <family val="2"/>
            <charset val="1"/>
          </rPr>
          <t xml:space="preserve"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<sst xmlns="http://schemas.openxmlformats.org/spreadsheetml/2006/main" count="1083" uniqueCount="420">
  <si>
    <t xml:space="preserve">Shielding Calculations</t>
  </si>
  <si>
    <t xml:space="preserve">Reference List</t>
  </si>
  <si>
    <t xml:space="preserve">Location:</t>
  </si>
  <si>
    <t xml:space="preserve">1.</t>
  </si>
  <si>
    <t xml:space="preserve">Rossi RP, Ritenour R, Christodoulou E; Broad Beam Transmission Properties ..., Health Physics 61(5) 601-608 (1991)</t>
  </si>
  <si>
    <t xml:space="preserve">2.</t>
  </si>
  <si>
    <t xml:space="preserve">Simpkin D; Shielding Requirements for Mammography, Health Physics 53(3) 267-279 (1987).</t>
  </si>
  <si>
    <t xml:space="preserve">Min.</t>
  </si>
  <si>
    <t xml:space="preserve">Date:</t>
  </si>
  <si>
    <t xml:space="preserve">Performed by:</t>
  </si>
  <si>
    <t xml:space="preserve">Eugene Mah, M.Sc.</t>
  </si>
  <si>
    <t xml:space="preserve">3.</t>
  </si>
  <si>
    <t xml:space="preserve">NCRP49</t>
  </si>
  <si>
    <t xml:space="preserve">mm</t>
  </si>
  <si>
    <t xml:space="preserve">inch</t>
  </si>
  <si>
    <t xml:space="preserve">Pb</t>
  </si>
  <si>
    <t xml:space="preserve">4.</t>
  </si>
  <si>
    <t xml:space="preserve">NCRP50</t>
  </si>
  <si>
    <t xml:space="preserve">0"</t>
  </si>
  <si>
    <t xml:space="preserve">5.</t>
  </si>
  <si>
    <t xml:space="preserve">Archer BR; Radiation Design Criteria for Diagnostic X-Ray Facilities, Health Physics, 44(5), 507-517, 1983</t>
  </si>
  <si>
    <t xml:space="preserve">&lt;=1/256"</t>
  </si>
  <si>
    <t xml:space="preserve">Ave. number of patients/wk:</t>
  </si>
  <si>
    <t xml:space="preserve">6.</t>
  </si>
  <si>
    <t xml:space="preserve">Simpkin D; A General Solution Shielding of Medical X- and Gamma-Rays by NCRP49 Methods; Health Physics 52(?) 431-436 (1987).</t>
  </si>
  <si>
    <t xml:space="preserve">Ave. mAs/exposure:</t>
  </si>
  <si>
    <t xml:space="preserve">Continuous Current:</t>
  </si>
  <si>
    <t xml:space="preserve">7.</t>
  </si>
  <si>
    <t xml:space="preserve">Archer BR, Fewell TR, et al; Attenuation Properties of Diagnostic X-Ray Shielding Materials.  Med Phy 21(9) 1499-1507 (1994).</t>
  </si>
  <si>
    <t xml:space="preserve">Number of exposures/patient:</t>
  </si>
  <si>
    <t xml:space="preserve">Field Size (cm^2):</t>
  </si>
  <si>
    <t xml:space="preserve">8.</t>
  </si>
  <si>
    <t xml:space="preserve">Simpkin DJ, Transmission Data for Shielding Diagnostic X-Ray Faciliites; Health Physics68(5), 704-709, 1995.</t>
  </si>
  <si>
    <t xml:space="preserve">Weekly Workload (mA*min):</t>
  </si>
  <si>
    <t xml:space="preserve">Scatter to Incident Ratio (a)</t>
  </si>
  <si>
    <t xml:space="preserve">kVp:</t>
  </si>
  <si>
    <t xml:space="preserve">(acceptable values are 25-150 kVp in steps of 5 kVp)</t>
  </si>
  <si>
    <t xml:space="preserve">angle in degrees</t>
  </si>
  <si>
    <t xml:space="preserve">kVp</t>
  </si>
  <si>
    <t xml:space="preserve">Fitting Parameters for the above conditions (mm^-1)</t>
  </si>
  <si>
    <t xml:space="preserve">Attenuator</t>
  </si>
  <si>
    <t xml:space="preserve">a</t>
  </si>
  <si>
    <t xml:space="preserve">b</t>
  </si>
  <si>
    <t xml:space="preserve">g</t>
  </si>
  <si>
    <t xml:space="preserve">Ko'</t>
  </si>
  <si>
    <t xml:space="preserve">HVL</t>
  </si>
  <si>
    <t xml:space="preserve">TVL</t>
  </si>
  <si>
    <t xml:space="preserve">Conversion Factors:</t>
  </si>
  <si>
    <t xml:space="preserve">m/ft</t>
  </si>
  <si>
    <t xml:space="preserve">Lead</t>
  </si>
  <si>
    <t xml:space="preserve">1/16  =  </t>
  </si>
  <si>
    <t xml:space="preserve">Concrete</t>
  </si>
  <si>
    <t xml:space="preserve">1/8  =  </t>
  </si>
  <si>
    <t xml:space="preserve">Gypsum</t>
  </si>
  <si>
    <t xml:space="preserve">Conversion Assistance</t>
  </si>
  <si>
    <t xml:space="preserve">Steel</t>
  </si>
  <si>
    <t xml:space="preserve">Feet</t>
  </si>
  <si>
    <t xml:space="preserve">Meter</t>
  </si>
  <si>
    <t xml:space="preserve">Glass</t>
  </si>
  <si>
    <t xml:space="preserve">Wood</t>
  </si>
  <si>
    <t xml:space="preserve">Primary</t>
  </si>
  <si>
    <t xml:space="preserve">All distances are in meters</t>
  </si>
  <si>
    <t xml:space="preserve">Scatter</t>
  </si>
  <si>
    <t xml:space="preserve">P</t>
  </si>
  <si>
    <t xml:space="preserve">Primary Kux</t>
  </si>
  <si>
    <t xml:space="preserve">Scatter Kux</t>
  </si>
  <si>
    <t xml:space="preserve"># of HVL</t>
  </si>
  <si>
    <t xml:space="preserve">ratio</t>
  </si>
  <si>
    <t xml:space="preserve">Barrier</t>
  </si>
  <si>
    <t xml:space="preserve">D(pri)</t>
  </si>
  <si>
    <t xml:space="preserve">D(sec)</t>
  </si>
  <si>
    <t xml:space="preserve">D(sca)</t>
  </si>
  <si>
    <t xml:space="preserve">D(leak)</t>
  </si>
  <si>
    <t xml:space="preserve">U**</t>
  </si>
  <si>
    <t xml:space="preserve">T</t>
  </si>
  <si>
    <t xml:space="preserve">Area</t>
  </si>
  <si>
    <t xml:space="preserve">Angle</t>
  </si>
  <si>
    <t xml:space="preserve">ratio (a)</t>
  </si>
  <si>
    <t xml:space="preserve">(mSv/wk)</t>
  </si>
  <si>
    <t xml:space="preserve">(mSv)</t>
  </si>
  <si>
    <t xml:space="preserve">Leakage Blx</t>
  </si>
  <si>
    <t xml:space="preserve">N</t>
  </si>
  <si>
    <t xml:space="preserve">Np</t>
  </si>
  <si>
    <t xml:space="preserve">column</t>
  </si>
  <si>
    <t xml:space="preserve">gray cells are interpolated data</t>
  </si>
  <si>
    <t xml:space="preserve">** Leave blank if the barrier is secondary only.</t>
  </si>
  <si>
    <t xml:space="preserve">Total:</t>
  </si>
  <si>
    <t xml:space="preserve">&gt;=1/4"</t>
  </si>
  <si>
    <t xml:space="preserve">Shielding Requirements (mm)</t>
  </si>
  <si>
    <t xml:space="preserve">Min. Lead</t>
  </si>
  <si>
    <t xml:space="preserve">Fitting Parameters for Diagnostic Shielding Calculations*</t>
  </si>
  <si>
    <t xml:space="preserve">Leakage</t>
  </si>
  <si>
    <t xml:space="preserve">Scatter and Leakage Combined</t>
  </si>
  <si>
    <t xml:space="preserve">Shielding</t>
  </si>
  <si>
    <t xml:space="preserve">Required</t>
  </si>
  <si>
    <t xml:space="preserve">Pb (mm)</t>
  </si>
  <si>
    <t xml:space="preserve">Concrete (mm)</t>
  </si>
  <si>
    <t xml:space="preserve">Plate Glass</t>
  </si>
  <si>
    <t xml:space="preserve">Ko**</t>
  </si>
  <si>
    <t xml:space="preserve">* 25-35 kVp data is for Mo/Mo x-ray tubes, all other data is for W x-ray tubes (ref 8).</t>
  </si>
  <si>
    <t xml:space="preserve">** Ko is the exposure at the point of interest with no attenuator.</t>
  </si>
  <si>
    <t xml:space="preserve">  The data in this column is based on Simpkin's output analysis.</t>
  </si>
  <si>
    <t xml:space="preserve">Shielding Requirements (inches)</t>
  </si>
  <si>
    <t xml:space="preserve">Wall A/Door A</t>
  </si>
  <si>
    <t xml:space="preserve">Leakage, side scatter RF Rad</t>
  </si>
  <si>
    <t xml:space="preserve">Leakage, side scatter RF Fluoro</t>
  </si>
  <si>
    <t xml:space="preserve">Eugene Mah, Ph.D.</t>
  </si>
  <si>
    <t xml:space="preserve">Leakage, side scatter Rad Wall</t>
  </si>
  <si>
    <t xml:space="preserve">Wall B</t>
  </si>
  <si>
    <t xml:space="preserve">Primary Rad Wall</t>
  </si>
  <si>
    <t xml:space="preserve">Secondary AK (mGy/pt)</t>
  </si>
  <si>
    <t xml:space="preserve">Primary RF (rad)</t>
  </si>
  <si>
    <t xml:space="preserve">Primary RF Rad xtable</t>
  </si>
  <si>
    <t xml:space="preserve">Wnorm</t>
  </si>
  <si>
    <t xml:space="preserve">Kp</t>
  </si>
  <si>
    <t xml:space="preserve">Side Scatter</t>
  </si>
  <si>
    <t xml:space="preserve">Forward/Back</t>
  </si>
  <si>
    <t xml:space="preserve">b/a</t>
  </si>
  <si>
    <t xml:space="preserve">ag</t>
  </si>
  <si>
    <t xml:space="preserve">Table</t>
  </si>
  <si>
    <t xml:space="preserve">Wall</t>
  </si>
  <si>
    <t xml:space="preserve">Leakage, forward/back scatter RF Fluoro</t>
  </si>
  <si>
    <t xml:space="preserve">All</t>
  </si>
  <si>
    <t xml:space="preserve">Secondary RF (rad)</t>
  </si>
  <si>
    <t xml:space="preserve">Wall C</t>
  </si>
  <si>
    <t xml:space="preserve">RF Fluoro</t>
  </si>
  <si>
    <t xml:space="preserve">RF Rad</t>
  </si>
  <si>
    <t xml:space="preserve">Fl Pts/wk</t>
  </si>
  <si>
    <t xml:space="preserve">Primary RF (fluoro)</t>
  </si>
  <si>
    <t xml:space="preserve">Wall D/Door D</t>
  </si>
  <si>
    <t xml:space="preserve">Rad Pts/wk</t>
  </si>
  <si>
    <t xml:space="preserve">Mean DAP/pt</t>
  </si>
  <si>
    <t xml:space="preserve">uGy-m^2</t>
  </si>
  <si>
    <t xml:space="preserve">Leakage, forward/back scatter Rad Wall</t>
  </si>
  <si>
    <t xml:space="preserve">Secondary RF (fluoro)</t>
  </si>
  <si>
    <t xml:space="preserve">Wall E/Door E</t>
  </si>
  <si>
    <t xml:space="preserve">Control</t>
  </si>
  <si>
    <t xml:space="preserve">Dtable</t>
  </si>
  <si>
    <t xml:space="preserve">Dleak</t>
  </si>
  <si>
    <t xml:space="preserve">U</t>
  </si>
  <si>
    <t xml:space="preserve">Kp(0)</t>
  </si>
  <si>
    <t xml:space="preserve">Bpri</t>
  </si>
  <si>
    <t xml:space="preserve">x (mm)</t>
  </si>
  <si>
    <t xml:space="preserve">Ksec(0)</t>
  </si>
  <si>
    <t xml:space="preserve">Ksec(tot)</t>
  </si>
  <si>
    <t xml:space="preserve">Bsec</t>
  </si>
  <si>
    <t xml:space="preserve">Wall A</t>
  </si>
  <si>
    <t xml:space="preserve">Floor</t>
  </si>
  <si>
    <t xml:space="preserve">Primary RF Rad</t>
  </si>
  <si>
    <t xml:space="preserve">Door A</t>
  </si>
  <si>
    <t xml:space="preserve">Wall D</t>
  </si>
  <si>
    <t xml:space="preserve">Ceiling</t>
  </si>
  <si>
    <t xml:space="preserve">Leakage, forward/back scatter RF Rad</t>
  </si>
  <si>
    <t xml:space="preserve">Door D</t>
  </si>
  <si>
    <t xml:space="preserve">Wall E</t>
  </si>
  <si>
    <t xml:space="preserve">Door E1</t>
  </si>
  <si>
    <t xml:space="preserve">Door E2</t>
  </si>
  <si>
    <t xml:space="preserve">Control Wall</t>
  </si>
  <si>
    <t xml:space="preserve">Control Window</t>
  </si>
  <si>
    <t xml:space="preserve">Dwall</t>
  </si>
  <si>
    <t xml:space="preserve">Dfluoro</t>
  </si>
  <si>
    <t xml:space="preserve">Rel AK</t>
  </si>
  <si>
    <t xml:space="preserve">D (m)</t>
  </si>
  <si>
    <t xml:space="preserve">AK (uGy)</t>
  </si>
  <si>
    <t xml:space="preserve">Workload</t>
  </si>
  <si>
    <t xml:space="preserve">A</t>
  </si>
  <si>
    <t xml:space="preserve">B</t>
  </si>
  <si>
    <t xml:space="preserve">Neuro 1</t>
  </si>
  <si>
    <t xml:space="preserve">Neuro2</t>
  </si>
  <si>
    <t xml:space="preserve">Pts/wk</t>
  </si>
  <si>
    <t xml:space="preserve">A DAP/pt</t>
  </si>
  <si>
    <t xml:space="preserve">Gy·cm²</t>
  </si>
  <si>
    <t xml:space="preserve">KAP Conversion Table</t>
  </si>
  <si>
    <t xml:space="preserve">B DAP/pt</t>
  </si>
  <si>
    <t xml:space="preserve">µGy·m²</t>
  </si>
  <si>
    <t xml:space="preserve">mGy·cm²</t>
  </si>
  <si>
    <t xml:space="preserve">cGy·cm²</t>
  </si>
  <si>
    <t xml:space="preserve">A Plane Isocontour</t>
  </si>
  <si>
    <t xml:space="preserve">Inv Sq to barrier</t>
  </si>
  <si>
    <t xml:space="preserve">Isocontour @ barrier</t>
  </si>
  <si>
    <t xml:space="preserve">B Plane Isocontour</t>
  </si>
  <si>
    <t xml:space="preserve">dGy·cm²</t>
  </si>
  <si>
    <t xml:space="preserve">Distance (m)</t>
  </si>
  <si>
    <t xml:space="preserve">P (mSv/week)</t>
  </si>
  <si>
    <t xml:space="preserve">uGy/Gy-cm^2</t>
  </si>
  <si>
    <t xml:space="preserve">Dist (m)</t>
  </si>
  <si>
    <t xml:space="preserve">Peripheral Angiography</t>
  </si>
  <si>
    <t xml:space="preserve">Wall D1</t>
  </si>
  <si>
    <t xml:space="preserve">Wall D2</t>
  </si>
  <si>
    <t xml:space="preserve">Wall B Offices</t>
  </si>
  <si>
    <t xml:space="preserve">Wall C Offices</t>
  </si>
  <si>
    <t xml:space="preserve">A Plane</t>
  </si>
  <si>
    <t xml:space="preserve">B Plane</t>
  </si>
  <si>
    <t xml:space="preserve">Exp @ Barrier</t>
  </si>
  <si>
    <t xml:space="preserve">uGy/week</t>
  </si>
  <si>
    <t xml:space="preserve">Transmission</t>
  </si>
  <si>
    <t xml:space="preserve">mm Pb</t>
  </si>
  <si>
    <t xml:space="preserve">mm Concrete</t>
  </si>
  <si>
    <t xml:space="preserve">Tc-99m</t>
  </si>
  <si>
    <t xml:space="preserve">mSv-m^2/MBq-h</t>
  </si>
  <si>
    <t xml:space="preserve">Activity Calculations</t>
  </si>
  <si>
    <t xml:space="preserve">N/day</t>
  </si>
  <si>
    <t xml:space="preserve">Patients per day</t>
  </si>
  <si>
    <t xml:space="preserve">mCi</t>
  </si>
  <si>
    <t xml:space="preserve">MBq</t>
  </si>
  <si>
    <t xml:space="preserve">N/week</t>
  </si>
  <si>
    <t xml:space="preserve">Patients per week</t>
  </si>
  <si>
    <t xml:space="preserve">Administered activity</t>
  </si>
  <si>
    <t xml:space="preserve">Equivalent unshielded activity in patient</t>
  </si>
  <si>
    <t xml:space="preserve">Sources</t>
  </si>
  <si>
    <t xml:space="preserve">Uptake duration (minutes)</t>
  </si>
  <si>
    <t xml:space="preserve">Avg activity (MBq)</t>
  </si>
  <si>
    <t xml:space="preserve">Work factor</t>
  </si>
  <si>
    <t xml:space="preserve">MBq-h/wk</t>
  </si>
  <si>
    <t xml:space="preserve">mSv-m^2/wk</t>
  </si>
  <si>
    <t xml:space="preserve">Avg activity during uptake</t>
  </si>
  <si>
    <t xml:space="preserve">Hot lab</t>
  </si>
  <si>
    <t xml:space="preserve">Activity at end of uptake</t>
  </si>
  <si>
    <t xml:space="preserve">NM Hold 1</t>
  </si>
  <si>
    <t xml:space="preserve">Activity following void</t>
  </si>
  <si>
    <t xml:space="preserve">NM Hold 2</t>
  </si>
  <si>
    <t xml:space="preserve">Scan duration (minutes)</t>
  </si>
  <si>
    <t xml:space="preserve">NM Camera 1</t>
  </si>
  <si>
    <t xml:space="preserve">Avg activity during scan</t>
  </si>
  <si>
    <t xml:space="preserve">NM Camera 2</t>
  </si>
  <si>
    <t xml:space="preserve">Activty at end of scan</t>
  </si>
  <si>
    <t xml:space="preserve">Stress Lab</t>
  </si>
  <si>
    <t xml:space="preserve">Hot Toilet</t>
  </si>
  <si>
    <t xml:space="preserve">Radiology Waiting</t>
  </si>
  <si>
    <t xml:space="preserve">Lead mass attenuation coeff</t>
  </si>
  <si>
    <t xml:space="preserve">Areas</t>
  </si>
  <si>
    <t xml:space="preserve">Lead density</t>
  </si>
  <si>
    <t xml:space="preserve">Location</t>
  </si>
  <si>
    <t xml:space="preserve">Occupancy</t>
  </si>
  <si>
    <t xml:space="preserve">Dose limit (mSv/wk)</t>
  </si>
  <si>
    <t xml:space="preserve">Target limit</t>
  </si>
  <si>
    <t xml:space="preserve">Lead attenuation coeff (1/cm)</t>
  </si>
  <si>
    <t xml:space="preserve">Tech area</t>
  </si>
  <si>
    <t xml:space="preserve">Lead HVL (mm)</t>
  </si>
  <si>
    <t xml:space="preserve">CT Tech area</t>
  </si>
  <si>
    <t xml:space="preserve">C</t>
  </si>
  <si>
    <t xml:space="preserve">US 1</t>
  </si>
  <si>
    <t xml:space="preserve">US 2</t>
  </si>
  <si>
    <t xml:space="preserve">Office 2221</t>
  </si>
  <si>
    <t xml:space="preserve">Office 2302</t>
  </si>
  <si>
    <t xml:space="preserve">Consult A</t>
  </si>
  <si>
    <t xml:space="preserve">Consult B</t>
  </si>
  <si>
    <t xml:space="preserve">Lactation</t>
  </si>
  <si>
    <t xml:space="preserve">Reading Room</t>
  </si>
  <si>
    <t xml:space="preserve">Distances (m)</t>
  </si>
  <si>
    <t xml:space="preserve">Target area</t>
  </si>
  <si>
    <t xml:space="preserve">Source area</t>
  </si>
  <si>
    <t xml:space="preserve">Unshielded exposures (mSv/wk)</t>
  </si>
  <si>
    <t xml:space="preserve">Total</t>
  </si>
  <si>
    <t xml:space="preserve">Required shielding</t>
  </si>
  <si>
    <t xml:space="preserve">Unshielded Exp</t>
  </si>
  <si>
    <t xml:space="preserve">Atten factor</t>
  </si>
  <si>
    <t xml:space="preserve">HVLs</t>
  </si>
  <si>
    <t xml:space="preserve">Lead thickness (mm)</t>
  </si>
  <si>
    <t xml:space="preserve">Required shielding for each target area from each source area</t>
  </si>
  <si>
    <t xml:space="preserve">MUSC Shawn Jenkins Children's Hospital</t>
  </si>
  <si>
    <t xml:space="preserve">Design Method</t>
  </si>
  <si>
    <t xml:space="preserve">Siemens template (attached) gives the scatter air kerma (uGy) at various distances per mAs rotation.</t>
  </si>
  <si>
    <t xml:space="preserve">Charleston, SC 29425</t>
  </si>
  <si>
    <t xml:space="preserve">Using the number of roations per year one can calculate the exposure at the isodose distance.</t>
  </si>
  <si>
    <t xml:space="preserve">This value is inverse square law corrected to the barrier distance</t>
  </si>
  <si>
    <t xml:space="preserve">Barrier transmission factor (B) is determined from the design limit corrected for occupancy</t>
  </si>
  <si>
    <t xml:space="preserve">Shielding Design</t>
  </si>
  <si>
    <t xml:space="preserve">Required barrier thickness is determined using Eq A.2 from NCRP 147</t>
  </si>
  <si>
    <t xml:space="preserve">Interlocks and Warnings</t>
  </si>
  <si>
    <t xml:space="preserve">RHB 4.11.2.4 Requires door interlocks to prevent the initiation of a scan when the CT room door is open.</t>
  </si>
  <si>
    <t xml:space="preserve">Doors A will be interlocked</t>
  </si>
  <si>
    <t xml:space="preserve">Uses</t>
  </si>
  <si>
    <t xml:space="preserve">Percent Workload</t>
  </si>
  <si>
    <t xml:space="preserve">RHB 4.11.2.3 Requires booth areas in the first scatter to be marked</t>
  </si>
  <si>
    <t xml:space="preserve">There do not seem to be areas affected by 4.11.2.3 in this design</t>
  </si>
  <si>
    <t xml:space="preserve">This will be verified on installation</t>
  </si>
  <si>
    <t xml:space="preserve">Design Limits</t>
  </si>
  <si>
    <t xml:space="preserve">Fit Parameters</t>
  </si>
  <si>
    <t xml:space="preserve">Rotations per week</t>
  </si>
  <si>
    <t xml:space="preserve">Occupational</t>
  </si>
  <si>
    <t xml:space="preserve">mGy/year</t>
  </si>
  <si>
    <t xml:space="preserve">Lead (mm)</t>
  </si>
  <si>
    <t xml:space="preserve">Rotations per patient</t>
  </si>
  <si>
    <t xml:space="preserve">Rotations per year</t>
  </si>
  <si>
    <t xml:space="preserve">Non Occupational</t>
  </si>
  <si>
    <t xml:space="preserve">Rotation collimation (cm)</t>
  </si>
  <si>
    <t xml:space="preserve">Rotation-mAs/yr</t>
  </si>
  <si>
    <t xml:space="preserve">mAs per rotation</t>
  </si>
  <si>
    <t xml:space="preserve">Workload (mA-min/wk)</t>
  </si>
  <si>
    <t xml:space="preserve">Half Value Layer</t>
  </si>
  <si>
    <t xml:space="preserve">kV</t>
  </si>
  <si>
    <t xml:space="preserve">HVL (mm-lead)</t>
  </si>
  <si>
    <t xml:space="preserve">HVL (inches-concrete)</t>
  </si>
  <si>
    <t xml:space="preserve">Barrier Design</t>
  </si>
  <si>
    <t xml:space="preserve">Design</t>
  </si>
  <si>
    <t xml:space="preserve">Calculated</t>
  </si>
  <si>
    <t xml:space="preserve">Exposure</t>
  </si>
  <si>
    <t xml:space="preserve">Distance</t>
  </si>
  <si>
    <t xml:space="preserve">Limit</t>
  </si>
  <si>
    <t xml:space="preserve">Isocontour</t>
  </si>
  <si>
    <t xml:space="preserve">at Barrier</t>
  </si>
  <si>
    <t xml:space="preserve">Designation</t>
  </si>
  <si>
    <t xml:space="preserve">(m)</t>
  </si>
  <si>
    <t xml:space="preserve">mGy/yr</t>
  </si>
  <si>
    <r>
      <rPr>
        <b val="true"/>
        <sz val="10"/>
        <rFont val="Symbol"/>
        <family val="1"/>
        <charset val="2"/>
      </rPr>
      <t xml:space="preserve">m</t>
    </r>
    <r>
      <rPr>
        <b val="true"/>
        <sz val="10"/>
        <rFont val="Arial"/>
        <family val="2"/>
        <charset val="1"/>
      </rPr>
      <t xml:space="preserve">Gy/mAs</t>
    </r>
  </si>
  <si>
    <t xml:space="preserve">(mm)</t>
  </si>
  <si>
    <t xml:space="preserve">mGy/mAs</t>
  </si>
  <si>
    <t xml:space="preserve">mm Conc</t>
  </si>
  <si>
    <t xml:space="preserve">Certified Radiological Physicist</t>
  </si>
  <si>
    <t xml:space="preserve">Shielding Evaluation</t>
  </si>
  <si>
    <t xml:space="preserve">Revision 1.0.2.25032002</t>
  </si>
  <si>
    <t xml:space="preserve">Date</t>
  </si>
  <si>
    <t xml:space="preserve">Survey ID:</t>
  </si>
  <si>
    <t xml:space="preserve">Equivalent Lead Measurements</t>
  </si>
  <si>
    <t xml:space="preserve">Radiographic Room</t>
  </si>
  <si>
    <t xml:space="preserve">Test Exposure</t>
  </si>
  <si>
    <t xml:space="preserve">Unit</t>
  </si>
  <si>
    <t xml:space="preserve">SN:</t>
  </si>
  <si>
    <t xml:space="preserve">Time </t>
  </si>
  <si>
    <t xml:space="preserve">(msec)</t>
  </si>
  <si>
    <t xml:space="preserve">mA</t>
  </si>
  <si>
    <t xml:space="preserve">mAs</t>
  </si>
  <si>
    <t xml:space="preserve">(mGy)</t>
  </si>
  <si>
    <t xml:space="preserve">(mGy/mAs)</t>
  </si>
  <si>
    <t xml:space="preserve">Incident</t>
  </si>
  <si>
    <t xml:space="preserve">Transmitted</t>
  </si>
  <si>
    <t xml:space="preserve">Transmission factor</t>
  </si>
  <si>
    <r>
      <rPr>
        <sz val="12"/>
        <rFont val="Times New Roman"/>
        <family val="1"/>
        <charset val="1"/>
      </rPr>
      <t xml:space="preserve">(</t>
    </r>
    <r>
      <rPr>
        <sz val="12"/>
        <rFont val="Symbol"/>
        <family val="1"/>
        <charset val="2"/>
      </rPr>
      <t xml:space="preserve">m</t>
    </r>
    <r>
      <rPr>
        <sz val="12"/>
        <rFont val="Times New Roman"/>
        <family val="1"/>
        <charset val="1"/>
      </rPr>
      <t xml:space="preserve">Gy)</t>
    </r>
  </si>
  <si>
    <t xml:space="preserve">(in)</t>
  </si>
  <si>
    <t xml:space="preserve">Barrier thicknesses</t>
  </si>
  <si>
    <t xml:space="preserve">Trans</t>
  </si>
  <si>
    <t xml:space="preserve">Medical Physicist</t>
  </si>
  <si>
    <t xml:space="preserve">Suggested occupancy factors (for use as a guide in planning shielding where other occupancy data are not available)</t>
  </si>
  <si>
    <t xml:space="preserve">Occupancy (T)</t>
  </si>
  <si>
    <t xml:space="preserve"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</si>
  <si>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 xml:space="preserve">Rooms used for patient examinations and treatments</t>
  </si>
  <si>
    <t xml:space="preserve">Corridors, patient rooms, employee lounges, staff rest rooms</t>
  </si>
  <si>
    <t xml:space="preserve">Corridor doors</t>
  </si>
  <si>
    <t xml:space="preserve">Public toilets, unattended vending areas, storage rooms, outdoor areas with seating, unattended waiting rooms, patient holding areas</t>
  </si>
  <si>
    <t xml:space="preserve">Outdoor areas with only transient pedestrian or vehicular traffic, unattended parking lots, vehicular drop off areas (unattended), attics, stairways, unattended elevators, janitor's closets</t>
  </si>
  <si>
    <t xml:space="preserve">Operating potential (kVp) distribution of workload (mA-min) normalized per patient, from survey conducted by AAPM TG9 (Simpkin, 1996a)</t>
  </si>
  <si>
    <t xml:space="preserve">Radiography room</t>
  </si>
  <si>
    <t xml:space="preserve">Rad/Fluoro</t>
  </si>
  <si>
    <t xml:space="preserve">Rad room (all barriers)</t>
  </si>
  <si>
    <t xml:space="preserve">Rad room (chest bucky)</t>
  </si>
  <si>
    <t xml:space="preserve">Rad room (floor or other)</t>
  </si>
  <si>
    <t xml:space="preserve">Fluoro tube (RF)</t>
  </si>
  <si>
    <t xml:space="preserve">Rad tube (RF)</t>
  </si>
  <si>
    <t xml:space="preserve">Chest room</t>
  </si>
  <si>
    <t xml:space="preserve">Mammo room</t>
  </si>
  <si>
    <t xml:space="preserve">Cardiac</t>
  </si>
  <si>
    <t xml:space="preserve">Angio</t>
  </si>
  <si>
    <t xml:space="preserve">Tot Workload</t>
  </si>
  <si>
    <t xml:space="preserve">Pt/week</t>
  </si>
  <si>
    <t xml:space="preserve">Estimated total workloads in various medical x-ray imaging installations in clinics and hospitals.</t>
  </si>
  <si>
    <t xml:space="preserve">The total workload values are for general guidance and are to be used only if the actual workloads are not available.</t>
  </si>
  <si>
    <t xml:space="preserve">Typical # of patients (N) per 40h week</t>
  </si>
  <si>
    <t xml:space="preserve">W_tot (mA-min/week)</t>
  </si>
  <si>
    <t xml:space="preserve">Room Type</t>
  </si>
  <si>
    <t xml:space="preserve">W_norm (mA-min/pt)</t>
  </si>
  <si>
    <t xml:space="preserve">Average</t>
  </si>
  <si>
    <t xml:space="preserve">Busy</t>
  </si>
  <si>
    <t xml:space="preserve">Rad room (Chest bucky)</t>
  </si>
  <si>
    <t xml:space="preserve">Mammo</t>
  </si>
  <si>
    <t xml:space="preserve">Primary beam use factors (U) for a general radiographic room determined from the survey of clinical sites (Simpkin, 1996a)</t>
  </si>
  <si>
    <t xml:space="preserve">Use factor (U)</t>
  </si>
  <si>
    <t xml:space="preserve">Cross-table wall</t>
  </si>
  <si>
    <t xml:space="preserve">Wall #3</t>
  </si>
  <si>
    <t xml:space="preserve">Chest image reecptor</t>
  </si>
  <si>
    <t xml:space="preserve">Unshielded primary air kerma per patient [K1_p (in mGy/pt) for the indicated workload [Wnorm (mA-min/pt)] and workload distribution, normalized to primary beam distance d_p = 1m</t>
  </si>
  <si>
    <t xml:space="preserve">Workload Distribution</t>
  </si>
  <si>
    <t xml:space="preserve">Wnorm (mA-min/pt)</t>
  </si>
  <si>
    <t xml:space="preserve">K1_p (mGy/pt)</t>
  </si>
  <si>
    <t xml:space="preserve">Unshielded leakage, scattered and total secondary air kermas (in mGy/pt) for the indicated workload distribution at d_s = d_L = 1m</t>
  </si>
  <si>
    <t xml:space="preserve">The workload distributions and total workloads per patient (Wnorm) for the indicated clinical sites are the average per patient surveyed by AAPM TG9 (Simpkin, 1996a)</t>
  </si>
  <si>
    <t xml:space="preserve">The primary field size F (in cm^2) is known at primary distance d_F. Side scattered radiation is calculated for 90 degree scatter.</t>
  </si>
  <si>
    <t xml:space="preserve">Forward and backscattered radiations are calculated for 135 degree scatter.</t>
  </si>
  <si>
    <t xml:space="preserve">Leakage radiation technique factors are 150 kVp at 3.3 mA to achieve 0.876 mGy/h for all tubes except mammography, which assumes leakage radiation technique factors of 50 kVp at 5 mA</t>
  </si>
  <si>
    <t xml:space="preserve">Unshielded Air Kerma (mGy/pt) at 1m</t>
  </si>
  <si>
    <t xml:space="preserve">Wnorm (mAmin/pt)</t>
  </si>
  <si>
    <t xml:space="preserve">F (cm^2)</t>
  </si>
  <si>
    <t xml:space="preserve">d_F (m)</t>
  </si>
  <si>
    <t xml:space="preserve">Side scatter</t>
  </si>
  <si>
    <t xml:space="preserve">Leakage and side scatter</t>
  </si>
  <si>
    <t xml:space="preserve">Forward/Backscatter</t>
  </si>
  <si>
    <t xml:space="preserve">Lekage and forward/back scatter)</t>
  </si>
  <si>
    <t xml:space="preserve">Currently suggested defalut DLP values per procedure.</t>
  </si>
  <si>
    <t xml:space="preserve">For use as a guide in planning shielding in cases where facility-specific DLP values are not available</t>
  </si>
  <si>
    <t xml:space="preserve">Procedure</t>
  </si>
  <si>
    <t xml:space="preserve">CTDIvol (mGy)</t>
  </si>
  <si>
    <t xml:space="preserve">Scan length (cm)</t>
  </si>
  <si>
    <t xml:space="preserve">DLP (mGy-cm)</t>
  </si>
  <si>
    <t xml:space="preserve">Head</t>
  </si>
  <si>
    <t xml:space="preserve">Chest</t>
  </si>
  <si>
    <t xml:space="preserve">Abdomen</t>
  </si>
  <si>
    <t xml:space="preserve">Pelvis</t>
  </si>
  <si>
    <t xml:space="preserve">Body avg</t>
  </si>
  <si>
    <t xml:space="preserve">Fits of transmission for broad primary x-ray beams (for lead, concrete, gypsum wall board, steel, plate glass, and wood) to Equation A.2 (thickness x is input in mm)</t>
  </si>
  <si>
    <t xml:space="preserve">Air kerma at 1m per unit workload (mGy/mA-min)</t>
  </si>
  <si>
    <t xml:space="preserve">Fitting parameters for transmission of broad primary x-ray beams to Equation A.2 (thickness is input in mm)</t>
  </si>
  <si>
    <t xml:space="preserve">Rad Room (all)</t>
  </si>
  <si>
    <t xml:space="preserve">Rad Room (chest bucky)</t>
  </si>
  <si>
    <t xml:space="preserve">Rad Room (floor or other)</t>
  </si>
  <si>
    <t xml:space="preserve">Fluoroscopy tube (RF)</t>
  </si>
  <si>
    <t xml:space="preserve">Chest Room</t>
  </si>
  <si>
    <t xml:space="preserve">Mammo Room</t>
  </si>
  <si>
    <t xml:space="preserve">Cardiac Angiography</t>
  </si>
  <si>
    <t xml:space="preserve">Fits of transmission for broad-beam secondary transmission to Equation A.2 (thickness x is input in millimeters)</t>
  </si>
  <si>
    <r>
      <rPr>
        <b val="true"/>
        <sz val="10"/>
        <rFont val="Times New Roman"/>
        <family val="1"/>
        <charset val="1"/>
      </rPr>
      <t xml:space="preserve">Table 1: Fitted results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,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, and </t>
    </r>
    <r>
      <rPr>
        <b val="true"/>
        <sz val="10"/>
        <rFont val="Symbol"/>
        <family val="1"/>
        <charset val="2"/>
      </rPr>
      <t xml:space="preserve">g</t>
    </r>
    <r>
      <rPr>
        <b val="true"/>
        <sz val="10"/>
        <rFont val="Times New Roman"/>
        <family val="1"/>
        <charset val="1"/>
      </rPr>
      <t xml:space="preserve"> for broad tungsten-anode, silver-filter x-ray beams. Units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 and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 in mm^-1</t>
    </r>
  </si>
  <si>
    <t xml:space="preserve">W/Ag</t>
  </si>
  <si>
    <t xml:space="preserve">Source:</t>
  </si>
  <si>
    <t xml:space="preserve">Li X, Zhang D, Liu B, “Workload and transmission data for the installation of a digital breast tomosynthesis system”, MedPhys 40(6) 063901-1</t>
  </si>
  <si>
    <r>
      <rPr>
        <b val="true"/>
        <sz val="10"/>
        <rFont val="Times New Roman"/>
        <family val="1"/>
        <charset val="1"/>
      </rPr>
      <t xml:space="preserve">Table 1: Fitted results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,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, and </t>
    </r>
    <r>
      <rPr>
        <b val="true"/>
        <sz val="10"/>
        <rFont val="Symbol"/>
        <family val="1"/>
        <charset val="2"/>
      </rPr>
      <t xml:space="preserve">g</t>
    </r>
    <r>
      <rPr>
        <b val="true"/>
        <sz val="10"/>
        <rFont val="Times New Roman"/>
        <family val="1"/>
        <charset val="1"/>
      </rPr>
      <t xml:space="preserve"> for broad tungsten-anode, aluminum-filter x-ray beams. Units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 and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 in mm^-1</t>
    </r>
  </si>
  <si>
    <t xml:space="preserve">W/Al</t>
  </si>
  <si>
    <t xml:space="preserve">Li X, Zhang D, Liu B, “Transmission of broad W/Rh and W/Al (target/filter) x-ray beams operated at 25-29 kVp through common shielding materials”, MedPhys 39(7) 4132</t>
  </si>
  <si>
    <r>
      <rPr>
        <b val="true"/>
        <sz val="10"/>
        <rFont val="Times New Roman"/>
        <family val="1"/>
        <charset val="1"/>
      </rPr>
      <t xml:space="preserve">Table 2: Fitted results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,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, and </t>
    </r>
    <r>
      <rPr>
        <b val="true"/>
        <sz val="10"/>
        <rFont val="Symbol"/>
        <family val="1"/>
        <charset val="2"/>
      </rPr>
      <t xml:space="preserve">g</t>
    </r>
    <r>
      <rPr>
        <b val="true"/>
        <sz val="10"/>
        <rFont val="Times New Roman"/>
        <family val="1"/>
        <charset val="1"/>
      </rPr>
      <t xml:space="preserve"> for broad tungste-anode, rhodium-filter x-ray beams. Units of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 and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 in mm^-1</t>
    </r>
  </si>
  <si>
    <t xml:space="preserve">W/Rh</t>
  </si>
  <si>
    <r>
      <rPr>
        <b val="true"/>
        <sz val="10"/>
        <rFont val="Times New Roman"/>
        <family val="1"/>
        <charset val="1"/>
      </rPr>
      <t xml:space="preserve">Table V: Fitting parameters </t>
    </r>
    <r>
      <rPr>
        <b val="true"/>
        <sz val="10"/>
        <rFont val="Symbol"/>
        <family val="1"/>
        <charset val="2"/>
      </rPr>
      <t xml:space="preserve">a</t>
    </r>
    <r>
      <rPr>
        <b val="true"/>
        <sz val="10"/>
        <rFont val="Times New Roman"/>
        <family val="1"/>
        <charset val="1"/>
      </rPr>
      <t xml:space="preserve">, </t>
    </r>
    <r>
      <rPr>
        <b val="true"/>
        <sz val="10"/>
        <rFont val="Symbol"/>
        <family val="1"/>
        <charset val="2"/>
      </rPr>
      <t xml:space="preserve">b</t>
    </r>
    <r>
      <rPr>
        <b val="true"/>
        <sz val="10"/>
        <rFont val="Times New Roman"/>
        <family val="1"/>
        <charset val="1"/>
      </rPr>
      <t xml:space="preserve">, and </t>
    </r>
    <r>
      <rPr>
        <b val="true"/>
        <sz val="10"/>
        <rFont val="Symbol"/>
        <family val="1"/>
        <charset val="2"/>
      </rPr>
      <t xml:space="preserve">g</t>
    </r>
    <r>
      <rPr>
        <b val="true"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</si>
  <si>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 xml:space="preserve">W/Rh, W/Ag, W/Al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</si>
</sst>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0%"/>
    <numFmt numFmtId="166" formatCode="@"/>
    <numFmt numFmtId="167" formatCode="d\-mmm\-yy"/>
    <numFmt numFmtId="168" formatCode="m/d/yyyy"/>
    <numFmt numFmtId="169" formatCode="0&quot;''&quot;"/>
    <numFmt numFmtId="170" formatCode="0.000000000"/>
    <numFmt numFmtId="171" formatCode="# ##?/##?&quot;''&quot;"/>
    <numFmt numFmtId="172" formatCode="# ???/???&quot; ''&quot;"/>
    <numFmt numFmtId="173" formatCode="0.00000"/>
    <numFmt numFmtId="174" formatCode="#,##0"/>
    <numFmt numFmtId="175" formatCode="0.000"/>
    <numFmt numFmtId="176" formatCode="0.00"/>
    <numFmt numFmtId="177" formatCode="0.00E+00"/>
    <numFmt numFmtId="178" formatCode="0.00000000"/>
    <numFmt numFmtId="179" formatCode="0.0"/>
    <numFmt numFmtId="180" formatCode="0.000E+00"/>
    <numFmt numFmtId="181" formatCode="General"/>
    <numFmt numFmtId="182" formatCode="0"/>
    <numFmt numFmtId="183" formatCode="# ?/?"/>
    <numFmt numFmtId="184" formatCode="# #?/##?&quot;''&quot;"/>
    <numFmt numFmtId="185" formatCode="0.0000"/>
    <numFmt numFmtId="186" formatCode="[$-409]d/mmm/yyyy;@"/>
    <numFmt numFmtId="187" formatCode="# ???/???"/>
  </numFmts>
  <fonts count="26">
    <font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sz val="10"/>
      <name val="Symbol"/>
      <family val="1"/>
      <charset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Symbol"/>
      <family val="1"/>
      <charset val="2"/>
    </font>
    <font>
      <sz val="12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sz val="12"/>
      <name val="Times New Roman"/>
      <family val="1"/>
      <charset val="1"/>
    </font>
    <font>
      <u val="single"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  <fill>
      <patternFill patternType="solid">
        <fgColor rgb="FFFFFF99"/>
        <bgColor rgb="FFFFFFCC"/>
      </patternFill>
    </fill>
  </fills>
  <borders count="4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>
        <color rgb="FF003300"/>
      </bottom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 style="dotted"/>
      <diagonal/>
    </border>
    <border diagonalUp="false" diagonalDown="false">
      <left style="thin"/>
      <right style="double"/>
      <top/>
      <bottom style="dotted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</cellStyleXfs>
  <cellXfs count="350">
    <xf numFmtId="164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true">
      <alignment horizontal="center" vertical="bottom" textRotation="0" wrapText="false" indent="0" shrinkToFit="false"/>
      <protection locked="false" hidden="false"/>
    </xf>
    <xf numFmtId="172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2" borderId="1" xfId="22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3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center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6" fontId="0" fillId="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7" fontId="0" fillId="0" borderId="13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4" fontId="0" fillId="0" borderId="14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3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7" fontId="0" fillId="3" borderId="13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9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80" fontId="0" fillId="0" borderId="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5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14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1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4" borderId="7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7" fontId="0" fillId="0" borderId="18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7" fontId="0" fillId="0" borderId="19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3" fontId="0" fillId="0" borderId="20" xfId="0" applyFont="false" applyBorder="true" applyAlignment="fals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0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4" fontId="0" fillId="0" borderId="11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4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0" fillId="0" borderId="23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6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9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6" fontId="0" fillId="0" borderId="7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85" fontId="0" fillId="0" borderId="12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6" fontId="0" fillId="0" borderId="13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0" fillId="0" borderId="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0" fillId="5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5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3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2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0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5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0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0" fillId="5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5" fontId="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4" fillId="0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81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center" vertical="bottom" textRotation="0" wrapText="false" indent="0" shrinkToFit="false"/>
      <protection locked="true" hidden="false"/>
    </xf>
    <xf numFmtId="164" fontId="4" fillId="0" borderId="2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2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5" fontId="4" fillId="0" borderId="2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79" fontId="0" fillId="2" borderId="14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76" fontId="0" fillId="2" borderId="14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76" fontId="4" fillId="0" borderId="1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81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2" borderId="1" xfId="0" applyFont="true" applyBorder="true" applyAlignment="false" applyProtection="true">
      <alignment horizontal="center" vertical="bottom" textRotation="0" wrapText="false" indent="0" shrinkToFit="false"/>
      <protection locked="false" hidden="false"/>
    </xf>
    <xf numFmtId="176" fontId="4" fillId="0" borderId="4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5" fillId="3" borderId="1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14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5" fillId="7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5" fillId="7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5" fillId="0" borderId="2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0" borderId="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2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2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2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Shield_form" xfId="22"/>
    <cellStyle name="Normal_shieldevaluation" xfId="23"/>
    <cellStyle name="Percent 2" xfId="24"/>
  </cellStyles>
  <dxfs count="1">
    <dxf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</c:v>
                </c:pt>
                <c:pt idx="2">
                  <c:v>5.369</c:v>
                </c:pt>
                <c:pt idx="3">
                  <c:v>2.507</c:v>
                </c:pt>
                <c:pt idx="4">
                  <c:v>2.233</c:v>
                </c:pt>
                <c:pt idx="5">
                  <c:v>1.791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7.888</c:v>
                </c:pt>
                <c:pt idx="5">
                  <c:v>5.478</c:v>
                </c:pt>
              </c:numCache>
            </c:numRef>
          </c:yVal>
          <c:smooth val="1"/>
        </c:ser>
        <c:axId val="89886936"/>
        <c:axId val="37594533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0.356</c:v>
                </c:pt>
                <c:pt idx="1">
                  <c:v>0.2957</c:v>
                </c:pt>
                <c:pt idx="2">
                  <c:v>0.5883</c:v>
                </c:pt>
                <c:pt idx="3">
                  <c:v>0.9124</c:v>
                </c:pt>
                <c:pt idx="4">
                  <c:v>0.7295</c:v>
                </c:pt>
                <c:pt idx="5">
                  <c:v>0.5678</c:v>
                </c:pt>
              </c:numCache>
            </c:numRef>
          </c:yVal>
          <c:smooth val="1"/>
        </c:ser>
        <c:axId val="31101994"/>
        <c:axId val="88909480"/>
      </c:scatterChart>
      <c:valAx>
        <c:axId val="89886936"/>
        <c:scaling>
          <c:orientation val="minMax"/>
          <c:max val="150"/>
          <c:min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kV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94533"/>
        <c:crosses val="autoZero"/>
        <c:crossBetween val="midCat"/>
      </c:valAx>
      <c:valAx>
        <c:axId val="3759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Coefficient (a, 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86936"/>
        <c:crosses val="autoZero"/>
        <c:crossBetween val="midCat"/>
      </c:valAx>
      <c:valAx>
        <c:axId val="311019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09480"/>
        <c:crossBetween val="midCat"/>
      </c:valAx>
      <c:valAx>
        <c:axId val="8890948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Coefficient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01994"/>
        <c:crosses val="max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tif"/><Relationship Id="rId2" Type="http://schemas.openxmlformats.org/officeDocument/2006/relationships/image" Target="../media/image20.t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1.ti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74</xdr:row>
      <xdr:rowOff>95400</xdr:rowOff>
    </xdr:from>
    <xdr:to>
      <xdr:col>3</xdr:col>
      <xdr:colOff>822600</xdr:colOff>
      <xdr:row>77</xdr:row>
      <xdr:rowOff>154440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68200" y="12571200"/>
          <a:ext cx="2026080" cy="5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95400</xdr:rowOff>
    </xdr:from>
    <xdr:to>
      <xdr:col>1</xdr:col>
      <xdr:colOff>675000</xdr:colOff>
      <xdr:row>47</xdr:row>
      <xdr:rowOff>154440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0" y="7542000"/>
          <a:ext cx="1843200" cy="561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29</xdr:row>
      <xdr:rowOff>76320</xdr:rowOff>
    </xdr:from>
    <xdr:to>
      <xdr:col>1</xdr:col>
      <xdr:colOff>650160</xdr:colOff>
      <xdr:row>32</xdr:row>
      <xdr:rowOff>16560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5754960"/>
          <a:ext cx="1769400" cy="534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619200</xdr:colOff>
      <xdr:row>22</xdr:row>
      <xdr:rowOff>9360</xdr:rowOff>
    </xdr:from>
    <xdr:to>
      <xdr:col>11</xdr:col>
      <xdr:colOff>428040</xdr:colOff>
      <xdr:row>38</xdr:row>
      <xdr:rowOff>167040</xdr:rowOff>
    </xdr:to>
    <xdr:graphicFrame>
      <xdr:nvGraphicFramePr>
        <xdr:cNvPr id="3" name="Chart 1"/>
        <xdr:cNvGraphicFramePr/>
      </xdr:nvGraphicFramePr>
      <xdr:xfrm>
        <a:off x="619200" y="3697200"/>
        <a:ext cx="707112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14" min="11" style="0" width="12.33"/>
    <col collapsed="false" customWidth="true" hidden="false" outlineLevel="0" max="29" min="16" style="1" width="9.33"/>
    <col collapsed="false" customWidth="true" hidden="false" outlineLevel="0" max="30" min="30" style="0" width="14.33"/>
    <col collapsed="false" customWidth="true" hidden="false" outlineLevel="0" max="31" min="31" style="0" width="14"/>
    <col collapsed="false" customWidth="true" hidden="false" outlineLevel="0" max="32" min="32" style="0" width="10.66"/>
    <col collapsed="false" customWidth="true" hidden="false" outlineLevel="0" max="33" min="33" style="0" width="10.43"/>
    <col collapsed="false" customWidth="true" hidden="false" outlineLevel="0" max="35" min="35" style="0" width="13"/>
    <col collapsed="false" customWidth="true" hidden="false" outlineLevel="0" max="36" min="36" style="0" width="13.66"/>
    <col collapsed="false" customWidth="true" hidden="false" outlineLevel="0" max="47" min="47" style="0" width="5.78"/>
  </cols>
  <sheetData>
    <row r="1" customFormat="false" ht="15.6" hidden="false" customHeight="false" outlineLevel="0" collapsed="false">
      <c r="B1" s="2"/>
      <c r="C1" s="2"/>
      <c r="D1" s="3"/>
      <c r="E1" s="2"/>
      <c r="F1" s="2"/>
      <c r="G1" s="4" t="s">
        <v>0</v>
      </c>
      <c r="I1" s="2"/>
      <c r="J1" s="2"/>
      <c r="K1" s="2"/>
      <c r="L1" s="2"/>
      <c r="M1" s="2"/>
      <c r="N1" s="2"/>
      <c r="O1" s="1"/>
      <c r="P1" s="5" t="s">
        <v>1</v>
      </c>
    </row>
    <row r="2" customFormat="false" ht="13.2" hidden="false" customHeight="false" outlineLevel="0" collapsed="false">
      <c r="O2" s="1"/>
    </row>
    <row r="3" customFormat="false" ht="13.2" hidden="false" customHeight="false" outlineLevel="0" collapsed="false">
      <c r="A3" s="6" t="s">
        <v>2</v>
      </c>
      <c r="B3" s="7"/>
      <c r="C3" s="8"/>
      <c r="D3" s="9"/>
      <c r="E3" s="9"/>
      <c r="F3" s="9"/>
      <c r="G3" s="9"/>
      <c r="H3" s="9"/>
      <c r="I3" s="9"/>
      <c r="J3" s="10"/>
      <c r="O3" s="11" t="s">
        <v>3</v>
      </c>
      <c r="P3" s="12" t="s">
        <v>4</v>
      </c>
    </row>
    <row r="4" customFormat="false" ht="13.2" hidden="false" customHeight="false" outlineLevel="0" collapsed="false">
      <c r="A4" s="13"/>
      <c r="B4" s="2"/>
      <c r="C4" s="2"/>
      <c r="D4" s="2"/>
      <c r="E4" s="2"/>
      <c r="F4" s="2"/>
      <c r="G4" s="2"/>
      <c r="H4" s="2"/>
      <c r="I4" s="2"/>
      <c r="J4" s="2"/>
      <c r="O4" s="11" t="s">
        <v>5</v>
      </c>
      <c r="P4" s="12" t="s">
        <v>6</v>
      </c>
      <c r="AG4" s="0" t="s">
        <v>7</v>
      </c>
    </row>
    <row r="5" customFormat="false" ht="13.8" hidden="false" customHeight="false" outlineLevel="0" collapsed="false">
      <c r="A5" s="14" t="s">
        <v>8</v>
      </c>
      <c r="B5" s="15"/>
      <c r="C5" s="15"/>
      <c r="D5" s="16"/>
      <c r="E5" s="16"/>
      <c r="G5" s="17" t="s">
        <v>9</v>
      </c>
      <c r="H5" s="18" t="s">
        <v>10</v>
      </c>
      <c r="I5" s="19"/>
      <c r="J5" s="20"/>
      <c r="K5" s="21"/>
      <c r="L5" s="21"/>
      <c r="O5" s="11" t="s">
        <v>11</v>
      </c>
      <c r="P5" s="12" t="s">
        <v>12</v>
      </c>
      <c r="AE5" s="22" t="s">
        <v>13</v>
      </c>
      <c r="AF5" s="22" t="s">
        <v>14</v>
      </c>
      <c r="AG5" s="22" t="s">
        <v>15</v>
      </c>
    </row>
    <row r="6" customFormat="false" ht="13.2" hidden="false" customHeight="false" outlineLevel="0" collapsed="false">
      <c r="A6" s="14"/>
      <c r="B6" s="23"/>
      <c r="C6" s="23"/>
      <c r="D6" s="24"/>
      <c r="E6" s="24"/>
      <c r="F6" s="25"/>
      <c r="G6" s="26"/>
      <c r="H6" s="27"/>
      <c r="I6" s="28"/>
      <c r="J6" s="29"/>
      <c r="K6" s="21"/>
      <c r="L6" s="21"/>
      <c r="O6" s="11" t="s">
        <v>16</v>
      </c>
      <c r="P6" s="12" t="s">
        <v>17</v>
      </c>
      <c r="AE6" s="0" t="n">
        <v>-25.4</v>
      </c>
      <c r="AF6" s="0" t="n">
        <v>-1</v>
      </c>
      <c r="AG6" s="30" t="s">
        <v>18</v>
      </c>
    </row>
    <row r="7" customFormat="false" ht="13.2" hidden="false" customHeight="fals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O7" s="11" t="s">
        <v>19</v>
      </c>
      <c r="P7" s="12" t="s">
        <v>20</v>
      </c>
      <c r="AD7" s="31"/>
      <c r="AE7" s="0" t="n">
        <v>0</v>
      </c>
      <c r="AF7" s="0" t="n">
        <v>0</v>
      </c>
      <c r="AG7" s="32" t="s">
        <v>21</v>
      </c>
      <c r="AJ7" s="31"/>
    </row>
    <row r="8" customFormat="false" ht="13.2" hidden="false" customHeight="false" outlineLevel="0" collapsed="false">
      <c r="C8" s="6" t="s">
        <v>22</v>
      </c>
      <c r="D8" s="33"/>
      <c r="O8" s="11" t="s">
        <v>23</v>
      </c>
      <c r="P8" s="12" t="s">
        <v>24</v>
      </c>
      <c r="AD8" s="31"/>
      <c r="AE8" s="31" t="n">
        <v>0.099218751</v>
      </c>
      <c r="AF8" s="34" t="n">
        <v>0.00390625</v>
      </c>
      <c r="AG8" s="32" t="n">
        <v>0.0078125</v>
      </c>
      <c r="AH8" s="35"/>
      <c r="AI8" s="31"/>
      <c r="AJ8" s="31"/>
    </row>
    <row r="9" customFormat="false" ht="13.2" hidden="false" customHeight="false" outlineLevel="0" collapsed="false">
      <c r="C9" s="6" t="s">
        <v>25</v>
      </c>
      <c r="D9" s="33"/>
      <c r="G9" s="6" t="s">
        <v>26</v>
      </c>
      <c r="H9" s="36"/>
      <c r="I9" s="37"/>
      <c r="O9" s="11" t="s">
        <v>27</v>
      </c>
      <c r="P9" s="12" t="s">
        <v>28</v>
      </c>
      <c r="AD9" s="31"/>
      <c r="AE9" s="31" t="n">
        <v>0.198437501</v>
      </c>
      <c r="AF9" s="34" t="n">
        <v>0.0078125</v>
      </c>
      <c r="AG9" s="32" t="n">
        <v>0.015625</v>
      </c>
      <c r="AH9" s="35"/>
      <c r="AI9" s="31"/>
      <c r="AJ9" s="31"/>
    </row>
    <row r="10" customFormat="false" ht="13.2" hidden="false" customHeight="false" outlineLevel="0" collapsed="false">
      <c r="C10" s="6" t="s">
        <v>29</v>
      </c>
      <c r="D10" s="33"/>
      <c r="G10" s="6" t="s">
        <v>30</v>
      </c>
      <c r="H10" s="36"/>
      <c r="I10" s="37"/>
      <c r="O10" s="11" t="s">
        <v>31</v>
      </c>
      <c r="P10" s="12" t="s">
        <v>32</v>
      </c>
      <c r="AD10" s="31"/>
      <c r="AE10" s="31" t="n">
        <v>0.396875001</v>
      </c>
      <c r="AF10" s="34" t="n">
        <v>0.015625</v>
      </c>
      <c r="AG10" s="32" t="n">
        <v>0.03125</v>
      </c>
      <c r="AH10" s="35"/>
      <c r="AI10" s="31"/>
      <c r="AJ10" s="31"/>
    </row>
    <row r="11" customFormat="false" ht="13.8" hidden="false" customHeight="false" outlineLevel="0" collapsed="false">
      <c r="C11" s="6" t="s">
        <v>33</v>
      </c>
      <c r="D11" s="38" t="str">
        <f aca="false">IF(AND(D8="",D9="",D10=""),"",ROUND(D8*D9*D10/60,0))</f>
        <v/>
      </c>
      <c r="AD11" s="31"/>
      <c r="AE11" s="31" t="n">
        <v>0.595312501</v>
      </c>
      <c r="AF11" s="34" t="n">
        <v>0.0234375</v>
      </c>
      <c r="AG11" s="32" t="n">
        <v>0.03125</v>
      </c>
      <c r="AH11" s="35"/>
      <c r="AI11" s="31"/>
      <c r="AJ11" s="31"/>
    </row>
    <row r="12" customFormat="false" ht="13.8" hidden="false" customHeight="false" outlineLevel="0" collapsed="false">
      <c r="D12" s="6"/>
      <c r="E12" s="39"/>
      <c r="F12" s="40"/>
      <c r="G12" s="41"/>
      <c r="H12" s="6"/>
      <c r="I12" s="6"/>
      <c r="J12" s="42"/>
      <c r="V12" s="43"/>
      <c r="W12" s="44"/>
      <c r="X12" s="45" t="s">
        <v>34</v>
      </c>
      <c r="Y12" s="45"/>
      <c r="Z12" s="45"/>
      <c r="AA12" s="45"/>
      <c r="AB12" s="46"/>
      <c r="AD12" s="31"/>
      <c r="AE12" s="31" t="n">
        <v>0.793750001</v>
      </c>
      <c r="AF12" s="34" t="n">
        <v>0.03125</v>
      </c>
      <c r="AG12" s="32" t="n">
        <v>0.03125</v>
      </c>
      <c r="AH12" s="35"/>
      <c r="AI12" s="31"/>
      <c r="AJ12" s="31"/>
    </row>
    <row r="13" customFormat="false" ht="13.2" hidden="false" customHeight="false" outlineLevel="0" collapsed="false">
      <c r="C13" s="40" t="s">
        <v>35</v>
      </c>
      <c r="D13" s="47"/>
      <c r="E13" s="48" t="s">
        <v>36</v>
      </c>
      <c r="F13" s="40"/>
      <c r="G13" s="41"/>
      <c r="H13" s="6"/>
      <c r="I13" s="6"/>
      <c r="J13" s="42"/>
      <c r="V13" s="49"/>
      <c r="W13" s="50"/>
      <c r="X13" s="29" t="s">
        <v>37</v>
      </c>
      <c r="Y13" s="29"/>
      <c r="Z13" s="29"/>
      <c r="AA13" s="29"/>
      <c r="AB13" s="51"/>
      <c r="AD13" s="31"/>
      <c r="AE13" s="31" t="n">
        <v>0.992187501</v>
      </c>
      <c r="AF13" s="34" t="n">
        <v>0.0390625</v>
      </c>
      <c r="AG13" s="32" t="n">
        <v>0.0625</v>
      </c>
      <c r="AH13" s="35"/>
      <c r="AI13" s="31"/>
      <c r="AJ13" s="31"/>
    </row>
    <row r="14" customFormat="false" ht="13.2" hidden="false" customHeight="false" outlineLevel="0" collapsed="false">
      <c r="C14" s="40"/>
      <c r="D14" s="52"/>
      <c r="E14" s="48"/>
      <c r="F14" s="40"/>
      <c r="G14" s="41"/>
      <c r="H14" s="6"/>
      <c r="I14" s="6"/>
      <c r="J14" s="42"/>
      <c r="V14" s="53" t="s">
        <v>38</v>
      </c>
      <c r="W14" s="54" t="n">
        <v>30</v>
      </c>
      <c r="X14" s="54" t="n">
        <v>45</v>
      </c>
      <c r="Y14" s="54" t="n">
        <v>60</v>
      </c>
      <c r="Z14" s="54" t="n">
        <v>90</v>
      </c>
      <c r="AA14" s="54" t="n">
        <v>120</v>
      </c>
      <c r="AB14" s="55" t="n">
        <v>135</v>
      </c>
      <c r="AD14" s="31"/>
      <c r="AE14" s="31" t="n">
        <v>1.190625001</v>
      </c>
      <c r="AF14" s="34" t="n">
        <v>0.046875</v>
      </c>
      <c r="AG14" s="32" t="n">
        <v>0.0625</v>
      </c>
      <c r="AH14" s="35"/>
      <c r="AI14" s="31"/>
      <c r="AJ14" s="31"/>
    </row>
    <row r="15" customFormat="false" ht="13.2" hidden="false" customHeight="false" outlineLevel="0" collapsed="false">
      <c r="A15" s="56" t="s">
        <v>39</v>
      </c>
      <c r="V15" s="49"/>
      <c r="W15" s="57"/>
      <c r="X15" s="57"/>
      <c r="Y15" s="57"/>
      <c r="Z15" s="57"/>
      <c r="AA15" s="57"/>
      <c r="AB15" s="58"/>
      <c r="AD15" s="31"/>
      <c r="AE15" s="31" t="n">
        <v>1.389062501</v>
      </c>
      <c r="AF15" s="34" t="n">
        <v>0.0546875</v>
      </c>
      <c r="AG15" s="32" t="n">
        <v>0.0625</v>
      </c>
      <c r="AH15" s="35"/>
      <c r="AI15" s="31"/>
      <c r="AJ15" s="31"/>
    </row>
    <row r="16" customFormat="false" ht="13.2" hidden="false" customHeight="false" outlineLevel="0" collapsed="false">
      <c r="A16" s="8" t="s">
        <v>40</v>
      </c>
      <c r="B16" s="59" t="s">
        <v>41</v>
      </c>
      <c r="C16" s="59" t="s">
        <v>42</v>
      </c>
      <c r="D16" s="59" t="s">
        <v>43</v>
      </c>
      <c r="E16" s="54" t="s">
        <v>44</v>
      </c>
      <c r="F16" s="54" t="s">
        <v>45</v>
      </c>
      <c r="G16" s="54" t="s">
        <v>46</v>
      </c>
      <c r="K16" s="14" t="s">
        <v>47</v>
      </c>
      <c r="L16" s="60" t="n">
        <f aca="false">(12*2.54)/100</f>
        <v>0.3048</v>
      </c>
      <c r="M16" s="61" t="s">
        <v>48</v>
      </c>
      <c r="V16" s="49" t="n">
        <v>30</v>
      </c>
      <c r="W16" s="57"/>
      <c r="X16" s="57"/>
      <c r="Y16" s="57"/>
      <c r="Z16" s="57"/>
      <c r="AA16" s="57"/>
      <c r="AB16" s="58"/>
      <c r="AD16" s="31"/>
      <c r="AE16" s="31" t="n">
        <v>1.587500001</v>
      </c>
      <c r="AF16" s="34" t="n">
        <v>0.0625</v>
      </c>
      <c r="AG16" s="32" t="n">
        <v>0.0625</v>
      </c>
      <c r="AH16" s="35"/>
      <c r="AI16" s="31"/>
      <c r="AJ16" s="31"/>
    </row>
    <row r="17" customFormat="false" ht="13.2" hidden="false" customHeight="false" outlineLevel="0" collapsed="false">
      <c r="A17" s="62" t="s">
        <v>49</v>
      </c>
      <c r="B17" s="63" t="str">
        <f aca="false">IF($D$13="","",VLOOKUP($D$13,$O$46:$AT$71,2))</f>
        <v/>
      </c>
      <c r="C17" s="63" t="str">
        <f aca="false">IF($D$13="","",VLOOKUP($D$13,$O$46:$AT$71,3))</f>
        <v/>
      </c>
      <c r="D17" s="63" t="str">
        <f aca="false">IF($D$13="","",VLOOKUP($D$13,$O$46:$AT$71,4))</f>
        <v/>
      </c>
      <c r="E17" s="63" t="str">
        <f aca="false">IF($D$13="","",VLOOKUP($D$13,$O$46:$AT$71,32))</f>
        <v/>
      </c>
      <c r="F17" s="63" t="str">
        <f aca="false">IF($D$13="","",VLOOKUP($D$13,$O$46:$AT$71,5))</f>
        <v/>
      </c>
      <c r="G17" s="63" t="str">
        <f aca="false">IF($D$13="","",VLOOKUP($D$13,$O$46:$AT$71,6))</f>
        <v/>
      </c>
      <c r="K17" s="6" t="s">
        <v>50</v>
      </c>
      <c r="L17" s="0" t="n">
        <f aca="false">1/16</f>
        <v>0.0625</v>
      </c>
      <c r="V17" s="49" t="n">
        <v>35</v>
      </c>
      <c r="W17" s="57"/>
      <c r="X17" s="57"/>
      <c r="Y17" s="57"/>
      <c r="Z17" s="57"/>
      <c r="AA17" s="57"/>
      <c r="AB17" s="58"/>
      <c r="AD17" s="31"/>
      <c r="AE17" s="31" t="n">
        <v>1.785937501</v>
      </c>
      <c r="AF17" s="34" t="n">
        <v>0.0703125</v>
      </c>
      <c r="AG17" s="32" t="n">
        <v>0.09375</v>
      </c>
      <c r="AH17" s="35"/>
      <c r="AI17" s="31"/>
      <c r="AJ17" s="31"/>
    </row>
    <row r="18" customFormat="false" ht="13.2" hidden="false" customHeight="false" outlineLevel="0" collapsed="false">
      <c r="A18" s="62" t="s">
        <v>51</v>
      </c>
      <c r="B18" s="63" t="str">
        <f aca="false">IF($D$13="","",VLOOKUP($D$13,$O$46:$AT$71,7))</f>
        <v/>
      </c>
      <c r="C18" s="63" t="str">
        <f aca="false">IF($D$13="","",VLOOKUP($D$13,$O$46:$AT$71,8))</f>
        <v/>
      </c>
      <c r="D18" s="63" t="str">
        <f aca="false">IF($D$13="","",VLOOKUP($D$13,$O$46:$AT$71,9))</f>
        <v/>
      </c>
      <c r="E18" s="63" t="str">
        <f aca="false">IF($D$13="","",VLOOKUP($D$13,$O$46:$AT$71,32))</f>
        <v/>
      </c>
      <c r="F18" s="63" t="str">
        <f aca="false">IF($D$13="","",VLOOKUP($D$13,$O$46:$AT$71,10))</f>
        <v/>
      </c>
      <c r="G18" s="63" t="str">
        <f aca="false">IF($D$13="","",VLOOKUP($D$13,$O$46:$AT$71,11))</f>
        <v/>
      </c>
      <c r="K18" s="6" t="s">
        <v>52</v>
      </c>
      <c r="L18" s="0" t="n">
        <f aca="false">1/8</f>
        <v>0.125</v>
      </c>
      <c r="V18" s="49" t="n">
        <v>50</v>
      </c>
      <c r="W18" s="64" t="n">
        <v>0.0005</v>
      </c>
      <c r="X18" s="64" t="n">
        <v>0.0002</v>
      </c>
      <c r="Y18" s="64" t="n">
        <v>0.00025</v>
      </c>
      <c r="Z18" s="64" t="n">
        <v>0.00035</v>
      </c>
      <c r="AA18" s="64" t="n">
        <v>0.0008</v>
      </c>
      <c r="AB18" s="65" t="n">
        <v>0.001</v>
      </c>
      <c r="AD18" s="31"/>
      <c r="AE18" s="31" t="n">
        <v>1.984375001</v>
      </c>
      <c r="AF18" s="34" t="n">
        <v>0.078125</v>
      </c>
      <c r="AG18" s="32" t="n">
        <v>0.09375</v>
      </c>
      <c r="AH18" s="35"/>
      <c r="AI18" s="31"/>
      <c r="AJ18" s="31"/>
    </row>
    <row r="19" customFormat="false" ht="13.2" hidden="false" customHeight="false" outlineLevel="0" collapsed="false">
      <c r="A19" s="66" t="s">
        <v>53</v>
      </c>
      <c r="B19" s="63" t="str">
        <f aca="false">IF($D$13="","",VLOOKUP($D$13,$O$46:$AT$71,12))</f>
        <v/>
      </c>
      <c r="C19" s="63" t="str">
        <f aca="false">IF($D$13="","",VLOOKUP($D$13,$O$46:$AT$71,13))</f>
        <v/>
      </c>
      <c r="D19" s="63" t="str">
        <f aca="false">IF($D$13="","",VLOOKUP($D$13,$O$46:$AT$71,14))</f>
        <v/>
      </c>
      <c r="E19" s="63" t="str">
        <f aca="false">IF($D$13="","",VLOOKUP($D$13,$O$46:$AT$71,32))</f>
        <v/>
      </c>
      <c r="F19" s="63" t="str">
        <f aca="false">IF($D$13="","",VLOOKUP($D$13,$O$46:$AT$71,15))</f>
        <v/>
      </c>
      <c r="G19" s="63" t="str">
        <f aca="false">IF($D$13="","",VLOOKUP($D$13,$O$46:$AT$71,16))</f>
        <v/>
      </c>
      <c r="I19" s="67" t="s">
        <v>54</v>
      </c>
      <c r="V19" s="49" t="n">
        <v>55</v>
      </c>
      <c r="W19" s="68" t="n">
        <f aca="false">((($V19-$V$18)/($V$22-$V$18))*(W$22-W$18))+W$18</f>
        <v>0.0005375</v>
      </c>
      <c r="X19" s="68" t="n">
        <f aca="false">((($V19-$V$18)/($V$22-$V$18))*(X$22-X$18))+X$18</f>
        <v>0.0002375</v>
      </c>
      <c r="Y19" s="68" t="n">
        <f aca="false">((($V19-$V$18)/($V$22-$V$18))*(Y$22-Y$18))+Y$18</f>
        <v>0.000275</v>
      </c>
      <c r="Z19" s="68" t="n">
        <f aca="false">((($V19-$V$18)/($V$22-$V$18))*(Z$22-Z$18))+Z$18</f>
        <v>0.0003875</v>
      </c>
      <c r="AA19" s="68" t="n">
        <f aca="false">((($V19-$V$18)/($V$22-$V$18))*(AA$22-AA$18))+AA$18</f>
        <v>0.00085</v>
      </c>
      <c r="AB19" s="69" t="n">
        <f aca="false">((($V19-$V$18)/($V$22-$V$18))*(AB$22-AB$18))+AB$18</f>
        <v>0.001075</v>
      </c>
      <c r="AD19" s="31"/>
      <c r="AE19" s="31" t="n">
        <v>2.182812501</v>
      </c>
      <c r="AF19" s="34" t="n">
        <v>0.0859375</v>
      </c>
      <c r="AG19" s="32" t="n">
        <v>0.09375</v>
      </c>
      <c r="AH19" s="35"/>
      <c r="AI19" s="70"/>
      <c r="AJ19" s="31"/>
    </row>
    <row r="20" customFormat="false" ht="13.8" hidden="false" customHeight="false" outlineLevel="0" collapsed="false">
      <c r="A20" s="66" t="s">
        <v>55</v>
      </c>
      <c r="B20" s="63" t="str">
        <f aca="false">IF($D$13="","",VLOOKUP($D$13,$O$46:$AT$71,17))</f>
        <v/>
      </c>
      <c r="C20" s="63" t="str">
        <f aca="false">IF($D$13="","",VLOOKUP($D$13,$O$46:$AT$71,18))</f>
        <v/>
      </c>
      <c r="D20" s="63" t="str">
        <f aca="false">IF($D$13="","",VLOOKUP($D$13,$O$46:$AT$71,19))</f>
        <v/>
      </c>
      <c r="E20" s="63" t="str">
        <f aca="false">IF($D$13="","",VLOOKUP($D$13,$O$46:$AT$71,32))</f>
        <v/>
      </c>
      <c r="F20" s="63" t="str">
        <f aca="false">IF($D$13="","",VLOOKUP($D$13,$O$46:$AT$71,20))</f>
        <v/>
      </c>
      <c r="G20" s="63" t="str">
        <f aca="false">IF($D$13="","",VLOOKUP($D$13,$O$46:$AT$71,21))</f>
        <v/>
      </c>
      <c r="I20" s="22" t="s">
        <v>56</v>
      </c>
      <c r="J20" s="22" t="s">
        <v>57</v>
      </c>
      <c r="K20" s="22" t="s">
        <v>57</v>
      </c>
      <c r="L20" s="22" t="s">
        <v>56</v>
      </c>
      <c r="V20" s="49" t="n">
        <v>60</v>
      </c>
      <c r="W20" s="68" t="n">
        <f aca="false">((($V20-$V$18)/($V$22-$V$18))*(W$22-W$18))+W$18</f>
        <v>0.000575</v>
      </c>
      <c r="X20" s="68" t="n">
        <f aca="false">((($V20-$V$18)/($V$22-$V$18))*(X$22-X$18))+X$18</f>
        <v>0.000275</v>
      </c>
      <c r="Y20" s="68" t="n">
        <f aca="false">((($V20-$V$18)/($V$22-$V$18))*(Y$22-Y$18))+Y$18</f>
        <v>0.0003</v>
      </c>
      <c r="Z20" s="68" t="n">
        <f aca="false">((($V20-$V$18)/($V$22-$V$18))*(Z$22-Z$18))+Z$18</f>
        <v>0.000425</v>
      </c>
      <c r="AA20" s="68" t="n">
        <f aca="false">((($V20-$V$18)/($V$22-$V$18))*(AA$22-AA$18))+AA$18</f>
        <v>0.0009</v>
      </c>
      <c r="AB20" s="69" t="n">
        <f aca="false">((($V20-$V$18)/($V$22-$V$18))*(AB$22-AB$18))+AB$18</f>
        <v>0.00115</v>
      </c>
      <c r="AD20" s="31"/>
      <c r="AE20" s="31" t="n">
        <v>2.381250001</v>
      </c>
      <c r="AF20" s="34" t="n">
        <v>0.09375</v>
      </c>
      <c r="AG20" s="32" t="n">
        <v>0.09375</v>
      </c>
      <c r="AH20" s="35"/>
      <c r="AI20" s="70"/>
      <c r="AJ20" s="31"/>
    </row>
    <row r="21" customFormat="false" ht="13.2" hidden="false" customHeight="false" outlineLevel="0" collapsed="false">
      <c r="A21" s="66" t="s">
        <v>58</v>
      </c>
      <c r="B21" s="63" t="str">
        <f aca="false">IF($D$13="","",VLOOKUP($D$13,$O$46:$AT$71,22))</f>
        <v/>
      </c>
      <c r="C21" s="63" t="str">
        <f aca="false">IF($D$13="","",VLOOKUP($D$13,$O$46:$AT$71,23))</f>
        <v/>
      </c>
      <c r="D21" s="63" t="str">
        <f aca="false">IF($D$13="","",VLOOKUP($D$13,$O$46:$AT$71,24))</f>
        <v/>
      </c>
      <c r="E21" s="63" t="str">
        <f aca="false">IF($D$13="","",VLOOKUP($D$13,$O$46:$AT$71,32))</f>
        <v/>
      </c>
      <c r="F21" s="63" t="str">
        <f aca="false">IF($D$13="","",VLOOKUP($D$13,$O$46:$AT$71,25))</f>
        <v/>
      </c>
      <c r="G21" s="63" t="str">
        <f aca="false">IF($D$13="","",VLOOKUP($D$13,$O$46:$AT$71,26))</f>
        <v/>
      </c>
      <c r="I21" s="71"/>
      <c r="J21" s="72" t="n">
        <f aca="false">I21*12*0.0254</f>
        <v>0</v>
      </c>
      <c r="K21" s="71"/>
      <c r="L21" s="72" t="n">
        <f aca="false">K21*100/2.54/12</f>
        <v>0</v>
      </c>
      <c r="V21" s="49" t="n">
        <v>65</v>
      </c>
      <c r="W21" s="68" t="n">
        <f aca="false">((($V21-$V$18)/($V$22-$V$18))*(W$22-W$18))+W$18</f>
        <v>0.0006125</v>
      </c>
      <c r="X21" s="68" t="n">
        <f aca="false">((($V21-$V$18)/($V$22-$V$18))*(X$22-X$18))+X$18</f>
        <v>0.0003125</v>
      </c>
      <c r="Y21" s="68" t="n">
        <f aca="false">((($V21-$V$18)/($V$22-$V$18))*(Y$22-Y$18))+Y$18</f>
        <v>0.000325</v>
      </c>
      <c r="Z21" s="68" t="n">
        <f aca="false">((($V21-$V$18)/($V$22-$V$18))*(Z$22-Z$18))+Z$18</f>
        <v>0.0004625</v>
      </c>
      <c r="AA21" s="68" t="n">
        <f aca="false">((($V21-$V$18)/($V$22-$V$18))*(AA$22-AA$18))+AA$18</f>
        <v>0.00095</v>
      </c>
      <c r="AB21" s="69" t="n">
        <f aca="false">((($V21-$V$18)/($V$22-$V$18))*(AB$22-AB$18))+AB$18</f>
        <v>0.001225</v>
      </c>
      <c r="AD21" s="31"/>
      <c r="AE21" s="31" t="n">
        <v>2.579687501</v>
      </c>
      <c r="AF21" s="34" t="n">
        <v>0.1015625</v>
      </c>
      <c r="AG21" s="32" t="n">
        <v>0.125</v>
      </c>
      <c r="AH21" s="35"/>
      <c r="AI21" s="70"/>
      <c r="AJ21" s="31"/>
    </row>
    <row r="22" customFormat="false" ht="13.8" hidden="false" customHeight="false" outlineLevel="0" collapsed="false">
      <c r="A22" s="66" t="s">
        <v>59</v>
      </c>
      <c r="B22" s="63" t="str">
        <f aca="false">IF($D$13="","",VLOOKUP($D$13,$O$46:$AT$71,27))</f>
        <v/>
      </c>
      <c r="C22" s="63" t="str">
        <f aca="false">IF($D$13="","",VLOOKUP($D$13,$O$46:$AT$71,28))</f>
        <v/>
      </c>
      <c r="D22" s="63" t="str">
        <f aca="false">IF($D$13="","",VLOOKUP($D$13,$O$46:$AT$71,29))</f>
        <v/>
      </c>
      <c r="E22" s="63" t="str">
        <f aca="false">IF($D$13="","",VLOOKUP($D$13,$O$46:$AT$71,32))</f>
        <v/>
      </c>
      <c r="F22" s="63" t="str">
        <f aca="false">IF($D$13="","",VLOOKUP($D$13,$O$46:$AT$71,30))</f>
        <v/>
      </c>
      <c r="G22" s="63" t="str">
        <f aca="false">IF($D$13="","",VLOOKUP($D$13,$O$46:$AT$71,31))</f>
        <v/>
      </c>
      <c r="I22" s="22" t="s">
        <v>14</v>
      </c>
      <c r="J22" s="22" t="s">
        <v>13</v>
      </c>
      <c r="K22" s="73" t="s">
        <v>13</v>
      </c>
      <c r="L22" s="73" t="s">
        <v>14</v>
      </c>
      <c r="M22" s="74"/>
      <c r="V22" s="49" t="n">
        <v>70</v>
      </c>
      <c r="W22" s="64" t="n">
        <v>0.00065</v>
      </c>
      <c r="X22" s="64" t="n">
        <v>0.00035</v>
      </c>
      <c r="Y22" s="64" t="n">
        <v>0.00035</v>
      </c>
      <c r="Z22" s="64" t="n">
        <v>0.0005</v>
      </c>
      <c r="AA22" s="64" t="n">
        <v>0.001</v>
      </c>
      <c r="AB22" s="65" t="n">
        <v>0.0013</v>
      </c>
      <c r="AD22" s="31"/>
      <c r="AE22" s="31" t="n">
        <v>2.778125001</v>
      </c>
      <c r="AF22" s="34" t="n">
        <v>0.109375</v>
      </c>
      <c r="AG22" s="32" t="n">
        <v>0.125</v>
      </c>
      <c r="AH22" s="35"/>
      <c r="AI22" s="70"/>
      <c r="AJ22" s="31"/>
    </row>
    <row r="23" customFormat="false" ht="13.2" hidden="false" customHeight="false" outlineLevel="0" collapsed="false">
      <c r="I23" s="75"/>
      <c r="J23" s="72" t="n">
        <f aca="false">I23*25.4</f>
        <v>0</v>
      </c>
      <c r="K23" s="75"/>
      <c r="L23" s="72" t="n">
        <f aca="false">K23/25.4</f>
        <v>0</v>
      </c>
      <c r="P23" s="1" t="s">
        <v>60</v>
      </c>
      <c r="V23" s="49" t="n">
        <v>75</v>
      </c>
      <c r="W23" s="68" t="n">
        <f aca="false">((($V23-$V$22)/($V$28-$V$22))*(W$28-W$22))+W$22</f>
        <v>0.000791666666666667</v>
      </c>
      <c r="X23" s="68" t="n">
        <f aca="false">((($V23-$V$22)/($V$28-$V$22))*(X$28-X$22))+X$22</f>
        <v>0.000491666666666667</v>
      </c>
      <c r="Y23" s="68" t="n">
        <f aca="false">((($V23-$V$22)/($V$28-$V$22))*(Y$28-Y$22))+Y$22</f>
        <v>0.000491666666666667</v>
      </c>
      <c r="Z23" s="68" t="n">
        <f aca="false">((($V23-$V$22)/($V$28-$V$22))*(Z$28-Z$22))+Z$22</f>
        <v>0.000633333333333333</v>
      </c>
      <c r="AA23" s="68" t="n">
        <f aca="false">((($V23-$V$22)/($V$28-$V$22))*(AA$28-AA$22))+AA$22</f>
        <v>0.00116666666666667</v>
      </c>
      <c r="AB23" s="69" t="n">
        <f aca="false">((($V23-$V$22)/($V$28-$V$22))*(AB$28-AB$22))+AB$22</f>
        <v>0.00145</v>
      </c>
      <c r="AD23" s="31"/>
      <c r="AE23" s="31" t="n">
        <v>2.976562501</v>
      </c>
      <c r="AF23" s="34" t="n">
        <v>0.1171875</v>
      </c>
      <c r="AG23" s="32" t="n">
        <v>0.125</v>
      </c>
      <c r="AH23" s="35"/>
      <c r="AI23" s="70"/>
      <c r="AJ23" s="31"/>
    </row>
    <row r="24" customFormat="false" ht="13.2" hidden="false" customHeight="false" outlineLevel="0" collapsed="false">
      <c r="A24" s="21"/>
      <c r="B24" s="76" t="s">
        <v>61</v>
      </c>
      <c r="C24" s="76"/>
      <c r="D24" s="76"/>
      <c r="E24" s="76"/>
      <c r="F24" s="50"/>
      <c r="G24" s="50"/>
      <c r="H24" s="50"/>
      <c r="I24" s="57" t="s">
        <v>62</v>
      </c>
      <c r="J24" s="21"/>
      <c r="K24" s="57" t="s">
        <v>63</v>
      </c>
      <c r="L24" s="57" t="s">
        <v>64</v>
      </c>
      <c r="M24" s="57" t="s">
        <v>65</v>
      </c>
      <c r="N24" s="57"/>
      <c r="O24" s="57" t="s">
        <v>66</v>
      </c>
      <c r="P24" s="57" t="s">
        <v>66</v>
      </c>
      <c r="Q24" s="57" t="s">
        <v>67</v>
      </c>
      <c r="V24" s="49" t="n">
        <v>80</v>
      </c>
      <c r="W24" s="68" t="n">
        <f aca="false">((($V24-$V$22)/($V$28-$V$22))*(W$28-W$22))+W$22</f>
        <v>0.000933333333333333</v>
      </c>
      <c r="X24" s="68" t="n">
        <f aca="false">((($V24-$V$22)/($V$28-$V$22))*(X$28-X$22))+X$22</f>
        <v>0.000633333333333333</v>
      </c>
      <c r="Y24" s="68" t="n">
        <f aca="false">((($V24-$V$22)/($V$28-$V$22))*(Y$28-Y$22))+Y$22</f>
        <v>0.000633333333333333</v>
      </c>
      <c r="Z24" s="68" t="n">
        <f aca="false">((($V24-$V$22)/($V$28-$V$22))*(Z$28-Z$22))+Z$22</f>
        <v>0.000766666666666667</v>
      </c>
      <c r="AA24" s="68" t="n">
        <f aca="false">((($V24-$V$22)/($V$28-$V$22))*(AA$28-AA$22))+AA$22</f>
        <v>0.00133333333333333</v>
      </c>
      <c r="AB24" s="69" t="n">
        <f aca="false">((($V24-$V$22)/($V$28-$V$22))*(AB$28-AB$22))+AB$22</f>
        <v>0.0016</v>
      </c>
      <c r="AD24" s="31"/>
      <c r="AE24" s="31" t="n">
        <v>3.175000001</v>
      </c>
      <c r="AF24" s="34" t="n">
        <v>0.125</v>
      </c>
      <c r="AG24" s="32" t="n">
        <v>0.125</v>
      </c>
      <c r="AH24" s="35"/>
      <c r="AI24" s="70"/>
      <c r="AJ24" s="31"/>
    </row>
    <row r="25" customFormat="false" ht="13.2" hidden="false" customHeight="false" outlineLevel="0" collapsed="false">
      <c r="A25" s="77" t="s">
        <v>68</v>
      </c>
      <c r="B25" s="54" t="s">
        <v>69</v>
      </c>
      <c r="C25" s="54" t="s">
        <v>70</v>
      </c>
      <c r="D25" s="54" t="s">
        <v>71</v>
      </c>
      <c r="E25" s="54" t="s">
        <v>72</v>
      </c>
      <c r="F25" s="54" t="s">
        <v>73</v>
      </c>
      <c r="G25" s="54" t="s">
        <v>74</v>
      </c>
      <c r="H25" s="54" t="s">
        <v>75</v>
      </c>
      <c r="I25" s="54" t="s">
        <v>76</v>
      </c>
      <c r="J25" s="78" t="s">
        <v>77</v>
      </c>
      <c r="K25" s="54" t="s">
        <v>78</v>
      </c>
      <c r="L25" s="54" t="s">
        <v>79</v>
      </c>
      <c r="M25" s="54" t="s">
        <v>79</v>
      </c>
      <c r="N25" s="54" t="s">
        <v>80</v>
      </c>
      <c r="O25" s="54" t="s">
        <v>81</v>
      </c>
      <c r="P25" s="54" t="s">
        <v>82</v>
      </c>
      <c r="Q25" s="79" t="s">
        <v>83</v>
      </c>
      <c r="V25" s="49" t="n">
        <v>85</v>
      </c>
      <c r="W25" s="68" t="n">
        <f aca="false">((($V25-$V$22)/($V$28-$V$22))*(W$28-W$22))+W$22</f>
        <v>0.001075</v>
      </c>
      <c r="X25" s="68" t="n">
        <f aca="false">((($V25-$V$22)/($V$28-$V$22))*(X$28-X$22))+X$22</f>
        <v>0.000775</v>
      </c>
      <c r="Y25" s="68" t="n">
        <f aca="false">((($V25-$V$22)/($V$28-$V$22))*(Y$28-Y$22))+Y$22</f>
        <v>0.000775</v>
      </c>
      <c r="Z25" s="68" t="n">
        <f aca="false">((($V25-$V$22)/($V$28-$V$22))*(Z$28-Z$22))+Z$22</f>
        <v>0.0009</v>
      </c>
      <c r="AA25" s="68" t="n">
        <f aca="false">((($V25-$V$22)/($V$28-$V$22))*(AA$28-AA$22))+AA$22</f>
        <v>0.0015</v>
      </c>
      <c r="AB25" s="69" t="n">
        <f aca="false">((($V25-$V$22)/($V$28-$V$22))*(AB$28-AB$22))+AB$22</f>
        <v>0.00175</v>
      </c>
      <c r="AD25" s="31"/>
      <c r="AE25" s="31" t="n">
        <v>3.373437501</v>
      </c>
      <c r="AF25" s="34" t="n">
        <v>0.1328125</v>
      </c>
      <c r="AG25" s="32" t="n">
        <v>0.15625</v>
      </c>
      <c r="AH25" s="35"/>
      <c r="AI25" s="70"/>
      <c r="AJ25" s="31"/>
    </row>
    <row r="26" customFormat="false" ht="13.2" hidden="false" customHeight="false" outlineLevel="0" collapsed="false">
      <c r="A26" s="80"/>
      <c r="B26" s="81"/>
      <c r="C26" s="81"/>
      <c r="D26" s="81"/>
      <c r="E26" s="81"/>
      <c r="F26" s="81"/>
      <c r="G26" s="81"/>
      <c r="H26" s="81"/>
      <c r="I26" s="81"/>
      <c r="J26" s="82" t="str">
        <f aca="false">IF(Q26="","",IF($D$13&lt;40,0.00022,VLOOKUP($D$13,$V$16:$AB$38,Q26,FALSE())))</f>
        <v/>
      </c>
      <c r="K26" s="83" t="str">
        <f aca="false">IF(C26="","",IF(H26="U",0.02,0.1))</f>
        <v/>
      </c>
      <c r="L26" s="84" t="str">
        <f aca="false">IF(OR(B26="",F26=""),"",(K26*(B26^2))/($D$11*F26*G26))</f>
        <v/>
      </c>
      <c r="M26" s="84" t="str">
        <f aca="false">IF(C26="","",(K26/(J26*$D$11*G26))*(D26^2)*(C26^2)*(400/$H$10))</f>
        <v/>
      </c>
      <c r="N26" s="84" t="str">
        <f aca="false">IF(E26="","",(K26*E26^2*60*$H$9)/($D$11*G26))</f>
        <v/>
      </c>
      <c r="O26" s="85" t="str">
        <f aca="false">IF(N26="","",IF((-LN(N26)/LN(2))&lt;0,0,-LN(N26)/LN(2)))</f>
        <v/>
      </c>
      <c r="P26" s="86" t="str">
        <f aca="false">IF(L26="","",IF((-LN(L26)/LN(2))&lt;0,0,-LN(L26)/LN(2)))</f>
        <v/>
      </c>
      <c r="Q26" s="87" t="str">
        <f aca="false">IF(I26="","",IF(I26=30,2,IF(I26=45,3,IF(I26=4,11,IF(I26=90,5,IF(I26=120,6,7))))))</f>
        <v/>
      </c>
      <c r="V26" s="49" t="n">
        <v>90</v>
      </c>
      <c r="W26" s="68" t="n">
        <f aca="false">((($V26-$V$22)/($V$28-$V$22))*(W$28-W$22))+W$22</f>
        <v>0.00121666666666667</v>
      </c>
      <c r="X26" s="68" t="n">
        <f aca="false">((($V26-$V$22)/($V$28-$V$22))*(X$28-X$22))+X$22</f>
        <v>0.000916666666666666</v>
      </c>
      <c r="Y26" s="68" t="n">
        <f aca="false">((($V26-$V$22)/($V$28-$V$22))*(Y$28-Y$22))+Y$22</f>
        <v>0.000916666666666666</v>
      </c>
      <c r="Z26" s="68" t="n">
        <f aca="false">((($V26-$V$22)/($V$28-$V$22))*(Z$28-Z$22))+Z$22</f>
        <v>0.00103333333333333</v>
      </c>
      <c r="AA26" s="68" t="n">
        <f aca="false">((($V26-$V$22)/($V$28-$V$22))*(AA$28-AA$22))+AA$22</f>
        <v>0.00166666666666667</v>
      </c>
      <c r="AB26" s="69" t="n">
        <f aca="false">((($V26-$V$22)/($V$28-$V$22))*(AB$28-AB$22))+AB$22</f>
        <v>0.0019</v>
      </c>
      <c r="AD26" s="31"/>
      <c r="AE26" s="31" t="n">
        <v>3.571875001</v>
      </c>
      <c r="AF26" s="34" t="n">
        <v>0.140625</v>
      </c>
      <c r="AG26" s="32" t="n">
        <v>0.15625</v>
      </c>
      <c r="AH26" s="35"/>
      <c r="AI26" s="70"/>
      <c r="AJ26" s="31"/>
    </row>
    <row r="27" customFormat="false" ht="13.2" hidden="false" customHeight="false" outlineLevel="0" collapsed="false">
      <c r="A27" s="80"/>
      <c r="B27" s="81"/>
      <c r="C27" s="81"/>
      <c r="D27" s="81"/>
      <c r="E27" s="81"/>
      <c r="F27" s="81"/>
      <c r="G27" s="81"/>
      <c r="H27" s="81"/>
      <c r="I27" s="81"/>
      <c r="J27" s="82" t="str">
        <f aca="false">IF(Q27="","",IF($D$13&lt;40,0.00022,VLOOKUP($D$13,$V$16:$AB$38,Q27,FALSE())))</f>
        <v/>
      </c>
      <c r="K27" s="83" t="str">
        <f aca="false">IF(C27="","",IF(H27="U",0.02,0.1))</f>
        <v/>
      </c>
      <c r="L27" s="84" t="str">
        <f aca="false">IF(OR(B27="",F27=""),"",(K27*(B27^2))/($D$11*F27*G27))</f>
        <v/>
      </c>
      <c r="M27" s="84" t="str">
        <f aca="false">IF(C27="","",(K27/(J27*$D$11*G27))*(D27^2)*(C27^2)*(400/$H$10))</f>
        <v/>
      </c>
      <c r="N27" s="84" t="str">
        <f aca="false">IF(E27="","",(K27*E27^2*60*$H$9)/($D$11*G27))</f>
        <v/>
      </c>
      <c r="O27" s="85" t="str">
        <f aca="false">IF(N27="","",IF((-LN(N27)/LN(2))&lt;0,0,-LN(N27)/LN(2)))</f>
        <v/>
      </c>
      <c r="P27" s="86" t="str">
        <f aca="false">IF(L27="","",IF((-LN(L27)/LN(2))&lt;0,0,-LN(L27)/LN(2)))</f>
        <v/>
      </c>
      <c r="Q27" s="87" t="str">
        <f aca="false">IF(I27="","",IF(I27=30,2,IF(I27=45,3,IF(I27=4,11,IF(I27=90,5,IF(I27=120,6,7))))))</f>
        <v/>
      </c>
      <c r="V27" s="49" t="n">
        <v>95</v>
      </c>
      <c r="W27" s="68" t="n">
        <f aca="false">((($V27-$V$22)/($V$28-$V$22))*(W$28-W$22))+W$22</f>
        <v>0.00135833333333333</v>
      </c>
      <c r="X27" s="68" t="n">
        <f aca="false">((($V27-$V$22)/($V$28-$V$22))*(X$28-X$22))+X$22</f>
        <v>0.00105833333333333</v>
      </c>
      <c r="Y27" s="68" t="n">
        <f aca="false">((($V27-$V$22)/($V$28-$V$22))*(Y$28-Y$22))+Y$22</f>
        <v>0.00105833333333333</v>
      </c>
      <c r="Z27" s="68" t="n">
        <f aca="false">((($V27-$V$22)/($V$28-$V$22))*(Z$28-Z$22))+Z$22</f>
        <v>0.00116666666666667</v>
      </c>
      <c r="AA27" s="68" t="n">
        <f aca="false">((($V27-$V$22)/($V$28-$V$22))*(AA$28-AA$22))+AA$22</f>
        <v>0.00183333333333333</v>
      </c>
      <c r="AB27" s="69" t="n">
        <f aca="false">((($V27-$V$22)/($V$28-$V$22))*(AB$28-AB$22))+AB$22</f>
        <v>0.00205</v>
      </c>
      <c r="AD27" s="31"/>
      <c r="AE27" s="31" t="n">
        <v>3.770312501</v>
      </c>
      <c r="AF27" s="34" t="n">
        <v>0.1484375</v>
      </c>
      <c r="AG27" s="32" t="n">
        <v>0.15625</v>
      </c>
      <c r="AH27" s="35"/>
      <c r="AI27" s="70"/>
      <c r="AJ27" s="31"/>
    </row>
    <row r="28" customFormat="false" ht="13.2" hidden="false" customHeight="false" outlineLevel="0" collapsed="false">
      <c r="A28" s="80"/>
      <c r="B28" s="81"/>
      <c r="C28" s="81"/>
      <c r="D28" s="81"/>
      <c r="E28" s="81"/>
      <c r="F28" s="81"/>
      <c r="G28" s="81"/>
      <c r="H28" s="81"/>
      <c r="I28" s="81"/>
      <c r="J28" s="82" t="str">
        <f aca="false">IF(Q28="","",IF($D$13&lt;40,0.00022,VLOOKUP($D$13,$V$16:$AB$38,Q28,FALSE())))</f>
        <v/>
      </c>
      <c r="K28" s="83" t="str">
        <f aca="false">IF(C28="","",IF(H28="U",0.02,0.1))</f>
        <v/>
      </c>
      <c r="L28" s="84" t="str">
        <f aca="false">IF(OR(B28="",F28=""),"",(K28*(B28^2))/($D$11*F28*G28))</f>
        <v/>
      </c>
      <c r="M28" s="84" t="str">
        <f aca="false">IF(C28="","",(K28/(J28*$D$11*G28))*(D28^2)*(C28^2)*(400/$H$10))</f>
        <v/>
      </c>
      <c r="N28" s="84" t="str">
        <f aca="false">IF(E28="","",(K28*E28^2*60*$H$9)/($D$11*G28))</f>
        <v/>
      </c>
      <c r="O28" s="85" t="str">
        <f aca="false">IF(N28="","",IF((-LN(N28)/LN(2))&lt;0,0,-LN(N28)/LN(2)))</f>
        <v/>
      </c>
      <c r="P28" s="86" t="str">
        <f aca="false">IF(L28="","",IF((-LN(L28)/LN(2))&lt;0,0,-LN(L28)/LN(2)))</f>
        <v/>
      </c>
      <c r="Q28" s="87" t="str">
        <f aca="false">IF(I28="","",IF(I28=30,2,IF(I28=45,3,IF(I28=4,11,IF(I28=90,5,IF(I28=120,6,7))))))</f>
        <v/>
      </c>
      <c r="V28" s="49" t="n">
        <v>100</v>
      </c>
      <c r="W28" s="64" t="n">
        <v>0.0015</v>
      </c>
      <c r="X28" s="64" t="n">
        <v>0.0012</v>
      </c>
      <c r="Y28" s="64" t="n">
        <v>0.0012</v>
      </c>
      <c r="Z28" s="64" t="n">
        <v>0.0013</v>
      </c>
      <c r="AA28" s="64" t="n">
        <v>0.002</v>
      </c>
      <c r="AB28" s="65" t="n">
        <v>0.0022</v>
      </c>
      <c r="AD28" s="31"/>
      <c r="AE28" s="31" t="n">
        <v>3.968750001</v>
      </c>
      <c r="AF28" s="34" t="n">
        <v>0.15625</v>
      </c>
      <c r="AG28" s="32" t="n">
        <v>0.15625</v>
      </c>
      <c r="AH28" s="35"/>
      <c r="AI28" s="70"/>
      <c r="AJ28" s="31"/>
    </row>
    <row r="29" customFormat="false" ht="13.2" hidden="false" customHeight="false" outlineLevel="0" collapsed="false">
      <c r="A29" s="80"/>
      <c r="B29" s="81"/>
      <c r="C29" s="81"/>
      <c r="D29" s="81"/>
      <c r="E29" s="81"/>
      <c r="F29" s="81"/>
      <c r="G29" s="81"/>
      <c r="H29" s="81"/>
      <c r="I29" s="81"/>
      <c r="J29" s="82" t="str">
        <f aca="false">IF(Q29="","",IF($D$13&lt;40,0.00022,VLOOKUP($D$13,$V$16:$AB$38,Q29,FALSE())))</f>
        <v/>
      </c>
      <c r="K29" s="83" t="str">
        <f aca="false">IF(C29="","",IF(H29="U",0.02,0.1))</f>
        <v/>
      </c>
      <c r="L29" s="84" t="str">
        <f aca="false">IF(OR(B29="",F29=""),"",(K29*(B29^2))/($D$11*F29*G29))</f>
        <v/>
      </c>
      <c r="M29" s="84" t="str">
        <f aca="false">IF(C29="","",(K29/(J29*$D$11*G29))*(D29^2)*(C29^2)*(400/$H$10))</f>
        <v/>
      </c>
      <c r="N29" s="84" t="str">
        <f aca="false">IF(E29="","",(K29*E29^2*60*$H$9)/($D$11*G29))</f>
        <v/>
      </c>
      <c r="O29" s="85" t="str">
        <f aca="false">IF(N29="","",IF((-LN(N29)/LN(2))&lt;0,0,-LN(N29)/LN(2)))</f>
        <v/>
      </c>
      <c r="P29" s="86" t="str">
        <f aca="false">IF(L29="","",IF((-LN(L29)/LN(2))&lt;0,0,-LN(L29)/LN(2)))</f>
        <v/>
      </c>
      <c r="Q29" s="87" t="str">
        <f aca="false">IF(I29="","",IF(I29=30,2,IF(I29=45,3,IF(I29=4,11,IF(I29=90,5,IF(I29=120,6,7))))))</f>
        <v/>
      </c>
      <c r="V29" s="49" t="n">
        <v>105</v>
      </c>
      <c r="W29" s="68" t="n">
        <f aca="false">((($V29-$V$28)/($V$33-$V$28))*(W$33-W$28))+W$28</f>
        <v>0.00156</v>
      </c>
      <c r="X29" s="68" t="n">
        <f aca="false">((($V29-$V$28)/($V$33-$V$28))*(X$33-X$28))+X$28</f>
        <v>0.00126</v>
      </c>
      <c r="Y29" s="68" t="n">
        <f aca="false">((($V29-$V$28)/($V$33-$V$28))*(Y$33-Y$28))+Y$28</f>
        <v>0.00126</v>
      </c>
      <c r="Z29" s="68" t="n">
        <f aca="false">((($V29-$V$28)/($V$33-$V$28))*(Z$33-Z$28))+Z$28</f>
        <v>0.00134</v>
      </c>
      <c r="AA29" s="68" t="n">
        <f aca="false">((($V29-$V$28)/($V$33-$V$28))*(AA$33-AA$28))+AA$28</f>
        <v>0.00206</v>
      </c>
      <c r="AB29" s="69" t="n">
        <f aca="false">((($V29-$V$28)/($V$33-$V$28))*(AB$33-AB$28))+AB$28</f>
        <v>0.00226</v>
      </c>
      <c r="AD29" s="31"/>
      <c r="AE29" s="31" t="n">
        <v>4.167187501</v>
      </c>
      <c r="AF29" s="34" t="n">
        <v>0.1640625</v>
      </c>
      <c r="AG29" s="32" t="n">
        <v>0.1875</v>
      </c>
      <c r="AH29" s="35"/>
      <c r="AI29" s="70"/>
      <c r="AJ29" s="31"/>
    </row>
    <row r="30" customFormat="false" ht="13.2" hidden="false" customHeight="false" outlineLevel="0" collapsed="false">
      <c r="A30" s="80"/>
      <c r="B30" s="81"/>
      <c r="C30" s="81"/>
      <c r="D30" s="81"/>
      <c r="E30" s="81"/>
      <c r="F30" s="81"/>
      <c r="G30" s="81"/>
      <c r="H30" s="81"/>
      <c r="I30" s="81"/>
      <c r="J30" s="82" t="str">
        <f aca="false">IF(Q30="","",IF($D$13&lt;40,0.00022,VLOOKUP($D$13,$V$16:$AB$38,Q30,FALSE())))</f>
        <v/>
      </c>
      <c r="K30" s="83" t="str">
        <f aca="false">IF(C30="","",IF(H30="U",0.02,0.1))</f>
        <v/>
      </c>
      <c r="L30" s="84" t="str">
        <f aca="false">IF(OR(B30="",F30=""),"",(K30*(B30^2))/($D$11*F30*G30))</f>
        <v/>
      </c>
      <c r="M30" s="84" t="str">
        <f aca="false">IF(C30="","",(K30/(J30*$D$11*G30))*(D30^2)*(C30^2)*(400/$H$10))</f>
        <v/>
      </c>
      <c r="N30" s="84" t="str">
        <f aca="false">IF(E30="","",(K30*E30^2*60*$H$9)/($D$11*G30))</f>
        <v/>
      </c>
      <c r="O30" s="85" t="str">
        <f aca="false">IF(N30="","",IF((-LN(N30)/LN(2))&lt;0,0,-LN(N30)/LN(2)))</f>
        <v/>
      </c>
      <c r="P30" s="86" t="str">
        <f aca="false">IF(L30="","",IF((-LN(L30)/LN(2))&lt;0,0,-LN(L30)/LN(2)))</f>
        <v/>
      </c>
      <c r="Q30" s="87" t="str">
        <f aca="false">IF(I30="","",IF(I30=30,2,IF(I30=45,3,IF(I30=4,11,IF(I30=90,5,IF(I30=120,6,7))))))</f>
        <v/>
      </c>
      <c r="V30" s="49" t="n">
        <v>110</v>
      </c>
      <c r="W30" s="68" t="n">
        <f aca="false">((($V30-$V$28)/($V$33-$V$28))*(W$33-W$28))+W$28</f>
        <v>0.00162</v>
      </c>
      <c r="X30" s="68" t="n">
        <f aca="false">((($V30-$V$28)/($V$33-$V$28))*(X$33-X$28))+X$28</f>
        <v>0.00132</v>
      </c>
      <c r="Y30" s="68" t="n">
        <f aca="false">((($V30-$V$28)/($V$33-$V$28))*(Y$33-Y$28))+Y$28</f>
        <v>0.00132</v>
      </c>
      <c r="Z30" s="68" t="n">
        <f aca="false">((($V30-$V$28)/($V$33-$V$28))*(Z$33-Z$28))+Z$28</f>
        <v>0.00138</v>
      </c>
      <c r="AA30" s="68" t="n">
        <f aca="false">((($V30-$V$28)/($V$33-$V$28))*(AA$33-AA$28))+AA$28</f>
        <v>0.00212</v>
      </c>
      <c r="AB30" s="69" t="n">
        <f aca="false">((($V30-$V$28)/($V$33-$V$28))*(AB$33-AB$28))+AB$28</f>
        <v>0.00232</v>
      </c>
      <c r="AD30" s="31"/>
      <c r="AE30" s="31" t="n">
        <v>4.365625001</v>
      </c>
      <c r="AF30" s="34" t="n">
        <v>0.171875</v>
      </c>
      <c r="AG30" s="32" t="n">
        <v>0.1875</v>
      </c>
      <c r="AH30" s="35"/>
      <c r="AI30" s="70"/>
      <c r="AJ30" s="31"/>
    </row>
    <row r="31" customFormat="false" ht="13.2" hidden="false" customHeight="false" outlineLevel="0" collapsed="false">
      <c r="A31" s="80"/>
      <c r="B31" s="81"/>
      <c r="C31" s="81"/>
      <c r="D31" s="81"/>
      <c r="E31" s="81"/>
      <c r="F31" s="81"/>
      <c r="G31" s="81"/>
      <c r="H31" s="81"/>
      <c r="I31" s="81"/>
      <c r="J31" s="82" t="str">
        <f aca="false">IF(Q31="","",IF($D$13&lt;40,0.00022,VLOOKUP($D$13,$V$16:$AB$38,Q31,FALSE())))</f>
        <v/>
      </c>
      <c r="K31" s="83" t="str">
        <f aca="false">IF(C31="","",IF(H31="U",0.02,0.1))</f>
        <v/>
      </c>
      <c r="L31" s="84" t="str">
        <f aca="false">IF(OR(B31="",F31=""),"",(K31*(B31^2))/($D$11*F31*G31))</f>
        <v/>
      </c>
      <c r="M31" s="84" t="str">
        <f aca="false">IF(C31="","",(K31/(J31*$D$11*G31))*(D31^2)*(C31^2)*(400/$H$10))</f>
        <v/>
      </c>
      <c r="N31" s="84" t="str">
        <f aca="false">IF(E31="","",(K31*E31^2*60*$H$9)/($D$11*G31))</f>
        <v/>
      </c>
      <c r="O31" s="85" t="str">
        <f aca="false">IF(N31="","",IF((-LN(N31)/LN(2))&lt;0,0,-LN(N31)/LN(2)))</f>
        <v/>
      </c>
      <c r="P31" s="86" t="str">
        <f aca="false">IF(L31="","",IF((-LN(L31)/LN(2))&lt;0,0,-LN(L31)/LN(2)))</f>
        <v/>
      </c>
      <c r="Q31" s="87" t="str">
        <f aca="false">IF(I31="","",IF(I31=30,2,IF(I31=45,3,IF(I31=4,11,IF(I31=90,5,IF(I31=120,6,7))))))</f>
        <v/>
      </c>
      <c r="V31" s="49" t="n">
        <v>115</v>
      </c>
      <c r="W31" s="68" t="n">
        <f aca="false">((($V31-$V$28)/($V$33-$V$28))*(W$33-W$28))+W$28</f>
        <v>0.00168</v>
      </c>
      <c r="X31" s="68" t="n">
        <f aca="false">((($V31-$V$28)/($V$33-$V$28))*(X$33-X$28))+X$28</f>
        <v>0.00138</v>
      </c>
      <c r="Y31" s="68" t="n">
        <f aca="false">((($V31-$V$28)/($V$33-$V$28))*(Y$33-Y$28))+Y$28</f>
        <v>0.00138</v>
      </c>
      <c r="Z31" s="68" t="n">
        <f aca="false">((($V31-$V$28)/($V$33-$V$28))*(Z$33-Z$28))+Z$28</f>
        <v>0.00142</v>
      </c>
      <c r="AA31" s="68" t="n">
        <f aca="false">((($V31-$V$28)/($V$33-$V$28))*(AA$33-AA$28))+AA$28</f>
        <v>0.00218</v>
      </c>
      <c r="AB31" s="69" t="n">
        <f aca="false">((($V31-$V$28)/($V$33-$V$28))*(AB$33-AB$28))+AB$28</f>
        <v>0.00238</v>
      </c>
      <c r="AD31" s="31"/>
      <c r="AE31" s="31" t="n">
        <v>4.564062501</v>
      </c>
      <c r="AF31" s="34" t="n">
        <v>0.1796875</v>
      </c>
      <c r="AG31" s="32" t="n">
        <v>0.1875</v>
      </c>
      <c r="AH31" s="35"/>
      <c r="AI31" s="70"/>
      <c r="AJ31" s="31"/>
    </row>
    <row r="32" customFormat="false" ht="13.2" hidden="false" customHeight="false" outlineLevel="0" collapsed="false">
      <c r="A32" s="80"/>
      <c r="B32" s="81"/>
      <c r="C32" s="81"/>
      <c r="D32" s="81"/>
      <c r="E32" s="81"/>
      <c r="F32" s="81"/>
      <c r="G32" s="81"/>
      <c r="H32" s="81"/>
      <c r="I32" s="81"/>
      <c r="J32" s="82" t="str">
        <f aca="false">IF(Q32="","",IF($D$13&lt;40,0.00022,VLOOKUP($D$13,$V$16:$AB$38,Q32,FALSE())))</f>
        <v/>
      </c>
      <c r="K32" s="83" t="str">
        <f aca="false">IF(C32="","",IF(H32="U",0.02,0.1))</f>
        <v/>
      </c>
      <c r="L32" s="84" t="str">
        <f aca="false">IF(OR(B32="",F32=""),"",(K32*(B32^2))/($D$11*F32*G32))</f>
        <v/>
      </c>
      <c r="M32" s="84" t="str">
        <f aca="false">IF(C32="","",(K32/(J32*$D$11*G32))*(D32^2)*(C32^2)*(400/$H$10))</f>
        <v/>
      </c>
      <c r="N32" s="84" t="str">
        <f aca="false">IF(E32="","",(K32*E32^2*60*$H$9)/($D$11*G32))</f>
        <v/>
      </c>
      <c r="O32" s="85" t="str">
        <f aca="false">IF(N32="","",IF((-LN(N32)/LN(2))&lt;0,0,-LN(N32)/LN(2)))</f>
        <v/>
      </c>
      <c r="P32" s="86" t="str">
        <f aca="false">IF(L32="","",IF((-LN(L32)/LN(2))&lt;0,0,-LN(L32)/LN(2)))</f>
        <v/>
      </c>
      <c r="Q32" s="87" t="str">
        <f aca="false">IF(I32="","",IF(I32=30,2,IF(I32=45,3,IF(I32=4,11,IF(I32=90,5,IF(I32=120,6,7))))))</f>
        <v/>
      </c>
      <c r="V32" s="49" t="n">
        <v>120</v>
      </c>
      <c r="W32" s="68" t="n">
        <f aca="false">((($V32-$V$28)/($V$33-$V$28))*(W$33-W$28))+W$28</f>
        <v>0.00174</v>
      </c>
      <c r="X32" s="68" t="n">
        <f aca="false">((($V32-$V$28)/($V$33-$V$28))*(X$33-X$28))+X$28</f>
        <v>0.00144</v>
      </c>
      <c r="Y32" s="68" t="n">
        <f aca="false">((($V32-$V$28)/($V$33-$V$28))*(Y$33-Y$28))+Y$28</f>
        <v>0.00144</v>
      </c>
      <c r="Z32" s="68" t="n">
        <f aca="false">((($V32-$V$28)/($V$33-$V$28))*(Z$33-Z$28))+Z$28</f>
        <v>0.00146</v>
      </c>
      <c r="AA32" s="68" t="n">
        <f aca="false">((($V32-$V$28)/($V$33-$V$28))*(AA$33-AA$28))+AA$28</f>
        <v>0.00224</v>
      </c>
      <c r="AB32" s="69" t="n">
        <f aca="false">((($V32-$V$28)/($V$33-$V$28))*(AB$33-AB$28))+AB$28</f>
        <v>0.00244</v>
      </c>
      <c r="AD32" s="31"/>
      <c r="AE32" s="31" t="n">
        <v>4.762500001</v>
      </c>
      <c r="AF32" s="34" t="n">
        <v>0.1875</v>
      </c>
      <c r="AG32" s="32" t="n">
        <v>0.1875</v>
      </c>
      <c r="AH32" s="35"/>
      <c r="AI32" s="70"/>
      <c r="AJ32" s="31"/>
    </row>
    <row r="33" customFormat="false" ht="13.2" hidden="false" customHeight="false" outlineLevel="0" collapsed="false">
      <c r="A33" s="80"/>
      <c r="B33" s="81"/>
      <c r="C33" s="81"/>
      <c r="D33" s="81"/>
      <c r="E33" s="81"/>
      <c r="F33" s="81"/>
      <c r="G33" s="81"/>
      <c r="H33" s="81"/>
      <c r="I33" s="81"/>
      <c r="J33" s="82" t="str">
        <f aca="false">IF(Q33="","",IF($D$13&lt;40,0.00022,VLOOKUP($D$13,$V$16:$AB$38,Q33,FALSE())))</f>
        <v/>
      </c>
      <c r="K33" s="83" t="str">
        <f aca="false">IF(C33="","",IF(H33="U",0.02,0.1))</f>
        <v/>
      </c>
      <c r="L33" s="84" t="str">
        <f aca="false">IF(OR(B33="",F33=""),"",(K33*(B33^2))/($D$11*F33*G33))</f>
        <v/>
      </c>
      <c r="M33" s="84" t="str">
        <f aca="false">IF(C33="","",(K33/(J33*$D$11*G33))*(D33^2)*(C33^2)*(400/$H$10))</f>
        <v/>
      </c>
      <c r="N33" s="84" t="str">
        <f aca="false">IF(E33="","",(K33*E33^2*60*$H$9)/($D$11*G33))</f>
        <v/>
      </c>
      <c r="O33" s="85" t="str">
        <f aca="false">IF(N33="","",IF((-LN(N33)/LN(2))&lt;0,0,-LN(N33)/LN(2)))</f>
        <v/>
      </c>
      <c r="P33" s="86" t="str">
        <f aca="false">IF(L33="","",IF((-LN(L33)/LN(2))&lt;0,0,-LN(L33)/LN(2)))</f>
        <v/>
      </c>
      <c r="Q33" s="87" t="str">
        <f aca="false">IF(I33="","",IF(I33=30,2,IF(I33=45,3,IF(I33=4,11,IF(I33=90,5,IF(I33=120,6,7))))))</f>
        <v/>
      </c>
      <c r="V33" s="49" t="n">
        <v>125</v>
      </c>
      <c r="W33" s="64" t="n">
        <v>0.0018</v>
      </c>
      <c r="X33" s="64" t="n">
        <v>0.0015</v>
      </c>
      <c r="Y33" s="64" t="n">
        <v>0.0015</v>
      </c>
      <c r="Z33" s="64" t="n">
        <v>0.0015</v>
      </c>
      <c r="AA33" s="64" t="n">
        <v>0.0023</v>
      </c>
      <c r="AB33" s="65" t="n">
        <v>0.0025</v>
      </c>
      <c r="AD33" s="31"/>
      <c r="AE33" s="31" t="n">
        <v>4.960937501</v>
      </c>
      <c r="AF33" s="34" t="n">
        <v>0.1953125</v>
      </c>
      <c r="AG33" s="32" t="n">
        <v>0.21875</v>
      </c>
      <c r="AH33" s="35"/>
      <c r="AI33" s="70"/>
      <c r="AJ33" s="31"/>
    </row>
    <row r="34" customFormat="false" ht="13.2" hidden="false" customHeight="false" outlineLevel="0" collapsed="false">
      <c r="A34" s="80"/>
      <c r="B34" s="81"/>
      <c r="C34" s="81"/>
      <c r="D34" s="81"/>
      <c r="E34" s="81"/>
      <c r="F34" s="81"/>
      <c r="G34" s="81"/>
      <c r="H34" s="81"/>
      <c r="I34" s="81"/>
      <c r="J34" s="82" t="str">
        <f aca="false">IF(Q34="","",IF($D$13&lt;40,0.00022,VLOOKUP($D$13,$V$16:$AB$38,Q34,FALSE())))</f>
        <v/>
      </c>
      <c r="K34" s="83" t="str">
        <f aca="false">IF(C34="","",IF(H34="U",0.02,0.1))</f>
        <v/>
      </c>
      <c r="L34" s="84" t="str">
        <f aca="false">IF(OR(B34="",F34=""),"",(K34*(B34^2))/($D$11*F34*G34))</f>
        <v/>
      </c>
      <c r="M34" s="84" t="str">
        <f aca="false">IF(C34="","",(K34/(J34*$D$11*G34))*(D34^2)*(C34^2)*(400/$H$10))</f>
        <v/>
      </c>
      <c r="N34" s="84" t="str">
        <f aca="false">IF(E34="","",(K34*E34^2*60*$H$9)/($D$11*G34))</f>
        <v/>
      </c>
      <c r="O34" s="85" t="str">
        <f aca="false">IF(N34="","",IF((-LN(N34)/LN(2))&lt;0,0,-LN(N34)/LN(2)))</f>
        <v/>
      </c>
      <c r="P34" s="86" t="str">
        <f aca="false">IF(L34="","",IF((-LN(L34)/LN(2))&lt;0,0,-LN(L34)/LN(2)))</f>
        <v/>
      </c>
      <c r="Q34" s="87" t="str">
        <f aca="false">IF(I34="","",IF(I34=30,2,IF(I34=45,3,IF(I34=4,11,IF(I34=90,5,IF(I34=120,6,7))))))</f>
        <v/>
      </c>
      <c r="V34" s="88" t="n">
        <v>130</v>
      </c>
      <c r="W34" s="68" t="n">
        <f aca="false">((($V34-$V$33)/($V$38-$V$33))*(W$38-W$33))+W$33</f>
        <v>0.00184</v>
      </c>
      <c r="X34" s="68" t="n">
        <f aca="false">((($V34-$V$33)/($V$38-$V$33))*(X$38-X$33))+X$33</f>
        <v>0.00152</v>
      </c>
      <c r="Y34" s="68" t="n">
        <f aca="false">((($V34-$V$33)/($V$38-$V$33))*(Y$38-Y$33))+Y$33</f>
        <v>0.00152</v>
      </c>
      <c r="Z34" s="68" t="n">
        <f aca="false">((($V34-$V$33)/($V$38-$V$33))*(Z$38-Z$33))+Z$33</f>
        <v>0.00152</v>
      </c>
      <c r="AA34" s="68" t="n">
        <f aca="false">((($V34-$V$33)/($V$38-$V$33))*(AA$38-AA$33))+AA$33</f>
        <v>0.00232</v>
      </c>
      <c r="AB34" s="69" t="n">
        <f aca="false">((($V34-$V$33)/($V$38-$V$33))*(AB$38-AB$33))+AB$33</f>
        <v>0.00252</v>
      </c>
      <c r="AD34" s="31"/>
      <c r="AE34" s="31" t="n">
        <v>5.159375001</v>
      </c>
      <c r="AF34" s="34" t="n">
        <v>0.203125</v>
      </c>
      <c r="AG34" s="32" t="n">
        <v>0.21875</v>
      </c>
      <c r="AH34" s="35"/>
      <c r="AI34" s="70"/>
      <c r="AJ34" s="31"/>
    </row>
    <row r="35" customFormat="false" ht="13.2" hidden="false" customHeight="false" outlineLevel="0" collapsed="false">
      <c r="A35" s="80"/>
      <c r="B35" s="81"/>
      <c r="C35" s="81"/>
      <c r="D35" s="81"/>
      <c r="E35" s="81"/>
      <c r="F35" s="81"/>
      <c r="G35" s="81"/>
      <c r="H35" s="81"/>
      <c r="I35" s="81"/>
      <c r="J35" s="82" t="str">
        <f aca="false">IF(Q35="","",IF($D$13&lt;40,0.00022,VLOOKUP($D$13,$V$16:$AB$38,Q35,FALSE())))</f>
        <v/>
      </c>
      <c r="K35" s="83" t="str">
        <f aca="false">IF(C35="","",IF(H35="U",0.02,0.1))</f>
        <v/>
      </c>
      <c r="L35" s="84" t="str">
        <f aca="false">IF(OR(B35="",F35=""),"",(K35*(B35^2))/($D$11*F35*G35))</f>
        <v/>
      </c>
      <c r="M35" s="84" t="str">
        <f aca="false">IF(C35="","",(K35/(J35*$D$11*G35))*(D35^2)*(C35^2)*(400/$H$10))</f>
        <v/>
      </c>
      <c r="N35" s="84" t="str">
        <f aca="false">IF(E35="","",(K35*E35^2*60*$H$9)/($D$11*G35))</f>
        <v/>
      </c>
      <c r="O35" s="85" t="str">
        <f aca="false">IF(N35="","",IF((-LN(N35)/LN(2))&lt;0,0,-LN(N35)/LN(2)))</f>
        <v/>
      </c>
      <c r="P35" s="86" t="str">
        <f aca="false">IF(L35="","",IF((-LN(L35)/LN(2))&lt;0,0,-LN(L35)/LN(2)))</f>
        <v/>
      </c>
      <c r="Q35" s="87" t="str">
        <f aca="false">IF(I35="","",IF(I35=30,2,IF(I35=45,3,IF(I35=4,11,IF(I35=90,5,IF(I35=120,6,7))))))</f>
        <v/>
      </c>
      <c r="V35" s="88" t="n">
        <v>135</v>
      </c>
      <c r="W35" s="68" t="n">
        <f aca="false">((($V35-$V$33)/($V$38-$V$33))*(W$38-W$33))+W$33</f>
        <v>0.00188</v>
      </c>
      <c r="X35" s="68" t="n">
        <f aca="false">((($V35-$V$33)/($V$38-$V$33))*(X$38-X$33))+X$33</f>
        <v>0.00154</v>
      </c>
      <c r="Y35" s="68" t="n">
        <f aca="false">((($V35-$V$33)/($V$38-$V$33))*(Y$38-Y$33))+Y$33</f>
        <v>0.00154</v>
      </c>
      <c r="Z35" s="68" t="n">
        <f aca="false">((($V35-$V$33)/($V$38-$V$33))*(Z$38-Z$33))+Z$33</f>
        <v>0.00154</v>
      </c>
      <c r="AA35" s="68" t="n">
        <f aca="false">((($V35-$V$33)/($V$38-$V$33))*(AA$38-AA$33))+AA$33</f>
        <v>0.00234</v>
      </c>
      <c r="AB35" s="69" t="n">
        <f aca="false">((($V35-$V$33)/($V$38-$V$33))*(AB$38-AB$33))+AB$33</f>
        <v>0.00254</v>
      </c>
      <c r="AD35" s="31"/>
      <c r="AE35" s="31" t="n">
        <v>5.357812501</v>
      </c>
      <c r="AF35" s="34" t="n">
        <v>0.2109375</v>
      </c>
      <c r="AG35" s="32" t="n">
        <v>0.21875</v>
      </c>
      <c r="AH35" s="35"/>
      <c r="AI35" s="70"/>
      <c r="AJ35" s="31"/>
    </row>
    <row r="36" customFormat="false" ht="13.2" hidden="false" customHeight="false" outlineLevel="0" collapsed="false">
      <c r="A36" s="80"/>
      <c r="B36" s="81"/>
      <c r="C36" s="81"/>
      <c r="D36" s="81"/>
      <c r="E36" s="81"/>
      <c r="F36" s="81"/>
      <c r="G36" s="81"/>
      <c r="H36" s="81"/>
      <c r="I36" s="81"/>
      <c r="J36" s="82" t="str">
        <f aca="false">IF(Q36="","",IF($D$13&lt;40,0.00022,VLOOKUP($D$13,$V$16:$AB$38,Q36,FALSE())))</f>
        <v/>
      </c>
      <c r="K36" s="83" t="str">
        <f aca="false">IF(C36="","",IF(H36="U",0.02,0.1))</f>
        <v/>
      </c>
      <c r="L36" s="84" t="str">
        <f aca="false">IF(OR(B36="",F36=""),"",(K36*(B36^2))/($D$11*F36*G36))</f>
        <v/>
      </c>
      <c r="M36" s="84" t="str">
        <f aca="false">IF(C36="","",(K36/(J36*$D$11*G36))*(D36^2)*(C36^2)*(400/$H$10))</f>
        <v/>
      </c>
      <c r="N36" s="84" t="str">
        <f aca="false">IF(E36="","",(K36*E36^2*60*$H$9)/($D$11*G36))</f>
        <v/>
      </c>
      <c r="O36" s="85" t="str">
        <f aca="false">IF(N36="","",IF((-LN(N36)/LN(2))&lt;0,0,-LN(N36)/LN(2)))</f>
        <v/>
      </c>
      <c r="P36" s="86" t="str">
        <f aca="false">IF(L36="","",IF((-LN(L36)/LN(2))&lt;0,0,-LN(L36)/LN(2)))</f>
        <v/>
      </c>
      <c r="Q36" s="87" t="str">
        <f aca="false">IF(I36="","",IF(I36=30,2,IF(I36=45,3,IF(I36=4,11,IF(I36=90,5,IF(I36=120,6,7))))))</f>
        <v/>
      </c>
      <c r="V36" s="88" t="n">
        <v>140</v>
      </c>
      <c r="W36" s="68" t="n">
        <f aca="false">((($V36-$V$33)/($V$38-$V$33))*(W$38-W$33))+W$33</f>
        <v>0.00192</v>
      </c>
      <c r="X36" s="68" t="n">
        <f aca="false">((($V36-$V$33)/($V$38-$V$33))*(X$38-X$33))+X$33</f>
        <v>0.00156</v>
      </c>
      <c r="Y36" s="68" t="n">
        <f aca="false">((($V36-$V$33)/($V$38-$V$33))*(Y$38-Y$33))+Y$33</f>
        <v>0.00156</v>
      </c>
      <c r="Z36" s="68" t="n">
        <f aca="false">((($V36-$V$33)/($V$38-$V$33))*(Z$38-Z$33))+Z$33</f>
        <v>0.00156</v>
      </c>
      <c r="AA36" s="68" t="n">
        <f aca="false">((($V36-$V$33)/($V$38-$V$33))*(AA$38-AA$33))+AA$33</f>
        <v>0.00236</v>
      </c>
      <c r="AB36" s="69" t="n">
        <f aca="false">((($V36-$V$33)/($V$38-$V$33))*(AB$38-AB$33))+AB$33</f>
        <v>0.00256</v>
      </c>
      <c r="AD36" s="31"/>
      <c r="AE36" s="31" t="n">
        <v>5.556250001</v>
      </c>
      <c r="AF36" s="34" t="n">
        <v>0.21875</v>
      </c>
      <c r="AG36" s="32" t="n">
        <v>0.21875</v>
      </c>
      <c r="AH36" s="35"/>
      <c r="AI36" s="70"/>
      <c r="AJ36" s="31"/>
    </row>
    <row r="37" customFormat="false" ht="13.2" hidden="false" customHeight="false" outlineLevel="0" collapsed="false">
      <c r="A37" s="80"/>
      <c r="B37" s="81"/>
      <c r="C37" s="81"/>
      <c r="D37" s="81"/>
      <c r="E37" s="81"/>
      <c r="F37" s="81"/>
      <c r="G37" s="81"/>
      <c r="H37" s="81"/>
      <c r="I37" s="81"/>
      <c r="J37" s="82" t="str">
        <f aca="false">IF(Q37="","",IF($D$13&lt;40,0.00022,VLOOKUP($D$13,$V$16:$AB$38,Q37,FALSE())))</f>
        <v/>
      </c>
      <c r="K37" s="83" t="str">
        <f aca="false">IF(C37="","",IF(H37="U",0.02,0.1))</f>
        <v/>
      </c>
      <c r="L37" s="84" t="str">
        <f aca="false">IF(OR(B37="",F37=""),"",(K37*(B37^2))/($D$11*F37*G37))</f>
        <v/>
      </c>
      <c r="M37" s="84" t="str">
        <f aca="false">IF(C37="","",(K37/(J37*$D$11*G37))*(D37^2)*(C37^2)*(400/$H$10))</f>
        <v/>
      </c>
      <c r="N37" s="84" t="str">
        <f aca="false">IF(E37="","",(K37*E37^2*60*$H$9)/($D$11*G37))</f>
        <v/>
      </c>
      <c r="O37" s="85" t="str">
        <f aca="false">IF(N37="","",IF((-LN(N37)/LN(2))&lt;0,0,-LN(N37)/LN(2)))</f>
        <v/>
      </c>
      <c r="P37" s="86" t="str">
        <f aca="false">IF(L37="","",IF((-LN(L37)/LN(2))&lt;0,0,-LN(L37)/LN(2)))</f>
        <v/>
      </c>
      <c r="Q37" s="87" t="str">
        <f aca="false">IF(I37="","",IF(I37=30,2,IF(I37=45,3,IF(I37=4,11,IF(I37=90,5,IF(I37=120,6,7))))))</f>
        <v/>
      </c>
      <c r="V37" s="88" t="n">
        <v>145</v>
      </c>
      <c r="W37" s="68" t="n">
        <f aca="false">((($V37-$V$33)/($V$38-$V$33))*(W$38-W$33))+W$33</f>
        <v>0.00196</v>
      </c>
      <c r="X37" s="68" t="n">
        <f aca="false">((($V37-$V$33)/($V$38-$V$33))*(X$38-X$33))+X$33</f>
        <v>0.00158</v>
      </c>
      <c r="Y37" s="68" t="n">
        <f aca="false">((($V37-$V$33)/($V$38-$V$33))*(Y$38-Y$33))+Y$33</f>
        <v>0.00158</v>
      </c>
      <c r="Z37" s="68" t="n">
        <f aca="false">((($V37-$V$33)/($V$38-$V$33))*(Z$38-Z$33))+Z$33</f>
        <v>0.00158</v>
      </c>
      <c r="AA37" s="68" t="n">
        <f aca="false">((($V37-$V$33)/($V$38-$V$33))*(AA$38-AA$33))+AA$33</f>
        <v>0.00238</v>
      </c>
      <c r="AB37" s="69" t="n">
        <f aca="false">((($V37-$V$33)/($V$38-$V$33))*(AB$38-AB$33))+AB$33</f>
        <v>0.00258</v>
      </c>
      <c r="AD37" s="31"/>
      <c r="AE37" s="31" t="n">
        <v>5.754687501</v>
      </c>
      <c r="AF37" s="34" t="n">
        <v>0.2265625</v>
      </c>
      <c r="AG37" s="32" t="n">
        <v>0.25</v>
      </c>
      <c r="AH37" s="35"/>
      <c r="AI37" s="70"/>
      <c r="AJ37" s="31"/>
    </row>
    <row r="38" customFormat="false" ht="13.8" hidden="false" customHeight="false" outlineLevel="0" collapsed="false">
      <c r="A38" s="80"/>
      <c r="B38" s="81"/>
      <c r="C38" s="81"/>
      <c r="D38" s="81"/>
      <c r="E38" s="81"/>
      <c r="F38" s="81"/>
      <c r="G38" s="81"/>
      <c r="H38" s="81"/>
      <c r="I38" s="81"/>
      <c r="J38" s="82" t="str">
        <f aca="false">IF(Q38="","",IF($D$13&lt;40,0.00022,VLOOKUP($D$13,$V$16:$AB$38,Q38,FALSE())))</f>
        <v/>
      </c>
      <c r="K38" s="83" t="str">
        <f aca="false">IF(C38="","",IF(H38="U",0.02,0.1))</f>
        <v/>
      </c>
      <c r="L38" s="84" t="str">
        <f aca="false">IF(OR(B38="",F38=""),"",(K38*(B38^2))/($D$11*F38*G38))</f>
        <v/>
      </c>
      <c r="M38" s="84" t="str">
        <f aca="false">IF(C38="","",(K38/(J38*$D$11*G38))*(D38^2)*(C38^2)*(400/$H$10))</f>
        <v/>
      </c>
      <c r="N38" s="84" t="str">
        <f aca="false">IF(E38="","",(K38*E38^2*60*$H$9)/($D$11*G38))</f>
        <v/>
      </c>
      <c r="O38" s="85" t="str">
        <f aca="false">IF(N38="","",IF((-LN(N38)/LN(2))&lt;0,0,-LN(N38)/LN(2)))</f>
        <v/>
      </c>
      <c r="P38" s="86" t="str">
        <f aca="false">IF(L38="","",IF((-LN(L38)/LN(2))&lt;0,0,-LN(L38)/LN(2)))</f>
        <v/>
      </c>
      <c r="Q38" s="87" t="str">
        <f aca="false">IF(I38="","",IF(I38=30,2,IF(I38=45,3,IF(I38=4,11,IF(I38=90,5,IF(I38=120,6,7))))))</f>
        <v/>
      </c>
      <c r="V38" s="89" t="n">
        <v>150</v>
      </c>
      <c r="W38" s="90" t="n">
        <v>0.002</v>
      </c>
      <c r="X38" s="90" t="n">
        <v>0.0016</v>
      </c>
      <c r="Y38" s="90" t="n">
        <v>0.0016</v>
      </c>
      <c r="Z38" s="90" t="n">
        <v>0.0016</v>
      </c>
      <c r="AA38" s="90" t="n">
        <v>0.0024</v>
      </c>
      <c r="AB38" s="91" t="n">
        <v>0.0026</v>
      </c>
      <c r="AD38" s="31"/>
      <c r="AE38" s="31" t="n">
        <v>5.953125001</v>
      </c>
      <c r="AF38" s="34" t="n">
        <v>0.234375</v>
      </c>
      <c r="AG38" s="32" t="n">
        <v>0.25</v>
      </c>
      <c r="AH38" s="35"/>
      <c r="AI38" s="70"/>
      <c r="AJ38" s="31"/>
    </row>
    <row r="39" customFormat="false" ht="13.8" hidden="false" customHeight="false" outlineLevel="0" collapsed="false">
      <c r="A39" s="80"/>
      <c r="B39" s="81"/>
      <c r="C39" s="81"/>
      <c r="D39" s="81"/>
      <c r="E39" s="81"/>
      <c r="F39" s="92"/>
      <c r="G39" s="81"/>
      <c r="H39" s="81"/>
      <c r="I39" s="81"/>
      <c r="J39" s="82" t="str">
        <f aca="false">IF(Q39="","",IF($D$13&lt;40,0.00022,VLOOKUP($D$13,$V$16:$AB$38,Q39,FALSE())))</f>
        <v/>
      </c>
      <c r="K39" s="83" t="str">
        <f aca="false">IF(C39="","",IF(H39="U",0.02,0.1))</f>
        <v/>
      </c>
      <c r="L39" s="84" t="str">
        <f aca="false">IF(OR(B39="",F39=""),"",(K39*(B39^2))/($D$11*F39*G39))</f>
        <v/>
      </c>
      <c r="M39" s="84" t="str">
        <f aca="false">IF(C39="","",(K39/(J39*$D$11*G39))*(D39^2)*(C39^2)*(400/$H$10))</f>
        <v/>
      </c>
      <c r="N39" s="84" t="str">
        <f aca="false">IF(E39="","",(K39*E39^2*60*$H$9)/($D$11*G39))</f>
        <v/>
      </c>
      <c r="O39" s="85" t="str">
        <f aca="false">IF(N39="","",IF((-LN(N39)/LN(2))&lt;0,0,-LN(N39)/LN(2)))</f>
        <v/>
      </c>
      <c r="P39" s="86" t="str">
        <f aca="false">IF(L39="","",IF((-LN(L39)/LN(2))&lt;0,0,-LN(L39)/LN(2)))</f>
        <v/>
      </c>
      <c r="Q39" s="87" t="str">
        <f aca="false">IF(I39="","",IF(I39=30,2,IF(I39=45,3,IF(I39=4,11,IF(I39=90,5,IF(I39=120,6,7))))))</f>
        <v/>
      </c>
      <c r="W39" s="93"/>
      <c r="X39" s="94" t="s">
        <v>84</v>
      </c>
      <c r="AD39" s="31"/>
      <c r="AE39" s="31" t="n">
        <v>6.151562501</v>
      </c>
      <c r="AF39" s="34" t="n">
        <v>0.2421875</v>
      </c>
      <c r="AG39" s="32" t="n">
        <v>0.25</v>
      </c>
      <c r="AH39" s="35"/>
      <c r="AI39" s="70"/>
      <c r="AJ39" s="31"/>
    </row>
    <row r="40" customFormat="false" ht="13.2" hidden="false" customHeight="false" outlineLevel="0" collapsed="false">
      <c r="A40" s="95" t="s">
        <v>85</v>
      </c>
      <c r="E40" s="6" t="s">
        <v>86</v>
      </c>
      <c r="F40" s="96" t="str">
        <f aca="false">IF(A26="","",SUM(F26:F38))</f>
        <v/>
      </c>
      <c r="AD40" s="31"/>
      <c r="AE40" s="0" t="n">
        <v>6.350000001</v>
      </c>
      <c r="AF40" s="34" t="n">
        <v>0.25</v>
      </c>
      <c r="AG40" s="32" t="s">
        <v>87</v>
      </c>
      <c r="AH40" s="35"/>
      <c r="AI40" s="70"/>
    </row>
    <row r="41" customFormat="false" ht="12.75" hidden="false" customHeight="true" outlineLevel="0" collapsed="false">
      <c r="A41" s="97" t="str">
        <f aca="false">IF(D8="","",B3&amp;"        Workload ="&amp;D11&amp;"   mA * min /wk"&amp;" @ "&amp;D13&amp;" kVp")</f>
        <v/>
      </c>
      <c r="AD41" s="31"/>
      <c r="AE41" s="31" t="n">
        <v>25.400000001</v>
      </c>
    </row>
    <row r="42" customFormat="false" ht="12.75" hidden="false" customHeight="true" outlineLevel="0" collapsed="false">
      <c r="A42" s="12" t="s">
        <v>88</v>
      </c>
      <c r="B42" s="21"/>
      <c r="C42" s="21"/>
      <c r="D42" s="12" t="str">
        <f aca="false">IF($B$3="","",$B$3)</f>
        <v/>
      </c>
      <c r="E42" s="21"/>
      <c r="F42" s="21"/>
      <c r="G42" s="21"/>
      <c r="H42" s="21"/>
      <c r="I42" s="21"/>
      <c r="J42" s="21"/>
      <c r="K42" s="21"/>
      <c r="L42" s="21"/>
      <c r="M42" s="98" t="str">
        <f aca="false">IF($B$5="","",$B$5)</f>
        <v/>
      </c>
      <c r="N42" s="49" t="s">
        <v>89</v>
      </c>
      <c r="O42" s="99" t="s">
        <v>90</v>
      </c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100" t="s">
        <v>90</v>
      </c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</row>
    <row r="43" customFormat="false" ht="13.2" hidden="false" customHeight="false" outlineLevel="0" collapsed="false">
      <c r="A43" s="12"/>
      <c r="B43" s="101" t="s">
        <v>60</v>
      </c>
      <c r="C43" s="101"/>
      <c r="D43" s="101"/>
      <c r="E43" s="102" t="s">
        <v>62</v>
      </c>
      <c r="F43" s="102"/>
      <c r="G43" s="102"/>
      <c r="H43" s="101" t="s">
        <v>91</v>
      </c>
      <c r="I43" s="101"/>
      <c r="J43" s="101"/>
      <c r="K43" s="103" t="s">
        <v>92</v>
      </c>
      <c r="L43" s="21"/>
      <c r="M43" s="104"/>
      <c r="N43" s="49" t="s">
        <v>93</v>
      </c>
      <c r="O43" s="105"/>
      <c r="P43" s="29"/>
      <c r="Q43" s="29"/>
      <c r="R43" s="29"/>
      <c r="S43" s="21"/>
      <c r="T43" s="50"/>
      <c r="U43" s="29"/>
      <c r="V43" s="29"/>
      <c r="W43" s="29"/>
      <c r="X43" s="21"/>
      <c r="Y43" s="50"/>
      <c r="Z43" s="21"/>
      <c r="AA43" s="21"/>
      <c r="AB43" s="21"/>
      <c r="AC43" s="21"/>
      <c r="AD43" s="50"/>
      <c r="AE43" s="49"/>
      <c r="AF43" s="21"/>
      <c r="AG43" s="21"/>
      <c r="AH43" s="21"/>
      <c r="AI43" s="50"/>
      <c r="AJ43" s="21"/>
      <c r="AK43" s="21"/>
      <c r="AL43" s="21"/>
      <c r="AM43" s="21"/>
      <c r="AN43" s="50"/>
      <c r="AO43" s="21"/>
      <c r="AP43" s="21"/>
      <c r="AQ43" s="21"/>
      <c r="AR43" s="21"/>
      <c r="AS43" s="50"/>
      <c r="AT43" s="51"/>
    </row>
    <row r="44" customFormat="false" ht="13.2" hidden="false" customHeight="false" outlineLevel="0" collapsed="false">
      <c r="A44" s="77" t="s">
        <v>68</v>
      </c>
      <c r="B44" s="53" t="str">
        <f aca="false">$A$17</f>
        <v>Lead</v>
      </c>
      <c r="C44" s="54" t="str">
        <f aca="false">$A$18</f>
        <v>Concrete</v>
      </c>
      <c r="D44" s="106" t="str">
        <f aca="false">$A$19</f>
        <v>Gypsum</v>
      </c>
      <c r="E44" s="53" t="str">
        <f aca="false">B44</f>
        <v>Lead</v>
      </c>
      <c r="F44" s="54" t="str">
        <f aca="false">C44</f>
        <v>Concrete</v>
      </c>
      <c r="G44" s="107" t="str">
        <f aca="false">D44</f>
        <v>Gypsum</v>
      </c>
      <c r="H44" s="53" t="str">
        <f aca="false">B44</f>
        <v>Lead</v>
      </c>
      <c r="I44" s="54" t="str">
        <f aca="false">C44</f>
        <v>Concrete</v>
      </c>
      <c r="J44" s="106" t="str">
        <f aca="false">D44</f>
        <v>Gypsum</v>
      </c>
      <c r="K44" s="53" t="str">
        <f aca="false">H44</f>
        <v>Lead</v>
      </c>
      <c r="L44" s="54" t="str">
        <f aca="false">I44</f>
        <v>Concrete</v>
      </c>
      <c r="M44" s="106" t="str">
        <f aca="false">J44</f>
        <v>Gypsum</v>
      </c>
      <c r="N44" s="53" t="s">
        <v>94</v>
      </c>
      <c r="O44" s="49"/>
      <c r="P44" s="108" t="s">
        <v>95</v>
      </c>
      <c r="Q44" s="108"/>
      <c r="R44" s="108"/>
      <c r="S44" s="50"/>
      <c r="T44" s="50"/>
      <c r="U44" s="108" t="s">
        <v>96</v>
      </c>
      <c r="V44" s="108"/>
      <c r="W44" s="108"/>
      <c r="X44" s="50"/>
      <c r="Y44" s="50"/>
      <c r="Z44" s="108" t="s">
        <v>53</v>
      </c>
      <c r="AA44" s="108"/>
      <c r="AB44" s="108"/>
      <c r="AC44" s="50"/>
      <c r="AD44" s="50"/>
      <c r="AE44" s="101" t="s">
        <v>55</v>
      </c>
      <c r="AF44" s="101"/>
      <c r="AG44" s="101"/>
      <c r="AH44" s="50"/>
      <c r="AI44" s="50"/>
      <c r="AJ44" s="108" t="s">
        <v>97</v>
      </c>
      <c r="AK44" s="108"/>
      <c r="AL44" s="108"/>
      <c r="AM44" s="50"/>
      <c r="AN44" s="50"/>
      <c r="AO44" s="108" t="s">
        <v>59</v>
      </c>
      <c r="AP44" s="108"/>
      <c r="AQ44" s="108"/>
      <c r="AR44" s="50"/>
      <c r="AS44" s="50"/>
      <c r="AT44" s="58"/>
    </row>
    <row r="45" customFormat="false" ht="13.2" hidden="false" customHeight="false" outlineLevel="0" collapsed="false">
      <c r="A45" s="109" t="str">
        <f aca="false">IF($A26="","",$A26)</f>
        <v/>
      </c>
      <c r="B45" s="110" t="str">
        <f aca="false">IF(OR($B26=0,$F26=""),"",(1/($B$17*$D$17))*LN(((($L26/$E$17)^-$D$17)+($C$17/$B$17))/(1+($C$17/$B$17))))</f>
        <v/>
      </c>
      <c r="C45" s="111" t="str">
        <f aca="false">IF(OR($B26=0,$F26=""),"",(1/($B$18*$D$18))*LN(((($L26/$E$18)^-$D$18)+($C$18/$B$18))/(1+($C$18/$B$18))))</f>
        <v/>
      </c>
      <c r="D45" s="111" t="str">
        <f aca="false">IF(OR($B26=0,$F26=""),"",(1/($B$19*$D$19))*LN(((($L26/$E$19)^-$D$19)+($C$19/$B$19))/(1+($C$19/$B$19))))</f>
        <v/>
      </c>
      <c r="E45" s="110" t="str">
        <f aca="false">IF($C26="","",IF((1/($B$17*$D$17))*LN(((($M26/$E$17)^-$D$17)+($C$17/$B$17))/(1+($C$17/$B$17)))&lt;0,0,(1/($B$17*$D$17))*LN(((($M26/$E$17)^-$D$17)+($C$17/$B$17))/(1+($C$17/$B$17)))))</f>
        <v/>
      </c>
      <c r="F45" s="111" t="str">
        <f aca="false">IF($C26="","",IF((1/($B$18*$D$18))*LN(((($M26/$E$18)^-$D$18)+($C$18/$B$18))/(1+($C$18/$B$18)))&lt;0,0,(1/($B$18*$D$18))*LN(((($M26/$E$18)^-$D$18)+($C$18/$B$18))/(1+($C$18/$B$18)))))</f>
        <v/>
      </c>
      <c r="G45" s="112" t="str">
        <f aca="false">IF($C26="","",IF((1/($B$19*$D$19))*LN(((($M26/$E$19)^-$D$19)+($C$19/$B$19))/(1+($C$19/$B$19)))&lt;0,0,(1/($B$19*$D$19))*LN(((($M26/$E$19)^-$D$19)+($C$19/$B$19))/(1+($C$19/$B$19)))))</f>
        <v/>
      </c>
      <c r="H45" s="113" t="str">
        <f aca="false">IF($N26="","",IF(-LN($N26)*$F$17/LN(2)&lt;0,0,-LN($N26)*$F$17/LN(2)))</f>
        <v/>
      </c>
      <c r="I45" s="113" t="str">
        <f aca="false">IF($N26="","",IF(-LN($N26)*$F$18/LN(2)&lt;0,0,-LN($N26)*$F$18/LN(2)))</f>
        <v/>
      </c>
      <c r="J45" s="113" t="str">
        <f aca="false">IF($N26="","",IF(-LN($N26)*$F$19/LN(2)&lt;0,0,-LN($N26)*$F$19/LN(2)))</f>
        <v/>
      </c>
      <c r="K45" s="110" t="str">
        <f aca="false">IF($E45="","",IF(AND($E45=0,$H45=0),0,IF(OR($E45=0,$H45=0),MAX($E45,$H45),IF(ABS($E45-$H45)&gt;$G$17,MAX($E45,$H45),(MAX($E45,$H45)+$F$17)))))</f>
        <v/>
      </c>
      <c r="L45" s="111" t="str">
        <f aca="false">IF($F45="","",IF(AND($F45=0,$I45=0),0,IF(OR($F45=0,$I45=0),MAX($F45,$I45),IF(ABS($F45-$I45)&gt;$G$18,MAX($F45,$I45),(MAX($F45,$I45)+$F$18)))))</f>
        <v/>
      </c>
      <c r="M45" s="111" t="str">
        <f aca="false">IF($G45="","",IF(AND($G45=0,$J45=0),0,IF(OR($G45=0,$J45=0),MAX($G45,$J45),IF(ABS($G45-$J45)&gt;$G$19,MAX($G45,$J45),(MAX($G45,$J45)+$F$19)))))</f>
        <v/>
      </c>
      <c r="N45" s="114" t="str">
        <f aca="false">IF(AND(B45="",E45="",H45=""),"",IF(B45="",LOOKUP(K45,mm_value,minimum_Pb),LOOKUP(B45,mm_value,minimum_Pb)))</f>
        <v/>
      </c>
      <c r="O45" s="53" t="s">
        <v>38</v>
      </c>
      <c r="P45" s="59" t="s">
        <v>41</v>
      </c>
      <c r="Q45" s="59" t="s">
        <v>42</v>
      </c>
      <c r="R45" s="59" t="s">
        <v>43</v>
      </c>
      <c r="S45" s="54" t="s">
        <v>45</v>
      </c>
      <c r="T45" s="54" t="s">
        <v>46</v>
      </c>
      <c r="U45" s="59" t="s">
        <v>41</v>
      </c>
      <c r="V45" s="59" t="s">
        <v>42</v>
      </c>
      <c r="W45" s="59" t="s">
        <v>43</v>
      </c>
      <c r="X45" s="54" t="s">
        <v>45</v>
      </c>
      <c r="Y45" s="54" t="s">
        <v>46</v>
      </c>
      <c r="Z45" s="59" t="s">
        <v>41</v>
      </c>
      <c r="AA45" s="59" t="s">
        <v>42</v>
      </c>
      <c r="AB45" s="59" t="s">
        <v>43</v>
      </c>
      <c r="AC45" s="54" t="s">
        <v>45</v>
      </c>
      <c r="AD45" s="54" t="s">
        <v>46</v>
      </c>
      <c r="AE45" s="115" t="s">
        <v>41</v>
      </c>
      <c r="AF45" s="59" t="s">
        <v>42</v>
      </c>
      <c r="AG45" s="59" t="s">
        <v>43</v>
      </c>
      <c r="AH45" s="54" t="s">
        <v>45</v>
      </c>
      <c r="AI45" s="54" t="s">
        <v>46</v>
      </c>
      <c r="AJ45" s="59" t="s">
        <v>41</v>
      </c>
      <c r="AK45" s="59" t="s">
        <v>42</v>
      </c>
      <c r="AL45" s="59" t="s">
        <v>43</v>
      </c>
      <c r="AM45" s="54" t="s">
        <v>45</v>
      </c>
      <c r="AN45" s="54" t="s">
        <v>46</v>
      </c>
      <c r="AO45" s="59" t="s">
        <v>41</v>
      </c>
      <c r="AP45" s="59" t="s">
        <v>42</v>
      </c>
      <c r="AQ45" s="59" t="s">
        <v>43</v>
      </c>
      <c r="AR45" s="54" t="s">
        <v>45</v>
      </c>
      <c r="AS45" s="54" t="s">
        <v>46</v>
      </c>
      <c r="AT45" s="55" t="s">
        <v>98</v>
      </c>
    </row>
    <row r="46" customFormat="false" ht="13.2" hidden="false" customHeight="false" outlineLevel="0" collapsed="false">
      <c r="A46" s="109" t="str">
        <f aca="false">IF($A27="","",$A27)</f>
        <v/>
      </c>
      <c r="B46" s="110" t="str">
        <f aca="false">IF(OR($B27=0,$F27=""),"",(1/($B$17*$D$17))*LN(((($L27/$E$17)^-$D$17)+($C$17/$B$17))/(1+($C$17/$B$17))))</f>
        <v/>
      </c>
      <c r="C46" s="111" t="str">
        <f aca="false">IF(OR($B27=0,$F27=""),"",(1/($B$18*$D$18))*LN(((($L27/$E$18)^-$D$18)+($C$18/$B$18))/(1+($C$18/$B$18))))</f>
        <v/>
      </c>
      <c r="D46" s="111" t="str">
        <f aca="false">IF(OR($B27=0,$F27=""),"",(1/($B$19*$D$19))*LN(((($L27/$E$19)^-$D$19)+($C$19/$B$19))/(1+($C$19/$B$19))))</f>
        <v/>
      </c>
      <c r="E46" s="110" t="str">
        <f aca="false">IF($C27="","",IF((1/($B$17*$D$17))*LN(((($M27/$E$17)^-$D$17)+($C$17/$B$17))/(1+($C$17/$B$17)))&lt;0,0,(1/($B$17*$D$17))*LN(((($M27/$E$17)^-$D$17)+($C$17/$B$17))/(1+($C$17/$B$17)))))</f>
        <v/>
      </c>
      <c r="F46" s="111" t="str">
        <f aca="false">IF($C27="","",IF((1/($B$18*$D$18))*LN(((($M27/$E$18)^-$D$18)+($C$18/$B$18))/(1+($C$18/$B$18)))&lt;0,0,(1/($B$18*$D$18))*LN(((($M27/$E$18)^-$D$18)+($C$18/$B$18))/(1+($C$18/$B$18)))))</f>
        <v/>
      </c>
      <c r="G46" s="112" t="str">
        <f aca="false">IF($C27="","",IF((1/($B$19*$D$19))*LN(((($M27/$E$19)^-$D$19)+($C$19/$B$19))/(1+($C$19/$B$19)))&lt;0,0,(1/($B$19*$D$19))*LN(((($M27/$E$19)^-$D$19)+($C$19/$B$19))/(1+($C$19/$B$19)))))</f>
        <v/>
      </c>
      <c r="H46" s="113" t="str">
        <f aca="false">IF($N27="","",IF(-LN($N27)*$F$17/LN(2)&lt;0,0,-LN($N27)*$F$17/LN(2)))</f>
        <v/>
      </c>
      <c r="I46" s="113" t="str">
        <f aca="false">IF($N27="","",IF(-LN($N27)*$F$18/LN(2)&lt;0,0,-LN($N27)*$F$18/LN(2)))</f>
        <v/>
      </c>
      <c r="J46" s="113" t="str">
        <f aca="false">IF($N27="","",IF(-LN($N27)*$F$19/LN(2)&lt;0,0,-LN($N27)*$F$19/LN(2)))</f>
        <v/>
      </c>
      <c r="K46" s="110" t="str">
        <f aca="false">IF($E46="","",IF(AND($E46=0,$H46=0),0,IF(OR($E46=0,$H46=0),MAX($E46,$H46),IF(ABS($E46-$H46)&gt;$G$17,MAX($E46,$H46),(MAX($E46,$H46)+$F$17)))))</f>
        <v/>
      </c>
      <c r="L46" s="111" t="str">
        <f aca="false">IF($F46="","",IF(AND($F46=0,$I46=0),0,IF(OR($F46=0,$I46=0),MAX($F46,$I46),IF(ABS($F46-$I46)&gt;$G$18,MAX($F46,$I46),(MAX($F46,$I46)+$F$18)))))</f>
        <v/>
      </c>
      <c r="M46" s="111" t="str">
        <f aca="false">IF($G46="","",IF(AND($G46=0,$J46=0),0,IF(OR($G46=0,$J46=0),MAX($G46,$J46),IF(ABS($G46-$J46)&gt;$G$19,MAX($G46,$J46),(MAX($G46,$J46)+$F$19)))))</f>
        <v/>
      </c>
      <c r="N46" s="114" t="str">
        <f aca="false">IF(AND(B46="",E46="",H46=""),"",IF(B46="",LOOKUP(K46,mm_value,minimum_Pb),LOOKUP(B46,mm_value,minimum_Pb)))</f>
        <v/>
      </c>
      <c r="O46" s="49" t="n">
        <v>25</v>
      </c>
      <c r="P46" s="116" t="n">
        <v>49.52</v>
      </c>
      <c r="Q46" s="117" t="n">
        <v>194</v>
      </c>
      <c r="R46" s="116" t="n">
        <v>0.3037</v>
      </c>
      <c r="S46" s="118" t="n">
        <f aca="false">IF(P46="","",LN(2)/P46)</f>
        <v>0.0139973178626806</v>
      </c>
      <c r="T46" s="118" t="n">
        <f aca="false">IF(S46="","",(LN(10)/LN(2))*S46)</f>
        <v>0.0464980834611075</v>
      </c>
      <c r="U46" s="116" t="n">
        <v>0.3904</v>
      </c>
      <c r="V46" s="116" t="n">
        <v>1.645</v>
      </c>
      <c r="W46" s="116" t="n">
        <v>0.2757</v>
      </c>
      <c r="X46" s="118" t="n">
        <f aca="false">IF(U46="","",LN(2)/U46)</f>
        <v>1.7754794584015</v>
      </c>
      <c r="Y46" s="118" t="n">
        <f aca="false">IF(X46="","",(LN(10)/LN(2))*X46)</f>
        <v>5.89801509475934</v>
      </c>
      <c r="Z46" s="116" t="n">
        <v>0.1576</v>
      </c>
      <c r="AA46" s="116" t="n">
        <v>0.7175</v>
      </c>
      <c r="AB46" s="116" t="n">
        <v>0.3048</v>
      </c>
      <c r="AC46" s="118" t="n">
        <f aca="false">IF(Z46="","",LN(2)/Z46)</f>
        <v>4.3981420086291</v>
      </c>
      <c r="AD46" s="118" t="n">
        <f aca="false">IF(AC46="","",(LN(10)/LN(2))*AC46)</f>
        <v>14.6103115037693</v>
      </c>
      <c r="AE46" s="119" t="n">
        <v>9.364</v>
      </c>
      <c r="AF46" s="116" t="n">
        <v>41.25</v>
      </c>
      <c r="AG46" s="116" t="n">
        <v>0.3202</v>
      </c>
      <c r="AH46" s="118" t="n">
        <f aca="false">IF(AE46="","",LN(2)/AE46)</f>
        <v>0.0740225523878626</v>
      </c>
      <c r="AI46" s="118" t="n">
        <f aca="false">IF(AH46="","",(LN(10)/LN(2))*AH46)</f>
        <v>0.245897596432512</v>
      </c>
      <c r="AJ46" s="116" t="n">
        <v>0.3804</v>
      </c>
      <c r="AK46" s="116" t="n">
        <v>1.543</v>
      </c>
      <c r="AL46" s="116" t="n">
        <v>0.2869</v>
      </c>
      <c r="AM46" s="118" t="n">
        <f aca="false">IF(AJ46="","",LN(2)/AJ46)</f>
        <v>1.82215347150354</v>
      </c>
      <c r="AN46" s="118" t="n">
        <f aca="false">IF(AM46="","",(LN(10)/LN(2))*AM46)</f>
        <v>6.05306281018414</v>
      </c>
      <c r="AO46" s="120" t="n">
        <v>0.0223</v>
      </c>
      <c r="AP46" s="118" t="n">
        <v>0.0434</v>
      </c>
      <c r="AQ46" s="116" t="n">
        <v>0.1937</v>
      </c>
      <c r="AR46" s="118" t="n">
        <f aca="false">IF(AO46="","",LN(2)/AO46)</f>
        <v>31.0828332089662</v>
      </c>
      <c r="AS46" s="118" t="n">
        <f aca="false">IF(AR46="","",(LN(10)/LN(2))*AR46)</f>
        <v>103.254936905563</v>
      </c>
      <c r="AT46" s="121" t="n">
        <f aca="false">0.1965*O46-3.429</f>
        <v>1.4835</v>
      </c>
    </row>
    <row r="47" customFormat="false" ht="13.2" hidden="false" customHeight="false" outlineLevel="0" collapsed="false">
      <c r="A47" s="109" t="str">
        <f aca="false">IF($A28="","",$A28)</f>
        <v/>
      </c>
      <c r="B47" s="110" t="str">
        <f aca="false">IF(OR($B28=0,$F28=""),"",(1/($B$17*$D$17))*LN(((($L28/$E$17)^-$D$17)+($C$17/$B$17))/(1+($C$17/$B$17))))</f>
        <v/>
      </c>
      <c r="C47" s="111" t="str">
        <f aca="false">IF(OR($B28=0,$F28=""),"",(1/($B$18*$D$18))*LN(((($L28/$E$18)^-$D$18)+($C$18/$B$18))/(1+($C$18/$B$18))))</f>
        <v/>
      </c>
      <c r="D47" s="111" t="str">
        <f aca="false">IF(OR($B28=0,$F28=""),"",(1/($B$19*$D$19))*LN(((($L28/$E$19)^-$D$19)+($C$19/$B$19))/(1+($C$19/$B$19))))</f>
        <v/>
      </c>
      <c r="E47" s="110" t="str">
        <f aca="false">IF($C28="","",IF((1/($B$17*$D$17))*LN(((($M28/$E$17)^-$D$17)+($C$17/$B$17))/(1+($C$17/$B$17)))&lt;0,0,(1/($B$17*$D$17))*LN(((($M28/$E$17)^-$D$17)+($C$17/$B$17))/(1+($C$17/$B$17)))))</f>
        <v/>
      </c>
      <c r="F47" s="111" t="str">
        <f aca="false">IF($C28="","",IF((1/($B$18*$D$18))*LN(((($M28/$E$18)^-$D$18)+($C$18/$B$18))/(1+($C$18/$B$18)))&lt;0,0,(1/($B$18*$D$18))*LN(((($M28/$E$18)^-$D$18)+($C$18/$B$18))/(1+($C$18/$B$18)))))</f>
        <v/>
      </c>
      <c r="G47" s="112" t="str">
        <f aca="false">IF($C28="","",IF((1/($B$19*$D$19))*LN(((($M28/$E$19)^-$D$19)+($C$19/$B$19))/(1+($C$19/$B$19)))&lt;0,0,(1/($B$19*$D$19))*LN(((($M28/$E$19)^-$D$19)+($C$19/$B$19))/(1+($C$19/$B$19)))))</f>
        <v/>
      </c>
      <c r="H47" s="113" t="str">
        <f aca="false">IF($N28="","",IF(-LN($N28)*$F$17/LN(2)&lt;0,0,-LN($N28)*$F$17/LN(2)))</f>
        <v/>
      </c>
      <c r="I47" s="113" t="str">
        <f aca="false">IF($N28="","",IF(-LN($N28)*$F$18/LN(2)&lt;0,0,-LN($N28)*$F$18/LN(2)))</f>
        <v/>
      </c>
      <c r="J47" s="113" t="str">
        <f aca="false">IF($N28="","",IF(-LN($N28)*$F$19/LN(2)&lt;0,0,-LN($N28)*$F$19/LN(2)))</f>
        <v/>
      </c>
      <c r="K47" s="110" t="str">
        <f aca="false">IF($E47="","",IF(AND($E47=0,$H47=0),0,IF(OR($E47=0,$H47=0),MAX($E47,$H47),IF(ABS($E47-$H47)&gt;$G$17,MAX($E47,$H47),(MAX($E47,$H47)+$F$17)))))</f>
        <v/>
      </c>
      <c r="L47" s="111" t="str">
        <f aca="false">IF($F47="","",IF(AND($F47=0,$I47=0),0,IF(OR($F47=0,$I47=0),MAX($F47,$I47),IF(ABS($F47-$I47)&gt;$G$18,MAX($F47,$I47),(MAX($F47,$I47)+$F$18)))))</f>
        <v/>
      </c>
      <c r="M47" s="111" t="str">
        <f aca="false">IF($G47="","",IF(AND($G47=0,$J47=0),0,IF(OR($G47=0,$J47=0),MAX($G47,$J47),IF(ABS($G47-$J47)&gt;$G$19,MAX($G47,$J47),(MAX($G47,$J47)+$F$19)))))</f>
        <v/>
      </c>
      <c r="N47" s="114" t="str">
        <f aca="false">IF(AND(B47="",E47="",H47=""),"",IF(B47="",LOOKUP(K47,mm_value,minimum_Pb),LOOKUP(B47,mm_value,minimum_Pb)))</f>
        <v/>
      </c>
      <c r="O47" s="49" t="n">
        <v>30</v>
      </c>
      <c r="P47" s="116" t="n">
        <v>38.8</v>
      </c>
      <c r="Q47" s="117" t="n">
        <v>178</v>
      </c>
      <c r="R47" s="116" t="n">
        <v>0.3473</v>
      </c>
      <c r="S47" s="118" t="n">
        <f aca="false">IF(P47="","",LN(2)/P47)</f>
        <v>0.0178646180556687</v>
      </c>
      <c r="T47" s="118" t="n">
        <f aca="false">IF(S47="","",(LN(10)/LN(2))*S47)</f>
        <v>0.0593449766235579</v>
      </c>
      <c r="U47" s="116" t="n">
        <v>0.3173</v>
      </c>
      <c r="V47" s="116" t="n">
        <v>1.698</v>
      </c>
      <c r="W47" s="116" t="n">
        <v>0.3593</v>
      </c>
      <c r="X47" s="118" t="n">
        <f aca="false">IF(U47="","",LN(2)/U47)</f>
        <v>2.1845167997477</v>
      </c>
      <c r="Y47" s="118" t="n">
        <f aca="false">IF(X47="","",(LN(10)/LN(2))*X47)</f>
        <v>7.25680773083532</v>
      </c>
      <c r="Z47" s="116" t="n">
        <v>0.1208</v>
      </c>
      <c r="AA47" s="116" t="n">
        <v>0.7043</v>
      </c>
      <c r="AB47" s="116" t="n">
        <v>0.3613</v>
      </c>
      <c r="AC47" s="118" t="n">
        <f aca="false">IF(Z47="","",LN(2)/Z47)</f>
        <v>5.73797334900617</v>
      </c>
      <c r="AD47" s="118" t="n">
        <f aca="false">IF(AC47="","",(LN(10)/LN(2))*AC47)</f>
        <v>19.0611348757785</v>
      </c>
      <c r="AE47" s="119" t="n">
        <v>7.406</v>
      </c>
      <c r="AF47" s="116" t="n">
        <v>41.93</v>
      </c>
      <c r="AG47" s="116" t="n">
        <v>0.3959</v>
      </c>
      <c r="AH47" s="118" t="n">
        <f aca="false">IF(AE47="","",LN(2)/AE47)</f>
        <v>0.0935926519794687</v>
      </c>
      <c r="AI47" s="118" t="n">
        <f aca="false">IF(AH47="","",(LN(10)/LN(2))*AH47)</f>
        <v>0.310908060085612</v>
      </c>
      <c r="AJ47" s="116" t="n">
        <v>0.3061</v>
      </c>
      <c r="AK47" s="116" t="n">
        <v>1.599</v>
      </c>
      <c r="AL47" s="116" t="n">
        <v>0.3693</v>
      </c>
      <c r="AM47" s="118" t="n">
        <f aca="false">IF(AJ47="","",LN(2)/AJ47)</f>
        <v>2.26444684926477</v>
      </c>
      <c r="AN47" s="118" t="n">
        <f aca="false">IF(AM47="","",(LN(10)/LN(2))*AM47)</f>
        <v>7.5223296079518</v>
      </c>
      <c r="AO47" s="120" t="n">
        <v>0.02166</v>
      </c>
      <c r="AP47" s="118" t="n">
        <v>0.03966</v>
      </c>
      <c r="AQ47" s="116" t="n">
        <v>0.2843</v>
      </c>
      <c r="AR47" s="118" t="n">
        <f aca="false">IF(AO47="","",LN(2)/AO47)</f>
        <v>32.001254873497</v>
      </c>
      <c r="AS47" s="118" t="n">
        <f aca="false">IF(AR47="","",(LN(10)/LN(2))*AR47)</f>
        <v>106.305867635921</v>
      </c>
      <c r="AT47" s="121" t="n">
        <f aca="false">0.1965*O47-3.429</f>
        <v>2.466</v>
      </c>
    </row>
    <row r="48" customFormat="false" ht="13.2" hidden="false" customHeight="false" outlineLevel="0" collapsed="false">
      <c r="A48" s="109" t="str">
        <f aca="false">IF($A29="","",$A29)</f>
        <v/>
      </c>
      <c r="B48" s="110" t="str">
        <f aca="false">IF(OR($B29=0,$F29=""),"",(1/($B$17*$D$17))*LN(((($L29/$E$17)^-$D$17)+($C$17/$B$17))/(1+($C$17/$B$17))))</f>
        <v/>
      </c>
      <c r="C48" s="111" t="str">
        <f aca="false">IF(OR($B29=0,$F29=""),"",(1/($B$18*$D$18))*LN(((($L29/$E$18)^-$D$18)+($C$18/$B$18))/(1+($C$18/$B$18))))</f>
        <v/>
      </c>
      <c r="D48" s="111" t="str">
        <f aca="false">IF(OR($B29=0,$F29=""),"",(1/($B$19*$D$19))*LN(((($L29/$E$19)^-$D$19)+($C$19/$B$19))/(1+($C$19/$B$19))))</f>
        <v/>
      </c>
      <c r="E48" s="110" t="str">
        <f aca="false">IF($C29="","",IF((1/($B$17*$D$17))*LN(((($M29/$E$17)^-$D$17)+($C$17/$B$17))/(1+($C$17/$B$17)))&lt;0,0,(1/($B$17*$D$17))*LN(((($M29/$E$17)^-$D$17)+($C$17/$B$17))/(1+($C$17/$B$17)))))</f>
        <v/>
      </c>
      <c r="F48" s="111" t="str">
        <f aca="false">IF($C29="","",IF((1/($B$18*$D$18))*LN(((($M29/$E$18)^-$D$18)+($C$18/$B$18))/(1+($C$18/$B$18)))&lt;0,0,(1/($B$18*$D$18))*LN(((($M29/$E$18)^-$D$18)+($C$18/$B$18))/(1+($C$18/$B$18)))))</f>
        <v/>
      </c>
      <c r="G48" s="112" t="str">
        <f aca="false">IF($C29="","",IF((1/($B$19*$D$19))*LN(((($M29/$E$19)^-$D$19)+($C$19/$B$19))/(1+($C$19/$B$19)))&lt;0,0,(1/($B$19*$D$19))*LN(((($M29/$E$19)^-$D$19)+($C$19/$B$19))/(1+($C$19/$B$19)))))</f>
        <v/>
      </c>
      <c r="H48" s="113" t="str">
        <f aca="false">IF($N29="","",IF(-LN($N29)*$F$17/LN(2)&lt;0,0,-LN($N29)*$F$17/LN(2)))</f>
        <v/>
      </c>
      <c r="I48" s="113" t="str">
        <f aca="false">IF($N29="","",IF(-LN($N29)*$F$18/LN(2)&lt;0,0,-LN($N29)*$F$18/LN(2)))</f>
        <v/>
      </c>
      <c r="J48" s="113" t="str">
        <f aca="false">IF($N29="","",IF(-LN($N29)*$F$19/LN(2)&lt;0,0,-LN($N29)*$F$19/LN(2)))</f>
        <v/>
      </c>
      <c r="K48" s="110" t="str">
        <f aca="false">IF($E48="","",IF(AND($E48=0,$H48=0),0,IF(OR($E48=0,$H48=0),MAX($E48,$H48),IF(ABS($E48-$H48)&gt;$G$17,MAX($E48,$H48),(MAX($E48,$H48)+$F$17)))))</f>
        <v/>
      </c>
      <c r="L48" s="111" t="str">
        <f aca="false">IF($F48="","",IF(AND($F48=0,$I48=0),0,IF(OR($F48=0,$I48=0),MAX($F48,$I48),IF(ABS($F48-$I48)&gt;$G$18,MAX($F48,$I48),(MAX($F48,$I48)+$F$18)))))</f>
        <v/>
      </c>
      <c r="M48" s="111" t="str">
        <f aca="false">IF($G48="","",IF(AND($G48=0,$J48=0),0,IF(OR($G48=0,$J48=0),MAX($G48,$J48),IF(ABS($G48-$J48)&gt;$G$19,MAX($G48,$J48),(MAX($G48,$J48)+$F$19)))))</f>
        <v/>
      </c>
      <c r="N48" s="114" t="str">
        <f aca="false">IF(AND(B48="",E48="",H48=""),"",IF(B48="",LOOKUP(K48,mm_value,minimum_Pb),LOOKUP(B48,mm_value,minimum_Pb)))</f>
        <v/>
      </c>
      <c r="O48" s="49" t="n">
        <v>35</v>
      </c>
      <c r="P48" s="116" t="n">
        <v>29.55</v>
      </c>
      <c r="Q48" s="117" t="n">
        <v>164.7</v>
      </c>
      <c r="R48" s="116" t="n">
        <v>0.3948</v>
      </c>
      <c r="S48" s="118" t="n">
        <f aca="false">IF(P48="","",LN(2)/P48)</f>
        <v>0.0234567573793552</v>
      </c>
      <c r="T48" s="118" t="n">
        <f aca="false">IF(S48="","",(LN(10)/LN(2))*S48)</f>
        <v>0.0779216613534364</v>
      </c>
      <c r="U48" s="116" t="n">
        <v>0.2528</v>
      </c>
      <c r="V48" s="116" t="n">
        <v>1.807</v>
      </c>
      <c r="W48" s="116" t="n">
        <v>0.4648</v>
      </c>
      <c r="X48" s="118" t="n">
        <f aca="false">IF(U48="","",LN(2)/U48)</f>
        <v>2.74187966993649</v>
      </c>
      <c r="Y48" s="118" t="n">
        <f aca="false">IF(X48="","",(LN(10)/LN(2))*X48)</f>
        <v>9.10832710836252</v>
      </c>
      <c r="Z48" s="116" t="n">
        <v>0.08878</v>
      </c>
      <c r="AA48" s="116" t="n">
        <v>0.6988</v>
      </c>
      <c r="AB48" s="116" t="n">
        <v>0.4245</v>
      </c>
      <c r="AC48" s="118" t="n">
        <f aca="false">IF(Z48="","",LN(2)/Z48)</f>
        <v>7.80746993196604</v>
      </c>
      <c r="AD48" s="118" t="n">
        <f aca="false">IF(AC48="","",(LN(10)/LN(2))*AC48)</f>
        <v>25.9358537169863</v>
      </c>
      <c r="AE48" s="119" t="n">
        <v>5.716</v>
      </c>
      <c r="AF48" s="116" t="n">
        <v>43.41</v>
      </c>
      <c r="AG48" s="116" t="n">
        <v>0.4857</v>
      </c>
      <c r="AH48" s="118" t="n">
        <f aca="false">IF(AE48="","",LN(2)/AE48)</f>
        <v>0.121264377284805</v>
      </c>
      <c r="AI48" s="118" t="n">
        <f aca="false">IF(AH48="","",(LN(10)/LN(2))*AH48)</f>
        <v>0.402831541811415</v>
      </c>
      <c r="AJ48" s="116" t="n">
        <v>0.2396</v>
      </c>
      <c r="AK48" s="116" t="n">
        <v>1.694</v>
      </c>
      <c r="AL48" s="116" t="n">
        <v>0.4683</v>
      </c>
      <c r="AM48" s="118" t="n">
        <f aca="false">IF(AJ48="","",LN(2)/AJ48)</f>
        <v>2.89293481035036</v>
      </c>
      <c r="AN48" s="118" t="n">
        <f aca="false">IF(AM48="","",(LN(10)/LN(2))*AM48)</f>
        <v>9.61012142318049</v>
      </c>
      <c r="AO48" s="120" t="n">
        <v>0.01901</v>
      </c>
      <c r="AP48" s="118" t="n">
        <v>0.03873</v>
      </c>
      <c r="AQ48" s="116" t="n">
        <v>0.3732</v>
      </c>
      <c r="AR48" s="118" t="n">
        <f aca="false">IF(AO48="","",LN(2)/AO48)</f>
        <v>36.462239903206</v>
      </c>
      <c r="AS48" s="118" t="n">
        <f aca="false">IF(AR48="","",(LN(10)/LN(2))*AR48)</f>
        <v>121.124939136983</v>
      </c>
      <c r="AT48" s="121" t="n">
        <f aca="false">0.1965*O48-3.429</f>
        <v>3.4485</v>
      </c>
    </row>
    <row r="49" customFormat="false" ht="13.2" hidden="false" customHeight="false" outlineLevel="0" collapsed="false">
      <c r="A49" s="109" t="str">
        <f aca="false">IF($A30="","",$A30)</f>
        <v/>
      </c>
      <c r="B49" s="110" t="str">
        <f aca="false">IF(OR($B30=0,$F30=""),"",(1/($B$17*$D$17))*LN(((($L30/$E$17)^-$D$17)+($C$17/$B$17))/(1+($C$17/$B$17))))</f>
        <v/>
      </c>
      <c r="C49" s="111" t="str">
        <f aca="false">IF(OR($B30=0,$F30=""),"",(1/($B$18*$D$18))*LN(((($L30/$E$18)^-$D$18)+($C$18/$B$18))/(1+($C$18/$B$18))))</f>
        <v/>
      </c>
      <c r="D49" s="111" t="str">
        <f aca="false">IF(OR($B30=0,$F30=""),"",(1/($B$19*$D$19))*LN(((($L30/$E$19)^-$D$19)+($C$19/$B$19))/(1+($C$19/$B$19))))</f>
        <v/>
      </c>
      <c r="E49" s="110" t="str">
        <f aca="false">IF($C30="","",IF((1/($B$17*$D$17))*LN(((($M30/$E$17)^-$D$17)+($C$17/$B$17))/(1+($C$17/$B$17)))&lt;0,0,(1/($B$17*$D$17))*LN(((($M30/$E$17)^-$D$17)+($C$17/$B$17))/(1+($C$17/$B$17)))))</f>
        <v/>
      </c>
      <c r="F49" s="111" t="str">
        <f aca="false">IF($C30="","",IF((1/($B$18*$D$18))*LN(((($M30/$E$18)^-$D$18)+($C$18/$B$18))/(1+($C$18/$B$18)))&lt;0,0,(1/($B$18*$D$18))*LN(((($M30/$E$18)^-$D$18)+($C$18/$B$18))/(1+($C$18/$B$18)))))</f>
        <v/>
      </c>
      <c r="G49" s="112" t="str">
        <f aca="false">IF($C30="","",IF((1/($B$19*$D$19))*LN(((($M30/$E$19)^-$D$19)+($C$19/$B$19))/(1+($C$19/$B$19)))&lt;0,0,(1/($B$19*$D$19))*LN(((($M30/$E$19)^-$D$19)+($C$19/$B$19))/(1+($C$19/$B$19)))))</f>
        <v/>
      </c>
      <c r="H49" s="113" t="str">
        <f aca="false">IF($N30="","",IF(-LN($N30)*$F$17/LN(2)&lt;0,0,-LN($N30)*$F$17/LN(2)))</f>
        <v/>
      </c>
      <c r="I49" s="113" t="str">
        <f aca="false">IF($N30="","",IF(-LN($N30)*$F$18/LN(2)&lt;0,0,-LN($N30)*$F$18/LN(2)))</f>
        <v/>
      </c>
      <c r="J49" s="113" t="str">
        <f aca="false">IF($N30="","",IF(-LN($N30)*$F$19/LN(2)&lt;0,0,-LN($N30)*$F$19/LN(2)))</f>
        <v/>
      </c>
      <c r="K49" s="110" t="str">
        <f aca="false">IF($E49="","",IF(AND($E49=0,$H49=0),0,IF(OR($E49=0,$H49=0),MAX($E49,$H49),IF(ABS($E49-$H49)&gt;$G$17,MAX($E49,$H49),(MAX($E49,$H49)+$F$17)))))</f>
        <v/>
      </c>
      <c r="L49" s="111" t="str">
        <f aca="false">IF($F49="","",IF(AND($F49=0,$I49=0),0,IF(OR($F49=0,$I49=0),MAX($F49,$I49),IF(ABS($F49-$I49)&gt;$G$18,MAX($F49,$I49),(MAX($F49,$I49)+$F$18)))))</f>
        <v/>
      </c>
      <c r="M49" s="111" t="str">
        <f aca="false">IF($G49="","",IF(AND($G49=0,$J49=0),0,IF(OR($G49=0,$J49=0),MAX($G49,$J49),IF(ABS($G49-$J49)&gt;$G$19,MAX($G49,$J49),(MAX($G49,$J49)+$F$19)))))</f>
        <v/>
      </c>
      <c r="N49" s="114" t="str">
        <f aca="false">IF(AND(B49="",E49="",H49=""),"",IF(B49="",LOOKUP(K49,mm_value,minimum_Pb),LOOKUP(B49,mm_value,minimum_Pb)))</f>
        <v/>
      </c>
      <c r="O49" s="49" t="n">
        <v>40</v>
      </c>
      <c r="P49" s="116"/>
      <c r="Q49" s="117"/>
      <c r="R49" s="116"/>
      <c r="S49" s="118" t="str">
        <f aca="false">IF(P49="","",LN(2)/P49)</f>
        <v/>
      </c>
      <c r="T49" s="118" t="str">
        <f aca="false">IF(S49="","",(LN(10)/LN(2))*S49)</f>
        <v/>
      </c>
      <c r="U49" s="116" t="n">
        <v>0.1297</v>
      </c>
      <c r="V49" s="116" t="n">
        <v>0.178</v>
      </c>
      <c r="W49" s="116" t="n">
        <v>0.2189</v>
      </c>
      <c r="X49" s="118" t="n">
        <f aca="false">IF(U49="","",LN(2)/U49)</f>
        <v>5.34423423716226</v>
      </c>
      <c r="Y49" s="118" t="n">
        <f aca="false">IF(X49="","",(LN(10)/LN(2))*X49)</f>
        <v>17.7531618580882</v>
      </c>
      <c r="Z49" s="116"/>
      <c r="AA49" s="116"/>
      <c r="AB49" s="116"/>
      <c r="AC49" s="118" t="str">
        <f aca="false">IF(Z49="","",LN(2)/Z49)</f>
        <v/>
      </c>
      <c r="AD49" s="118" t="str">
        <f aca="false">IF(AC49="","",(LN(10)/LN(2))*AC49)</f>
        <v/>
      </c>
      <c r="AE49" s="119"/>
      <c r="AF49" s="116"/>
      <c r="AG49" s="116"/>
      <c r="AH49" s="118" t="str">
        <f aca="false">IF(AE49="","",LN(2)/AE49)</f>
        <v/>
      </c>
      <c r="AI49" s="118" t="str">
        <f aca="false">IF(AH49="","",(LN(10)/LN(2))*AH49)</f>
        <v/>
      </c>
      <c r="AJ49" s="116"/>
      <c r="AK49" s="116"/>
      <c r="AL49" s="116"/>
      <c r="AM49" s="118" t="str">
        <f aca="false">IF(AJ49="","",LN(2)/AJ49)</f>
        <v/>
      </c>
      <c r="AN49" s="118" t="str">
        <f aca="false">IF(AM49="","",(LN(10)/LN(2))*AM49)</f>
        <v/>
      </c>
      <c r="AO49" s="120"/>
      <c r="AP49" s="118"/>
      <c r="AQ49" s="116"/>
      <c r="AR49" s="118" t="str">
        <f aca="false">IF(AO49="","",LN(2)/AO49)</f>
        <v/>
      </c>
      <c r="AS49" s="118" t="str">
        <f aca="false">IF(AR49="","",(LN(10)/LN(2))*AR49)</f>
        <v/>
      </c>
      <c r="AT49" s="121" t="n">
        <f aca="false">1.222-0.05664*O49+0.001227*O49^2-0.000003136*O49^3</f>
        <v>0.718896</v>
      </c>
    </row>
    <row r="50" customFormat="false" ht="13.2" hidden="false" customHeight="false" outlineLevel="0" collapsed="false">
      <c r="A50" s="109" t="str">
        <f aca="false">IF($A31="","",$A31)</f>
        <v/>
      </c>
      <c r="B50" s="110" t="str">
        <f aca="false">IF(OR($B31=0,$F31=""),"",(1/($B$17*$D$17))*LN(((($L31/$E$17)^-$D$17)+($C$17/$B$17))/(1+($C$17/$B$17))))</f>
        <v/>
      </c>
      <c r="C50" s="111" t="str">
        <f aca="false">IF(OR($B31=0,$F31=""),"",(1/($B$18*$D$18))*LN(((($L31/$E$18)^-$D$18)+($C$18/$B$18))/(1+($C$18/$B$18))))</f>
        <v/>
      </c>
      <c r="D50" s="111" t="str">
        <f aca="false">IF(OR($B31=0,$F31=""),"",(1/($B$19*$D$19))*LN(((($L31/$E$19)^-$D$19)+($C$19/$B$19))/(1+($C$19/$B$19))))</f>
        <v/>
      </c>
      <c r="E50" s="110" t="str">
        <f aca="false">IF($C31="","",IF((1/($B$17*$D$17))*LN(((($M31/$E$17)^-$D$17)+($C$17/$B$17))/(1+($C$17/$B$17)))&lt;0,0,(1/($B$17*$D$17))*LN(((($M31/$E$17)^-$D$17)+($C$17/$B$17))/(1+($C$17/$B$17)))))</f>
        <v/>
      </c>
      <c r="F50" s="111" t="str">
        <f aca="false">IF($C31="","",IF((1/($B$18*$D$18))*LN(((($M31/$E$18)^-$D$18)+($C$18/$B$18))/(1+($C$18/$B$18)))&lt;0,0,(1/($B$18*$D$18))*LN(((($M31/$E$18)^-$D$18)+($C$18/$B$18))/(1+($C$18/$B$18)))))</f>
        <v/>
      </c>
      <c r="G50" s="112" t="str">
        <f aca="false">IF($C31="","",IF((1/($B$19*$D$19))*LN(((($M31/$E$19)^-$D$19)+($C$19/$B$19))/(1+($C$19/$B$19)))&lt;0,0,(1/($B$19*$D$19))*LN(((($M31/$E$19)^-$D$19)+($C$19/$B$19))/(1+($C$19/$B$19)))))</f>
        <v/>
      </c>
      <c r="H50" s="113" t="str">
        <f aca="false">IF($N31="","",IF(-LN($N31)*$F$17/LN(2)&lt;0,0,-LN($N31)*$F$17/LN(2)))</f>
        <v/>
      </c>
      <c r="I50" s="113" t="str">
        <f aca="false">IF($N31="","",IF(-LN($N31)*$F$18/LN(2)&lt;0,0,-LN($N31)*$F$18/LN(2)))</f>
        <v/>
      </c>
      <c r="J50" s="113" t="str">
        <f aca="false">IF($N31="","",IF(-LN($N31)*$F$19/LN(2)&lt;0,0,-LN($N31)*$F$19/LN(2)))</f>
        <v/>
      </c>
      <c r="K50" s="110" t="str">
        <f aca="false">IF($E50="","",IF(AND($E50=0,$H50=0),0,IF(OR($E50=0,$H50=0),MAX($E50,$H50),IF(ABS($E50-$H50)&gt;$G$17,MAX($E50,$H50),(MAX($E50,$H50)+$F$17)))))</f>
        <v/>
      </c>
      <c r="L50" s="111" t="str">
        <f aca="false">IF($F50="","",IF(AND($F50=0,$I50=0),0,IF(OR($F50=0,$I50=0),MAX($F50,$I50),IF(ABS($F50-$I50)&gt;$G$18,MAX($F50,$I50),(MAX($F50,$I50)+$F$18)))))</f>
        <v/>
      </c>
      <c r="M50" s="111" t="str">
        <f aca="false">IF($G50="","",IF(AND($G50=0,$J50=0),0,IF(OR($G50=0,$J50=0),MAX($G50,$J50),IF(ABS($G50-$J50)&gt;$G$19,MAX($G50,$J50),(MAX($G50,$J50)+$F$19)))))</f>
        <v/>
      </c>
      <c r="N50" s="114" t="str">
        <f aca="false">IF(AND(B50="",E50="",H50=""),"",IF(B50="",LOOKUP(K50,mm_value,minimum_Pb),LOOKUP(B50,mm_value,minimum_Pb)))</f>
        <v/>
      </c>
      <c r="O50" s="49" t="n">
        <v>45</v>
      </c>
      <c r="P50" s="116"/>
      <c r="Q50" s="117"/>
      <c r="R50" s="116"/>
      <c r="S50" s="118" t="str">
        <f aca="false">IF(P50="","",LN(2)/P50)</f>
        <v/>
      </c>
      <c r="T50" s="118" t="str">
        <f aca="false">IF(S50="","",(LN(10)/LN(2))*S50)</f>
        <v/>
      </c>
      <c r="U50" s="116" t="n">
        <v>0.1095</v>
      </c>
      <c r="V50" s="116" t="n">
        <v>0.1741</v>
      </c>
      <c r="W50" s="116" t="n">
        <v>0.2269</v>
      </c>
      <c r="X50" s="118" t="n">
        <f aca="false">IF(U50="","",LN(2)/U50)</f>
        <v>6.33011123799037</v>
      </c>
      <c r="Y50" s="118" t="n">
        <f aca="false">IF(X50="","",(LN(10)/LN(2))*X50)</f>
        <v>21.0281743652424</v>
      </c>
      <c r="Z50" s="116"/>
      <c r="AA50" s="116"/>
      <c r="AB50" s="116"/>
      <c r="AC50" s="118" t="str">
        <f aca="false">IF(Z50="","",LN(2)/Z50)</f>
        <v/>
      </c>
      <c r="AD50" s="118" t="str">
        <f aca="false">IF(AC50="","",(LN(10)/LN(2))*AC50)</f>
        <v/>
      </c>
      <c r="AE50" s="119"/>
      <c r="AF50" s="116"/>
      <c r="AG50" s="116"/>
      <c r="AH50" s="118" t="str">
        <f aca="false">IF(AE50="","",LN(2)/AE50)</f>
        <v/>
      </c>
      <c r="AI50" s="118" t="str">
        <f aca="false">IF(AH50="","",(LN(10)/LN(2))*AH50)</f>
        <v/>
      </c>
      <c r="AJ50" s="116"/>
      <c r="AK50" s="116"/>
      <c r="AL50" s="116"/>
      <c r="AM50" s="118" t="str">
        <f aca="false">IF(AJ50="","",LN(2)/AJ50)</f>
        <v/>
      </c>
      <c r="AN50" s="118" t="str">
        <f aca="false">IF(AM50="","",(LN(10)/LN(2))*AM50)</f>
        <v/>
      </c>
      <c r="AO50" s="120"/>
      <c r="AP50" s="118"/>
      <c r="AQ50" s="116"/>
      <c r="AR50" s="118" t="str">
        <f aca="false">IF(AO50="","",LN(2)/AO50)</f>
        <v/>
      </c>
      <c r="AS50" s="118" t="str">
        <f aca="false">IF(AR50="","",(LN(10)/LN(2))*AR50)</f>
        <v/>
      </c>
      <c r="AT50" s="121" t="n">
        <f aca="false">1.222-0.05664*O50+0.001227*O50^2-0.000003136*O50^3</f>
        <v>0.872107</v>
      </c>
    </row>
    <row r="51" customFormat="false" ht="13.2" hidden="false" customHeight="false" outlineLevel="0" collapsed="false">
      <c r="A51" s="109" t="str">
        <f aca="false">IF($A32="","",$A32)</f>
        <v/>
      </c>
      <c r="B51" s="110" t="str">
        <f aca="false">IF(OR($B32=0,$F32=""),"",(1/($B$17*$D$17))*LN(((($L32/$E$17)^-$D$17)+($C$17/$B$17))/(1+($C$17/$B$17))))</f>
        <v/>
      </c>
      <c r="C51" s="111" t="str">
        <f aca="false">IF(OR($B32=0,$F32=""),"",(1/($B$18*$D$18))*LN(((($L32/$E$18)^-$D$18)+($C$18/$B$18))/(1+($C$18/$B$18))))</f>
        <v/>
      </c>
      <c r="D51" s="111" t="str">
        <f aca="false">IF(OR($B32=0,$F32=""),"",(1/($B$19*$D$19))*LN(((($L32/$E$19)^-$D$19)+($C$19/$B$19))/(1+($C$19/$B$19))))</f>
        <v/>
      </c>
      <c r="E51" s="110" t="str">
        <f aca="false">IF($C32="","",IF((1/($B$17*$D$17))*LN(((($M32/$E$17)^-$D$17)+($C$17/$B$17))/(1+($C$17/$B$17)))&lt;0,0,(1/($B$17*$D$17))*LN(((($M32/$E$17)^-$D$17)+($C$17/$B$17))/(1+($C$17/$B$17)))))</f>
        <v/>
      </c>
      <c r="F51" s="111" t="str">
        <f aca="false">IF($C32="","",IF((1/($B$18*$D$18))*LN(((($M32/$E$18)^-$D$18)+($C$18/$B$18))/(1+($C$18/$B$18)))&lt;0,0,(1/($B$18*$D$18))*LN(((($M32/$E$18)^-$D$18)+($C$18/$B$18))/(1+($C$18/$B$18)))))</f>
        <v/>
      </c>
      <c r="G51" s="112" t="str">
        <f aca="false">IF($C32="","",IF((1/($B$19*$D$19))*LN(((($M32/$E$19)^-$D$19)+($C$19/$B$19))/(1+($C$19/$B$19)))&lt;0,0,(1/($B$19*$D$19))*LN(((($M32/$E$19)^-$D$19)+($C$19/$B$19))/(1+($C$19/$B$19)))))</f>
        <v/>
      </c>
      <c r="H51" s="113" t="str">
        <f aca="false">IF($N32="","",IF(-LN($N32)*$F$17/LN(2)&lt;0,0,-LN($N32)*$F$17/LN(2)))</f>
        <v/>
      </c>
      <c r="I51" s="113" t="str">
        <f aca="false">IF($N32="","",IF(-LN($N32)*$F$18/LN(2)&lt;0,0,-LN($N32)*$F$18/LN(2)))</f>
        <v/>
      </c>
      <c r="J51" s="113" t="str">
        <f aca="false">IF($N32="","",IF(-LN($N32)*$F$19/LN(2)&lt;0,0,-LN($N32)*$F$19/LN(2)))</f>
        <v/>
      </c>
      <c r="K51" s="110" t="str">
        <f aca="false">IF($E51="","",IF(AND($E51=0,$H51=0),0,IF(OR($E51=0,$H51=0),MAX($E51,$H51),IF(ABS($E51-$H51)&gt;$G$17,MAX($E51,$H51),(MAX($E51,$H51)+$F$17)))))</f>
        <v/>
      </c>
      <c r="L51" s="111" t="str">
        <f aca="false">IF($F51="","",IF(AND($F51=0,$I51=0),0,IF(OR($F51=0,$I51=0),MAX($F51,$I51),IF(ABS($F51-$I51)&gt;$G$18,MAX($F51,$I51),(MAX($F51,$I51)+$F$18)))))</f>
        <v/>
      </c>
      <c r="M51" s="111" t="str">
        <f aca="false">IF($G51="","",IF(AND($G51=0,$J51=0),0,IF(OR($G51=0,$J51=0),MAX($G51,$J51),IF(ABS($G51-$J51)&gt;$G$19,MAX($G51,$J51),(MAX($G51,$J51)+$F$19)))))</f>
        <v/>
      </c>
      <c r="N51" s="114" t="str">
        <f aca="false">IF(AND(B51="",E51="",H51=""),"",IF(B51="",LOOKUP(K51,mm_value,minimum_Pb),LOOKUP(B51,mm_value,minimum_Pb)))</f>
        <v/>
      </c>
      <c r="O51" s="49" t="n">
        <v>50</v>
      </c>
      <c r="P51" s="116" t="n">
        <v>8.801</v>
      </c>
      <c r="Q51" s="117" t="n">
        <v>27.28</v>
      </c>
      <c r="R51" s="116" t="n">
        <v>0.2957</v>
      </c>
      <c r="S51" s="118" t="n">
        <f aca="false">IF(P51="","",LN(2)/P51)</f>
        <v>0.0787577753164351</v>
      </c>
      <c r="T51" s="118" t="n">
        <f aca="false">IF(S51="","",(LN(10)/LN(2))*S51)</f>
        <v>0.261627666514492</v>
      </c>
      <c r="U51" s="116" t="n">
        <v>0.0932</v>
      </c>
      <c r="V51" s="116" t="n">
        <v>0.1712</v>
      </c>
      <c r="W51" s="116" t="n">
        <v>0.2324</v>
      </c>
      <c r="X51" s="118" t="n">
        <f aca="false">IF(U51="","",LN(2)/U51)</f>
        <v>7.43720150815392</v>
      </c>
      <c r="Y51" s="118" t="n">
        <f aca="false">IF(X51="","",(LN(10)/LN(2))*X51)</f>
        <v>24.7058486372752</v>
      </c>
      <c r="Z51" s="116" t="n">
        <v>0.03883</v>
      </c>
      <c r="AA51" s="116" t="n">
        <v>0.0873</v>
      </c>
      <c r="AB51" s="116" t="n">
        <v>0.5105</v>
      </c>
      <c r="AC51" s="118" t="n">
        <f aca="false">IF(Z51="","",LN(2)/Z51)</f>
        <v>17.8508158784431</v>
      </c>
      <c r="AD51" s="118" t="n">
        <f aca="false">IF(AC51="","",(LN(10)/LN(2))*AC51)</f>
        <v>59.2991267832615</v>
      </c>
      <c r="AE51" s="119" t="n">
        <v>1.817</v>
      </c>
      <c r="AF51" s="116" t="n">
        <v>4.84</v>
      </c>
      <c r="AG51" s="116" t="n">
        <v>0.4021</v>
      </c>
      <c r="AH51" s="118" t="n">
        <f aca="false">IF(AE51="","",LN(2)/AE51)</f>
        <v>0.38147891059986</v>
      </c>
      <c r="AI51" s="118" t="n">
        <f aca="false">IF(AH51="","",(LN(10)/LN(2))*AH51)</f>
        <v>1.2672455107287</v>
      </c>
      <c r="AJ51" s="116" t="n">
        <v>0.09721</v>
      </c>
      <c r="AK51" s="116" t="n">
        <v>0.1799</v>
      </c>
      <c r="AL51" s="116" t="n">
        <v>0.4912</v>
      </c>
      <c r="AM51" s="118" t="n">
        <f aca="false">IF(AJ51="","",LN(2)/AJ51)</f>
        <v>7.13041025161964</v>
      </c>
      <c r="AN51" s="118" t="n">
        <f aca="false">IF(AM51="","",(LN(10)/LN(2))*AM51)</f>
        <v>23.6867101429282</v>
      </c>
      <c r="AO51" s="120" t="n">
        <v>0.01076</v>
      </c>
      <c r="AP51" s="118" t="n">
        <v>0.001862</v>
      </c>
      <c r="AQ51" s="116" t="n">
        <v>1.17</v>
      </c>
      <c r="AR51" s="118" t="n">
        <f aca="false">IF(AO51="","",LN(2)/AO51)</f>
        <v>64.4188829516678</v>
      </c>
      <c r="AS51" s="118" t="n">
        <f aca="false">IF(AR51="","",(LN(10)/LN(2))*AR51)</f>
        <v>213.994897118406</v>
      </c>
      <c r="AT51" s="121" t="n">
        <f aca="false">1.222-0.05664*O51+0.001227*O51^2-0.000003136*O51^3</f>
        <v>1.0655</v>
      </c>
    </row>
    <row r="52" customFormat="false" ht="13.2" hidden="false" customHeight="false" outlineLevel="0" collapsed="false">
      <c r="A52" s="109" t="str">
        <f aca="false">IF($A33="","",$A33)</f>
        <v/>
      </c>
      <c r="B52" s="110" t="str">
        <f aca="false">IF(OR($B33=0,$F33=""),"",(1/($B$17*$D$17))*LN(((($L33/$E$17)^-$D$17)+($C$17/$B$17))/(1+($C$17/$B$17))))</f>
        <v/>
      </c>
      <c r="C52" s="111" t="str">
        <f aca="false">IF(OR($B33=0,$F33=""),"",(1/($B$18*$D$18))*LN(((($L33/$E$18)^-$D$18)+($C$18/$B$18))/(1+($C$18/$B$18))))</f>
        <v/>
      </c>
      <c r="D52" s="111" t="str">
        <f aca="false">IF(OR($B33=0,$F33=""),"",(1/($B$19*$D$19))*LN(((($L33/$E$19)^-$D$19)+($C$19/$B$19))/(1+($C$19/$B$19))))</f>
        <v/>
      </c>
      <c r="E52" s="110" t="str">
        <f aca="false">IF($C33="","",IF((1/($B$17*$D$17))*LN(((($M33/$E$17)^-$D$17)+($C$17/$B$17))/(1+($C$17/$B$17)))&lt;0,0,(1/($B$17*$D$17))*LN(((($M33/$E$17)^-$D$17)+($C$17/$B$17))/(1+($C$17/$B$17)))))</f>
        <v/>
      </c>
      <c r="F52" s="111" t="str">
        <f aca="false">IF($C33="","",IF((1/($B$18*$D$18))*LN(((($M33/$E$18)^-$D$18)+($C$18/$B$18))/(1+($C$18/$B$18)))&lt;0,0,(1/($B$18*$D$18))*LN(((($M33/$E$18)^-$D$18)+($C$18/$B$18))/(1+($C$18/$B$18)))))</f>
        <v/>
      </c>
      <c r="G52" s="112" t="str">
        <f aca="false">IF($C33="","",IF((1/($B$19*$D$19))*LN(((($M33/$E$19)^-$D$19)+($C$19/$B$19))/(1+($C$19/$B$19)))&lt;0,0,(1/($B$19*$D$19))*LN(((($M33/$E$19)^-$D$19)+($C$19/$B$19))/(1+($C$19/$B$19)))))</f>
        <v/>
      </c>
      <c r="H52" s="113" t="str">
        <f aca="false">IF($N33="","",IF(-LN($N33)*$F$17/LN(2)&lt;0,0,-LN($N33)*$F$17/LN(2)))</f>
        <v/>
      </c>
      <c r="I52" s="113" t="str">
        <f aca="false">IF($N33="","",IF(-LN($N33)*$F$18/LN(2)&lt;0,0,-LN($N33)*$F$18/LN(2)))</f>
        <v/>
      </c>
      <c r="J52" s="113" t="str">
        <f aca="false">IF($N33="","",IF(-LN($N33)*$F$19/LN(2)&lt;0,0,-LN($N33)*$F$19/LN(2)))</f>
        <v/>
      </c>
      <c r="K52" s="110" t="str">
        <f aca="false">IF($E52="","",IF(AND($E52=0,$H52=0),0,IF(OR($E52=0,$H52=0),MAX($E52,$H52),IF(ABS($E52-$H52)&gt;$G$17,MAX($E52,$H52),(MAX($E52,$H52)+$F$17)))))</f>
        <v/>
      </c>
      <c r="L52" s="111" t="str">
        <f aca="false">IF($F52="","",IF(AND($F52=0,$I52=0),0,IF(OR($F52=0,$I52=0),MAX($F52,$I52),IF(ABS($F52-$I52)&gt;$G$18,MAX($F52,$I52),(MAX($F52,$I52)+$F$18)))))</f>
        <v/>
      </c>
      <c r="M52" s="111" t="str">
        <f aca="false">IF($G52="","",IF(AND($G52=0,$J52=0),0,IF(OR($G52=0,$J52=0),MAX($G52,$J52),IF(ABS($G52-$J52)&gt;$G$19,MAX($G52,$J52),(MAX($G52,$J52)+$F$19)))))</f>
        <v/>
      </c>
      <c r="N52" s="114" t="str">
        <f aca="false">IF(AND(B52="",E52="",H52=""),"",IF(B52="",LOOKUP(K52,mm_value,minimum_Pb),LOOKUP(B52,mm_value,minimum_Pb)))</f>
        <v/>
      </c>
      <c r="O52" s="49" t="n">
        <v>55</v>
      </c>
      <c r="P52" s="116" t="n">
        <v>7.839</v>
      </c>
      <c r="Q52" s="117" t="n">
        <v>25.92</v>
      </c>
      <c r="R52" s="116" t="n">
        <v>0.3499</v>
      </c>
      <c r="S52" s="118" t="n">
        <f aca="false">IF(P52="","",LN(2)/P52)</f>
        <v>0.0884229086056825</v>
      </c>
      <c r="T52" s="118" t="n">
        <f aca="false">IF(S52="","",(LN(10)/LN(2))*S52)</f>
        <v>0.293734544328874</v>
      </c>
      <c r="U52" s="116" t="n">
        <v>0.07422</v>
      </c>
      <c r="V52" s="116" t="n">
        <v>0.1697</v>
      </c>
      <c r="W52" s="116" t="n">
        <v>0.2454</v>
      </c>
      <c r="X52" s="118" t="n">
        <f aca="false">IF(U52="","",LN(2)/U52)</f>
        <v>9.33908893236251</v>
      </c>
      <c r="Y52" s="118" t="n">
        <f aca="false">IF(X52="","",(LN(10)/LN(2))*X52)</f>
        <v>31.0237819050666</v>
      </c>
      <c r="Z52" s="116" t="n">
        <v>0.03419</v>
      </c>
      <c r="AA52" s="116" t="n">
        <v>0.08315</v>
      </c>
      <c r="AB52" s="116" t="n">
        <v>0.5606</v>
      </c>
      <c r="AC52" s="118" t="n">
        <f aca="false">IF(Z52="","",LN(2)/Z52)</f>
        <v>20.273389311493</v>
      </c>
      <c r="AD52" s="118" t="n">
        <f aca="false">IF(AC52="","",(LN(10)/LN(2))*AC52)</f>
        <v>67.3467415324377</v>
      </c>
      <c r="AE52" s="119" t="n">
        <v>1.493</v>
      </c>
      <c r="AF52" s="116" t="n">
        <v>4.515</v>
      </c>
      <c r="AG52" s="116" t="n">
        <v>0.4293</v>
      </c>
      <c r="AH52" s="118" t="n">
        <f aca="false">IF(AE52="","",LN(2)/AE52)</f>
        <v>0.464264688921598</v>
      </c>
      <c r="AI52" s="118" t="n">
        <f aca="false">IF(AH52="","",(LN(10)/LN(2))*AH52)</f>
        <v>1.5422539135928</v>
      </c>
      <c r="AJ52" s="116" t="n">
        <v>0.08552</v>
      </c>
      <c r="AK52" s="116" t="n">
        <v>0.1661</v>
      </c>
      <c r="AL52" s="116" t="n">
        <v>0.5112</v>
      </c>
      <c r="AM52" s="118" t="n">
        <f aca="false">IF(AJ52="","",LN(2)/AJ52)</f>
        <v>8.10508864078514</v>
      </c>
      <c r="AN52" s="118" t="n">
        <f aca="false">IF(AM52="","",(LN(10)/LN(2))*AM52)</f>
        <v>26.9245216673766</v>
      </c>
      <c r="AO52" s="120" t="n">
        <v>0.01012</v>
      </c>
      <c r="AP52" s="118" t="n">
        <v>0.001404</v>
      </c>
      <c r="AQ52" s="116" t="n">
        <v>1.269</v>
      </c>
      <c r="AR52" s="118" t="n">
        <f aca="false">IF(AO52="","",LN(2)/AO52)</f>
        <v>68.4928044031566</v>
      </c>
      <c r="AS52" s="118" t="n">
        <f aca="false">IF(AR52="","",(LN(10)/LN(2))*AR52)</f>
        <v>227.528171244471</v>
      </c>
      <c r="AT52" s="121" t="n">
        <f aca="false">1.222-0.05664*O52+0.001227*O52^2-0.000003136*O52^3</f>
        <v>1.296723</v>
      </c>
    </row>
    <row r="53" customFormat="false" ht="13.2" hidden="false" customHeight="false" outlineLevel="0" collapsed="false">
      <c r="A53" s="109" t="str">
        <f aca="false">IF($A34="","",$A34)</f>
        <v/>
      </c>
      <c r="B53" s="110" t="str">
        <f aca="false">IF(OR($B34=0,$F34=""),"",(1/($B$17*$D$17))*LN(((($L34/$E$17)^-$D$17)+($C$17/$B$17))/(1+($C$17/$B$17))))</f>
        <v/>
      </c>
      <c r="C53" s="111" t="str">
        <f aca="false">IF(OR($B34=0,$F34=""),"",(1/($B$18*$D$18))*LN(((($L34/$E$18)^-$D$18)+($C$18/$B$18))/(1+($C$18/$B$18))))</f>
        <v/>
      </c>
      <c r="D53" s="111" t="str">
        <f aca="false">IF(OR($B34=0,$F34=""),"",(1/($B$19*$D$19))*LN(((($L34/$E$19)^-$D$19)+($C$19/$B$19))/(1+($C$19/$B$19))))</f>
        <v/>
      </c>
      <c r="E53" s="110" t="str">
        <f aca="false">IF($C34="","",IF((1/($B$17*$D$17))*LN(((($M34/$E$17)^-$D$17)+($C$17/$B$17))/(1+($C$17/$B$17)))&lt;0,0,(1/($B$17*$D$17))*LN(((($M34/$E$17)^-$D$17)+($C$17/$B$17))/(1+($C$17/$B$17)))))</f>
        <v/>
      </c>
      <c r="F53" s="111" t="str">
        <f aca="false">IF($C34="","",IF((1/($B$18*$D$18))*LN(((($M34/$E$18)^-$D$18)+($C$18/$B$18))/(1+($C$18/$B$18)))&lt;0,0,(1/($B$18*$D$18))*LN(((($M34/$E$18)^-$D$18)+($C$18/$B$18))/(1+($C$18/$B$18)))))</f>
        <v/>
      </c>
      <c r="G53" s="112" t="str">
        <f aca="false">IF($C34="","",IF((1/($B$19*$D$19))*LN(((($M34/$E$19)^-$D$19)+($C$19/$B$19))/(1+($C$19/$B$19)))&lt;0,0,(1/($B$19*$D$19))*LN(((($M34/$E$19)^-$D$19)+($C$19/$B$19))/(1+($C$19/$B$19)))))</f>
        <v/>
      </c>
      <c r="H53" s="113" t="str">
        <f aca="false">IF($N34="","",IF(-LN($N34)*$F$17/LN(2)&lt;0,0,-LN($N34)*$F$17/LN(2)))</f>
        <v/>
      </c>
      <c r="I53" s="113" t="str">
        <f aca="false">IF($N34="","",IF(-LN($N34)*$F$18/LN(2)&lt;0,0,-LN($N34)*$F$18/LN(2)))</f>
        <v/>
      </c>
      <c r="J53" s="113" t="str">
        <f aca="false">IF($N34="","",IF(-LN($N34)*$F$19/LN(2)&lt;0,0,-LN($N34)*$F$19/LN(2)))</f>
        <v/>
      </c>
      <c r="K53" s="110" t="str">
        <f aca="false">IF($E53="","",IF(AND($E53=0,$H53=0),0,IF(OR($E53=0,$H53=0),MAX($E53,$H53),IF(ABS($E53-$H53)&gt;$G$17,MAX($E53,$H53),(MAX($E53,$H53)+$F$17)))))</f>
        <v/>
      </c>
      <c r="L53" s="111" t="str">
        <f aca="false">IF($F53="","",IF(AND($F53=0,$I53=0),0,IF(OR($F53=0,$I53=0),MAX($F53,$I53),IF(ABS($F53-$I53)&gt;$G$18,MAX($F53,$I53),(MAX($F53,$I53)+$F$18)))))</f>
        <v/>
      </c>
      <c r="M53" s="111" t="str">
        <f aca="false">IF($G53="","",IF(AND($G53=0,$J53=0),0,IF(OR($G53=0,$J53=0),MAX($G53,$J53),IF(ABS($G53-$J53)&gt;$G$19,MAX($G53,$J53),(MAX($G53,$J53)+$F$19)))))</f>
        <v/>
      </c>
      <c r="N53" s="114" t="str">
        <f aca="false">IF(AND(B53="",E53="",H53=""),"",IF(B53="",LOOKUP(K53,mm_value,minimum_Pb),LOOKUP(B53,mm_value,minimum_Pb)))</f>
        <v/>
      </c>
      <c r="O53" s="49" t="n">
        <v>60</v>
      </c>
      <c r="P53" s="116" t="n">
        <v>6.951</v>
      </c>
      <c r="Q53" s="117" t="n">
        <v>24.89</v>
      </c>
      <c r="R53" s="116" t="n">
        <v>0.4198</v>
      </c>
      <c r="S53" s="118" t="n">
        <f aca="false">IF(P53="","",LN(2)/P53)</f>
        <v>0.0997190592087391</v>
      </c>
      <c r="T53" s="118" t="n">
        <f aca="false">IF(S53="","",(LN(10)/LN(2))*S53)</f>
        <v>0.331259544381247</v>
      </c>
      <c r="U53" s="116" t="n">
        <v>0.06251</v>
      </c>
      <c r="V53" s="116" t="n">
        <v>0.1692</v>
      </c>
      <c r="W53" s="116" t="n">
        <v>0.2733</v>
      </c>
      <c r="X53" s="118" t="n">
        <f aca="false">IF(U53="","",LN(2)/U53)</f>
        <v>11.0885807160446</v>
      </c>
      <c r="Y53" s="118" t="n">
        <f aca="false">IF(X53="","",(LN(10)/LN(2))*X53)</f>
        <v>36.8354678130546</v>
      </c>
      <c r="Z53" s="116" t="n">
        <v>0.02985</v>
      </c>
      <c r="AA53" s="116" t="n">
        <v>0.07961</v>
      </c>
      <c r="AB53" s="116" t="n">
        <v>0.6169</v>
      </c>
      <c r="AC53" s="118" t="n">
        <f aca="false">IF(Z53="","",LN(2)/Z53)</f>
        <v>23.221011074035</v>
      </c>
      <c r="AD53" s="118" t="n">
        <f aca="false">IF(AC53="","",(LN(10)/LN(2))*AC53)</f>
        <v>77.1385290785275</v>
      </c>
      <c r="AE53" s="119" t="n">
        <v>1.183</v>
      </c>
      <c r="AF53" s="116" t="n">
        <v>4.219</v>
      </c>
      <c r="AG53" s="116" t="n">
        <v>0.4571</v>
      </c>
      <c r="AH53" s="118" t="n">
        <f aca="false">IF(AE53="","",LN(2)/AE53)</f>
        <v>0.58592322955194</v>
      </c>
      <c r="AI53" s="118" t="n">
        <f aca="false">IF(AH53="","",(LN(10)/LN(2))*AH53)</f>
        <v>1.94639483769573</v>
      </c>
      <c r="AJ53" s="116" t="n">
        <v>0.07452</v>
      </c>
      <c r="AK53" s="116" t="n">
        <v>0.1539</v>
      </c>
      <c r="AL53" s="116" t="n">
        <v>0.5304</v>
      </c>
      <c r="AM53" s="118" t="n">
        <f aca="false">IF(AJ53="","",LN(2)/AJ53)</f>
        <v>9.30149195598424</v>
      </c>
      <c r="AN53" s="118" t="n">
        <f aca="false">IF(AM53="","",(LN(10)/LN(2))*AM53)</f>
        <v>30.8988874529528</v>
      </c>
      <c r="AO53" s="120" t="n">
        <v>0.009512</v>
      </c>
      <c r="AP53" s="118" t="n">
        <v>0.0009672</v>
      </c>
      <c r="AQ53" s="116" t="n">
        <v>1.333</v>
      </c>
      <c r="AR53" s="118" t="n">
        <f aca="false">IF(AO53="","",LN(2)/AO53)</f>
        <v>72.8708137678664</v>
      </c>
      <c r="AS53" s="118" t="n">
        <f aca="false">IF(AR53="","",(LN(10)/LN(2))*AR53)</f>
        <v>242.07160355278</v>
      </c>
      <c r="AT53" s="121" t="n">
        <f aca="false">1.222-0.05664*O53+0.001227*O53^2-0.000003136*O53^3</f>
        <v>1.563424</v>
      </c>
    </row>
    <row r="54" customFormat="false" ht="13.2" hidden="false" customHeight="false" outlineLevel="0" collapsed="false">
      <c r="A54" s="109" t="str">
        <f aca="false">IF($A35="","",$A35)</f>
        <v/>
      </c>
      <c r="B54" s="110" t="str">
        <f aca="false">IF(OR($B35=0,$F35=""),"",(1/($B$17*$D$17))*LN(((($L35/$E$17)^-$D$17)+($C$17/$B$17))/(1+($C$17/$B$17))))</f>
        <v/>
      </c>
      <c r="C54" s="111" t="str">
        <f aca="false">IF(OR($B35=0,$F35=""),"",(1/($B$18*$D$18))*LN(((($L35/$E$18)^-$D$18)+($C$18/$B$18))/(1+($C$18/$B$18))))</f>
        <v/>
      </c>
      <c r="D54" s="111" t="str">
        <f aca="false">IF(OR($B35=0,$F35=""),"",(1/($B$19*$D$19))*LN(((($L35/$E$19)^-$D$19)+($C$19/$B$19))/(1+($C$19/$B$19))))</f>
        <v/>
      </c>
      <c r="E54" s="110" t="str">
        <f aca="false">IF($C35="","",IF((1/($B$17*$D$17))*LN(((($M35/$E$17)^-$D$17)+($C$17/$B$17))/(1+($C$17/$B$17)))&lt;0,0,(1/($B$17*$D$17))*LN(((($M35/$E$17)^-$D$17)+($C$17/$B$17))/(1+($C$17/$B$17)))))</f>
        <v/>
      </c>
      <c r="F54" s="111" t="str">
        <f aca="false">IF($C35="","",IF((1/($B$18*$D$18))*LN(((($M35/$E$18)^-$D$18)+($C$18/$B$18))/(1+($C$18/$B$18)))&lt;0,0,(1/($B$18*$D$18))*LN(((($M35/$E$18)^-$D$18)+($C$18/$B$18))/(1+($C$18/$B$18)))))</f>
        <v/>
      </c>
      <c r="G54" s="112" t="str">
        <f aca="false">IF($C35="","",IF((1/($B$19*$D$19))*LN(((($M35/$E$19)^-$D$19)+($C$19/$B$19))/(1+($C$19/$B$19)))&lt;0,0,(1/($B$19*$D$19))*LN(((($M35/$E$19)^-$D$19)+($C$19/$B$19))/(1+($C$19/$B$19)))))</f>
        <v/>
      </c>
      <c r="H54" s="113" t="str">
        <f aca="false">IF($N35="","",IF(-LN($N35)*$F$17/LN(2)&lt;0,0,-LN($N35)*$F$17/LN(2)))</f>
        <v/>
      </c>
      <c r="I54" s="113" t="str">
        <f aca="false">IF($N35="","",IF(-LN($N35)*$F$18/LN(2)&lt;0,0,-LN($N35)*$F$18/LN(2)))</f>
        <v/>
      </c>
      <c r="J54" s="113" t="str">
        <f aca="false">IF($N35="","",IF(-LN($N35)*$F$19/LN(2)&lt;0,0,-LN($N35)*$F$19/LN(2)))</f>
        <v/>
      </c>
      <c r="K54" s="110" t="str">
        <f aca="false">IF($E54="","",IF(AND($E54=0,$H54=0),0,IF(OR($E54=0,$H54=0),MAX($E54,$H54),IF(ABS($E54-$H54)&gt;$G$17,MAX($E54,$H54),(MAX($E54,$H54)+$F$17)))))</f>
        <v/>
      </c>
      <c r="L54" s="111" t="str">
        <f aca="false">IF($F54="","",IF(AND($F54=0,$I54=0),0,IF(OR($F54=0,$I54=0),MAX($F54,$I54),IF(ABS($F54-$I54)&gt;$G$18,MAX($F54,$I54),(MAX($F54,$I54)+$F$18)))))</f>
        <v/>
      </c>
      <c r="M54" s="111" t="str">
        <f aca="false">IF($G54="","",IF(AND($G54=0,$J54=0),0,IF(OR($G54=0,$J54=0),MAX($G54,$J54),IF(ABS($G54-$J54)&gt;$G$19,MAX($G54,$J54),(MAX($G54,$J54)+$F$19)))))</f>
        <v/>
      </c>
      <c r="N54" s="114" t="str">
        <f aca="false">IF(AND(B54="",E54="",H54=""),"",IF(B54="",LOOKUP(K54,mm_value,minimum_Pb),LOOKUP(B54,mm_value,minimum_Pb)))</f>
        <v/>
      </c>
      <c r="O54" s="49" t="n">
        <v>65</v>
      </c>
      <c r="P54" s="116" t="n">
        <v>6.13</v>
      </c>
      <c r="Q54" s="117" t="n">
        <v>24.09</v>
      </c>
      <c r="R54" s="116" t="n">
        <v>0.5019</v>
      </c>
      <c r="S54" s="118" t="n">
        <f aca="false">IF(P54="","",LN(2)/P54)</f>
        <v>0.113074580841753</v>
      </c>
      <c r="T54" s="118" t="n">
        <f aca="false">IF(S54="","",(LN(10)/LN(2))*S54)</f>
        <v>0.375625626915831</v>
      </c>
      <c r="U54" s="116" t="n">
        <v>0.05528</v>
      </c>
      <c r="V54" s="116" t="n">
        <v>0.1696</v>
      </c>
      <c r="W54" s="116" t="n">
        <v>0.3217</v>
      </c>
      <c r="X54" s="118" t="n">
        <f aca="false">IF(U54="","",LN(2)/U54)</f>
        <v>12.5388419059324</v>
      </c>
      <c r="Y54" s="118" t="n">
        <f aca="false">IF(X54="","",(LN(10)/LN(2))*X54)</f>
        <v>41.653131204668</v>
      </c>
      <c r="Z54" s="116" t="n">
        <v>0.02609</v>
      </c>
      <c r="AA54" s="116" t="n">
        <v>0.07597</v>
      </c>
      <c r="AB54" s="116" t="n">
        <v>0.6756</v>
      </c>
      <c r="AC54" s="118" t="n">
        <f aca="false">IF(Z54="","",LN(2)/Z54)</f>
        <v>26.5675423748542</v>
      </c>
      <c r="AD54" s="118" t="n">
        <f aca="false">IF(AC54="","",(LN(10)/LN(2))*AC54)</f>
        <v>88.2554654271386</v>
      </c>
      <c r="AE54" s="119" t="n">
        <v>0.9172</v>
      </c>
      <c r="AF54" s="116" t="n">
        <v>3.982</v>
      </c>
      <c r="AG54" s="116" t="n">
        <v>0.4922</v>
      </c>
      <c r="AH54" s="118" t="n">
        <f aca="false">IF(AE54="","",LN(2)/AE54)</f>
        <v>0.755720868469195</v>
      </c>
      <c r="AI54" s="118" t="n">
        <f aca="false">IF(AH54="","",(LN(10)/LN(2))*AH54)</f>
        <v>2.51045038486049</v>
      </c>
      <c r="AJ54" s="116" t="n">
        <v>0.06514</v>
      </c>
      <c r="AK54" s="116" t="n">
        <v>0.1443</v>
      </c>
      <c r="AL54" s="116" t="n">
        <v>0.5582</v>
      </c>
      <c r="AM54" s="118" t="n">
        <f aca="false">IF(AJ54="","",LN(2)/AJ54)</f>
        <v>10.6408839508742</v>
      </c>
      <c r="AN54" s="118" t="n">
        <f aca="false">IF(AM54="","",(LN(10)/LN(2))*AM54)</f>
        <v>35.348251350845</v>
      </c>
      <c r="AO54" s="120" t="n">
        <v>0.00899</v>
      </c>
      <c r="AP54" s="118" t="n">
        <v>0.000647</v>
      </c>
      <c r="AQ54" s="116" t="n">
        <v>1.353</v>
      </c>
      <c r="AR54" s="118" t="n">
        <f aca="false">IF(AO54="","",LN(2)/AO54)</f>
        <v>77.1020223092264</v>
      </c>
      <c r="AS54" s="118" t="n">
        <f aca="false">IF(AR54="","",(LN(10)/LN(2))*AR54)</f>
        <v>256.127374081651</v>
      </c>
      <c r="AT54" s="121" t="n">
        <f aca="false">1.222-0.05664*O54+0.001227*O54^2-0.000003136*O54^3</f>
        <v>1.863251</v>
      </c>
    </row>
    <row r="55" customFormat="false" ht="13.2" hidden="false" customHeight="false" outlineLevel="0" collapsed="false">
      <c r="A55" s="109" t="str">
        <f aca="false">IF($A36="","",$A36)</f>
        <v/>
      </c>
      <c r="B55" s="110" t="str">
        <f aca="false">IF(OR($B36=0,$F36=""),"",(1/($B$17*$D$17))*LN(((($L36/$E$17)^-$D$17)+($C$17/$B$17))/(1+($C$17/$B$17))))</f>
        <v/>
      </c>
      <c r="C55" s="111" t="str">
        <f aca="false">IF(OR($B36=0,$F36=""),"",(1/($B$18*$D$18))*LN(((($L36/$E$18)^-$D$18)+($C$18/$B$18))/(1+($C$18/$B$18))))</f>
        <v/>
      </c>
      <c r="D55" s="111" t="str">
        <f aca="false">IF(OR($B36=0,$F36=""),"",(1/($B$19*$D$19))*LN(((($L36/$E$19)^-$D$19)+($C$19/$B$19))/(1+($C$19/$B$19))))</f>
        <v/>
      </c>
      <c r="E55" s="110" t="str">
        <f aca="false">IF($C36="","",IF((1/($B$17*$D$17))*LN(((($M36/$E$17)^-$D$17)+($C$17/$B$17))/(1+($C$17/$B$17)))&lt;0,0,(1/($B$17*$D$17))*LN(((($M36/$E$17)^-$D$17)+($C$17/$B$17))/(1+($C$17/$B$17)))))</f>
        <v/>
      </c>
      <c r="F55" s="111" t="str">
        <f aca="false">IF($C36="","",IF((1/($B$18*$D$18))*LN(((($M36/$E$18)^-$D$18)+($C$18/$B$18))/(1+($C$18/$B$18)))&lt;0,0,(1/($B$18*$D$18))*LN(((($M36/$E$18)^-$D$18)+($C$18/$B$18))/(1+($C$18/$B$18)))))</f>
        <v/>
      </c>
      <c r="G55" s="112" t="str">
        <f aca="false">IF($C36="","",IF((1/($B$19*$D$19))*LN(((($M36/$E$19)^-$D$19)+($C$19/$B$19))/(1+($C$19/$B$19)))&lt;0,0,(1/($B$19*$D$19))*LN(((($M36/$E$19)^-$D$19)+($C$19/$B$19))/(1+($C$19/$B$19)))))</f>
        <v/>
      </c>
      <c r="H55" s="113" t="str">
        <f aca="false">IF($N36="","",IF(-LN($N36)*$F$17/LN(2)&lt;0,0,-LN($N36)*$F$17/LN(2)))</f>
        <v/>
      </c>
      <c r="I55" s="113" t="str">
        <f aca="false">IF($N36="","",IF(-LN($N36)*$F$18/LN(2)&lt;0,0,-LN($N36)*$F$18/LN(2)))</f>
        <v/>
      </c>
      <c r="J55" s="113" t="str">
        <f aca="false">IF($N36="","",IF(-LN($N36)*$F$19/LN(2)&lt;0,0,-LN($N36)*$F$19/LN(2)))</f>
        <v/>
      </c>
      <c r="K55" s="110" t="str">
        <f aca="false">IF($E55="","",IF(AND($E55=0,$H55=0),0,IF(OR($E55=0,$H55=0),MAX($E55,$H55),IF(ABS($E55-$H55)&gt;$G$17,MAX($E55,$H55),(MAX($E55,$H55)+$F$17)))))</f>
        <v/>
      </c>
      <c r="L55" s="111" t="str">
        <f aca="false">IF($F55="","",IF(AND($F55=0,$I55=0),0,IF(OR($F55=0,$I55=0),MAX($F55,$I55),IF(ABS($F55-$I55)&gt;$G$18,MAX($F55,$I55),(MAX($F55,$I55)+$F$18)))))</f>
        <v/>
      </c>
      <c r="M55" s="111" t="str">
        <f aca="false">IF($G55="","",IF(AND($G55=0,$J55=0),0,IF(OR($G55=0,$J55=0),MAX($G55,$J55),IF(ABS($G55-$J55)&gt;$G$19,MAX($G55,$J55),(MAX($G55,$J55)+$F$19)))))</f>
        <v/>
      </c>
      <c r="N55" s="114" t="str">
        <f aca="false">IF(AND(B55="",E55="",H55=""),"",IF(B55="",LOOKUP(K55,mm_value,minimum_Pb),LOOKUP(B55,mm_value,minimum_Pb)))</f>
        <v/>
      </c>
      <c r="O55" s="49" t="n">
        <v>70</v>
      </c>
      <c r="P55" s="116" t="n">
        <v>5.369</v>
      </c>
      <c r="Q55" s="117" t="n">
        <v>23.49</v>
      </c>
      <c r="R55" s="116" t="n">
        <v>0.5881</v>
      </c>
      <c r="S55" s="118" t="n">
        <f aca="false">IF(P55="","",LN(2)/P55)</f>
        <v>0.129101728545343</v>
      </c>
      <c r="T55" s="118" t="n">
        <f aca="false">IF(S55="","",(LN(10)/LN(2))*S55)</f>
        <v>0.428866659153296</v>
      </c>
      <c r="U55" s="116" t="n">
        <v>0.05087</v>
      </c>
      <c r="V55" s="116" t="n">
        <v>0.1696</v>
      </c>
      <c r="W55" s="116" t="n">
        <v>0.3847</v>
      </c>
      <c r="X55" s="118" t="n">
        <f aca="false">IF(U55="","",LN(2)/U55)</f>
        <v>13.6258537558472</v>
      </c>
      <c r="Y55" s="118" t="n">
        <f aca="false">IF(X55="","",(LN(10)/LN(2))*X55)</f>
        <v>45.2641064083752</v>
      </c>
      <c r="Z55" s="116" t="n">
        <v>0.02302</v>
      </c>
      <c r="AA55" s="116" t="n">
        <v>0.07163</v>
      </c>
      <c r="AB55" s="116" t="n">
        <v>0.7299</v>
      </c>
      <c r="AC55" s="118" t="n">
        <f aca="false">IF(Z55="","",LN(2)/Z55)</f>
        <v>30.1106507628126</v>
      </c>
      <c r="AD55" s="118" t="n">
        <f aca="false">IF(AC55="","",(LN(10)/LN(2))*AC55)</f>
        <v>100.025416724329</v>
      </c>
      <c r="AE55" s="119" t="n">
        <v>0.7149</v>
      </c>
      <c r="AF55" s="116" t="n">
        <v>3.798</v>
      </c>
      <c r="AG55" s="116" t="n">
        <v>0.5378</v>
      </c>
      <c r="AH55" s="118" t="n">
        <f aca="false">IF(AE55="","",LN(2)/AE55)</f>
        <v>0.969572220674144</v>
      </c>
      <c r="AI55" s="118" t="n">
        <f aca="false">IF(AH55="","",(LN(10)/LN(2))*AH55)</f>
        <v>3.22084919987977</v>
      </c>
      <c r="AJ55" s="116" t="n">
        <v>0.05791</v>
      </c>
      <c r="AK55" s="116" t="n">
        <v>0.1357</v>
      </c>
      <c r="AL55" s="116" t="n">
        <v>0.5967</v>
      </c>
      <c r="AM55" s="118" t="n">
        <f aca="false">IF(AJ55="","",LN(2)/AJ55)</f>
        <v>11.969386644102</v>
      </c>
      <c r="AN55" s="118" t="n">
        <f aca="false">IF(AM55="","",(LN(10)/LN(2))*AM55)</f>
        <v>39.7614417716119</v>
      </c>
      <c r="AO55" s="120" t="n">
        <v>0.00855</v>
      </c>
      <c r="AP55" s="118" t="n">
        <v>0.000539</v>
      </c>
      <c r="AQ55" s="116" t="n">
        <v>1.194</v>
      </c>
      <c r="AR55" s="118" t="n">
        <f aca="false">IF(AO55="","",LN(2)/AO55)</f>
        <v>81.0698456795258</v>
      </c>
      <c r="AS55" s="118" t="n">
        <f aca="false">IF(AR55="","",(LN(10)/LN(2))*AR55)</f>
        <v>269.308198010999</v>
      </c>
      <c r="AT55" s="121" t="n">
        <f aca="false">1.222-0.05664*O55+0.001227*O55^2-0.000003136*O55^3</f>
        <v>2.193852</v>
      </c>
    </row>
    <row r="56" customFormat="false" ht="13.2" hidden="false" customHeight="false" outlineLevel="0" collapsed="false">
      <c r="A56" s="109" t="str">
        <f aca="false">IF($A37="","",$A37)</f>
        <v/>
      </c>
      <c r="B56" s="110" t="str">
        <f aca="false">IF(OR($B37=0,$F37=""),"",(1/($B$17*$D$17))*LN(((($L37/$E$17)^-$D$17)+($C$17/$B$17))/(1+($C$17/$B$17))))</f>
        <v/>
      </c>
      <c r="C56" s="111" t="str">
        <f aca="false">IF(OR($B37=0,$F37=""),"",(1/($B$18*$D$18))*LN(((($L37/$E$18)^-$D$18)+($C$18/$B$18))/(1+($C$18/$B$18))))</f>
        <v/>
      </c>
      <c r="D56" s="111" t="str">
        <f aca="false">IF(OR($B37=0,$F37=""),"",(1/($B$19*$D$19))*LN(((($L37/$E$19)^-$D$19)+($C$19/$B$19))/(1+($C$19/$B$19))))</f>
        <v/>
      </c>
      <c r="E56" s="110" t="str">
        <f aca="false">IF($C37="","",IF((1/($B$17*$D$17))*LN(((($M37/$E$17)^-$D$17)+($C$17/$B$17))/(1+($C$17/$B$17)))&lt;0,0,(1/($B$17*$D$17))*LN(((($M37/$E$17)^-$D$17)+($C$17/$B$17))/(1+($C$17/$B$17)))))</f>
        <v/>
      </c>
      <c r="F56" s="111" t="str">
        <f aca="false">IF($C37="","",IF((1/($B$18*$D$18))*LN(((($M37/$E$18)^-$D$18)+($C$18/$B$18))/(1+($C$18/$B$18)))&lt;0,0,(1/($B$18*$D$18))*LN(((($M37/$E$18)^-$D$18)+($C$18/$B$18))/(1+($C$18/$B$18)))))</f>
        <v/>
      </c>
      <c r="G56" s="112" t="str">
        <f aca="false">IF($C37="","",IF((1/($B$19*$D$19))*LN(((($M37/$E$19)^-$D$19)+($C$19/$B$19))/(1+($C$19/$B$19)))&lt;0,0,(1/($B$19*$D$19))*LN(((($M37/$E$19)^-$D$19)+($C$19/$B$19))/(1+($C$19/$B$19)))))</f>
        <v/>
      </c>
      <c r="H56" s="113" t="str">
        <f aca="false">IF($N37="","",IF(-LN($N37)*$F$17/LN(2)&lt;0,0,-LN($N37)*$F$17/LN(2)))</f>
        <v/>
      </c>
      <c r="I56" s="113" t="str">
        <f aca="false">IF($N37="","",IF(-LN($N37)*$F$18/LN(2)&lt;0,0,-LN($N37)*$F$18/LN(2)))</f>
        <v/>
      </c>
      <c r="J56" s="113" t="str">
        <f aca="false">IF($N37="","",IF(-LN($N37)*$F$19/LN(2)&lt;0,0,-LN($N37)*$F$19/LN(2)))</f>
        <v/>
      </c>
      <c r="K56" s="110" t="str">
        <f aca="false">IF($E56="","",IF(AND($E56=0,$H56=0),0,IF(OR($E56=0,$H56=0),MAX($E56,$H56),IF(ABS($E56-$H56)&gt;$G$17,MAX($E56,$H56),(MAX($E56,$H56)+$F$17)))))</f>
        <v/>
      </c>
      <c r="L56" s="111" t="str">
        <f aca="false">IF($F56="","",IF(AND($F56=0,$I56=0),0,IF(OR($F56=0,$I56=0),MAX($F56,$I56),IF(ABS($F56-$I56)&gt;$G$18,MAX($F56,$I56),(MAX($F56,$I56)+$F$18)))))</f>
        <v/>
      </c>
      <c r="M56" s="111" t="str">
        <f aca="false">IF($G56="","",IF(AND($G56=0,$J56=0),0,IF(OR($G56=0,$J56=0),MAX($G56,$J56),IF(ABS($G56-$J56)&gt;$G$19,MAX($G56,$J56),(MAX($G56,$J56)+$F$19)))))</f>
        <v/>
      </c>
      <c r="N56" s="114" t="str">
        <f aca="false">IF(AND(B56="",E56="",H56=""),"",IF(B56="",LOOKUP(K56,mm_value,minimum_Pb),LOOKUP(B56,mm_value,minimum_Pb)))</f>
        <v/>
      </c>
      <c r="O56" s="49" t="n">
        <v>75</v>
      </c>
      <c r="P56" s="116" t="n">
        <v>4.666</v>
      </c>
      <c r="Q56" s="117" t="n">
        <v>22.69</v>
      </c>
      <c r="R56" s="116" t="n">
        <v>0.6618</v>
      </c>
      <c r="S56" s="118" t="n">
        <f aca="false">IF(P56="","",LN(2)/P56)</f>
        <v>0.148552760514347</v>
      </c>
      <c r="T56" s="118" t="n">
        <f aca="false">IF(S56="","",(LN(10)/LN(2))*S56)</f>
        <v>0.493481588725685</v>
      </c>
      <c r="U56" s="116" t="n">
        <v>0.04797</v>
      </c>
      <c r="V56" s="116" t="n">
        <v>0.1663</v>
      </c>
      <c r="W56" s="116" t="n">
        <v>0.4492</v>
      </c>
      <c r="X56" s="118" t="n">
        <f aca="false">IF(U56="","",LN(2)/U56)</f>
        <v>14.449597259953</v>
      </c>
      <c r="Y56" s="118" t="n">
        <f aca="false">IF(X56="","",(LN(10)/LN(2))*X56)</f>
        <v>48.0005230976453</v>
      </c>
      <c r="Z56" s="116" t="n">
        <v>0.02066</v>
      </c>
      <c r="AA56" s="116" t="n">
        <v>0.06649</v>
      </c>
      <c r="AB56" s="116" t="n">
        <v>0.775</v>
      </c>
      <c r="AC56" s="118" t="n">
        <f aca="false">IF(Z56="","",LN(2)/Z56)</f>
        <v>33.550202350433</v>
      </c>
      <c r="AD56" s="118" t="n">
        <f aca="false">IF(AC56="","",(LN(10)/LN(2))*AC56)</f>
        <v>111.451359777059</v>
      </c>
      <c r="AE56" s="119" t="n">
        <v>0.5793</v>
      </c>
      <c r="AF56" s="116" t="n">
        <v>3.629</v>
      </c>
      <c r="AG56" s="116" t="n">
        <v>0.5908</v>
      </c>
      <c r="AH56" s="118" t="n">
        <f aca="false">IF(AE56="","",LN(2)/AE56)</f>
        <v>1.19652542820636</v>
      </c>
      <c r="AI56" s="118" t="n">
        <f aca="false">IF(AH56="","",(LN(10)/LN(2))*AH56)</f>
        <v>3.97477143620584</v>
      </c>
      <c r="AJ56" s="116" t="n">
        <v>0.05291</v>
      </c>
      <c r="AK56" s="116" t="n">
        <v>0.128</v>
      </c>
      <c r="AL56" s="116" t="n">
        <v>0.6478</v>
      </c>
      <c r="AM56" s="118" t="n">
        <f aca="false">IF(AJ56="","",LN(2)/AJ56)</f>
        <v>13.1004948130778</v>
      </c>
      <c r="AN56" s="118" t="n">
        <f aca="false">IF(AM56="","",(LN(10)/LN(2))*AM56)</f>
        <v>43.5189017764892</v>
      </c>
      <c r="AO56" s="120" t="n">
        <v>0.005203</v>
      </c>
      <c r="AP56" s="118" t="n">
        <v>0.0006421</v>
      </c>
      <c r="AQ56" s="116" t="n">
        <v>1.062</v>
      </c>
      <c r="AR56" s="118" t="n">
        <f aca="false">IF(AO56="","",LN(2)/AO56)</f>
        <v>133.220676640389</v>
      </c>
      <c r="AS56" s="118" t="n">
        <f aca="false">IF(AR56="","",(LN(10)/LN(2))*AR56)</f>
        <v>442.549508551614</v>
      </c>
      <c r="AT56" s="121" t="n">
        <f aca="false">1.222-0.05664*O56+0.001227*O56^2-0.000003136*O56^3</f>
        <v>2.552875</v>
      </c>
    </row>
    <row r="57" customFormat="false" ht="13.2" hidden="false" customHeight="false" outlineLevel="0" collapsed="false">
      <c r="A57" s="109" t="str">
        <f aca="false">IF($A38="","",$A38)</f>
        <v/>
      </c>
      <c r="B57" s="110" t="str">
        <f aca="false">IF(OR($B38=0,$F38=""),"",(1/($B$17*$D$17))*LN(((($L38/$E$17)^-$D$17)+($C$17/$B$17))/(1+($C$17/$B$17))))</f>
        <v/>
      </c>
      <c r="C57" s="111" t="str">
        <f aca="false">IF(OR($B38=0,$F38=""),"",(1/($B$18*$D$18))*LN(((($L38/$E$18)^-$D$18)+($C$18/$B$18))/(1+($C$18/$B$18))))</f>
        <v/>
      </c>
      <c r="D57" s="111" t="str">
        <f aca="false">IF(OR($B38=0,$F38=""),"",(1/($B$19*$D$19))*LN(((($L38/$E$19)^-$D$19)+($C$19/$B$19))/(1+($C$19/$B$19))))</f>
        <v/>
      </c>
      <c r="E57" s="110" t="str">
        <f aca="false">IF($C38="","",IF((1/($B$17*$D$17))*LN(((($M38/$E$17)^-$D$17)+($C$17/$B$17))/(1+($C$17/$B$17)))&lt;0,0,(1/($B$17*$D$17))*LN(((($M38/$E$17)^-$D$17)+($C$17/$B$17))/(1+($C$17/$B$17)))))</f>
        <v/>
      </c>
      <c r="F57" s="111" t="str">
        <f aca="false">IF($C38="","",IF((1/($B$18*$D$18))*LN(((($M38/$E$18)^-$D$18)+($C$18/$B$18))/(1+($C$18/$B$18)))&lt;0,0,(1/($B$18*$D$18))*LN(((($M38/$E$18)^-$D$18)+($C$18/$B$18))/(1+($C$18/$B$18)))))</f>
        <v/>
      </c>
      <c r="G57" s="112" t="str">
        <f aca="false">IF($C38="","",IF((1/($B$19*$D$19))*LN(((($M38/$E$19)^-$D$19)+($C$19/$B$19))/(1+($C$19/$B$19)))&lt;0,0,(1/($B$19*$D$19))*LN(((($M38/$E$19)^-$D$19)+($C$19/$B$19))/(1+($C$19/$B$19)))))</f>
        <v/>
      </c>
      <c r="H57" s="113" t="str">
        <f aca="false">IF($N38="","",IF(-LN($N38)*$F$17/LN(2)&lt;0,0,-LN($N38)*$F$17/LN(2)))</f>
        <v/>
      </c>
      <c r="I57" s="113" t="str">
        <f aca="false">IF($N38="","",IF(-LN($N38)*$F$18/LN(2)&lt;0,0,-LN($N38)*$F$18/LN(2)))</f>
        <v/>
      </c>
      <c r="J57" s="113" t="str">
        <f aca="false">IF($N38="","",IF(-LN($N38)*$F$19/LN(2)&lt;0,0,-LN($N38)*$F$19/LN(2)))</f>
        <v/>
      </c>
      <c r="K57" s="110" t="str">
        <f aca="false">IF($E57="","",IF(AND($E57=0,$H57=0),0,IF(OR($E57=0,$H57=0),MAX($E57,$H57),IF(ABS($E57-$H57)&gt;$G$17,MAX($E57,$H57),(MAX($E57,$H57)+$F$17)))))</f>
        <v/>
      </c>
      <c r="L57" s="111" t="str">
        <f aca="false">IF($F57="","",IF(AND($F57=0,$I57=0),0,IF(OR($F57=0,$I57=0),MAX($F57,$I57),IF(ABS($F57-$I57)&gt;$G$18,MAX($F57,$I57),(MAX($F57,$I57)+$F$18)))))</f>
        <v/>
      </c>
      <c r="M57" s="111" t="str">
        <f aca="false">IF($G57="","",IF(AND($G57=0,$J57=0),0,IF(OR($G57=0,$J57=0),MAX($G57,$J57),IF(ABS($G57-$J57)&gt;$G$19,MAX($G57,$J57),(MAX($G57,$J57)+$F$19)))))</f>
        <v/>
      </c>
      <c r="N57" s="114" t="str">
        <f aca="false">IF(AND(B57="",E57="",H57=""),"",IF(B57="",LOOKUP(K57,mm_value,minimum_Pb),LOOKUP(B57,mm_value,minimum_Pb)))</f>
        <v/>
      </c>
      <c r="O57" s="49" t="n">
        <v>80</v>
      </c>
      <c r="P57" s="116" t="n">
        <v>4.04</v>
      </c>
      <c r="Q57" s="117" t="n">
        <v>21.69</v>
      </c>
      <c r="R57" s="116" t="n">
        <v>0.7187</v>
      </c>
      <c r="S57" s="118" t="n">
        <f aca="false">IF(P57="","",LN(2)/P57)</f>
        <v>0.171571084297016</v>
      </c>
      <c r="T57" s="118" t="n">
        <f aca="false">IF(S57="","",(LN(10)/LN(2))*S57)</f>
        <v>0.569946805196546</v>
      </c>
      <c r="U57" s="116" t="n">
        <v>0.04583</v>
      </c>
      <c r="V57" s="116" t="n">
        <v>0.1549</v>
      </c>
      <c r="W57" s="116" t="n">
        <v>0.4926</v>
      </c>
      <c r="X57" s="118" t="n">
        <f aca="false">IF(U57="","",LN(2)/U57)</f>
        <v>15.1243111621197</v>
      </c>
      <c r="Y57" s="118" t="n">
        <f aca="false">IF(X57="","",(LN(10)/LN(2))*X57)</f>
        <v>50.2418741652639</v>
      </c>
      <c r="Z57" s="116" t="n">
        <v>0.01886</v>
      </c>
      <c r="AA57" s="116" t="n">
        <v>0.06093</v>
      </c>
      <c r="AB57" s="116" t="n">
        <v>0.8103</v>
      </c>
      <c r="AC57" s="118" t="n">
        <f aca="false">IF(Z57="","",LN(2)/Z57)</f>
        <v>36.7522365090109</v>
      </c>
      <c r="AD57" s="118" t="n">
        <f aca="false">IF(AC57="","",(LN(10)/LN(2))*AC57)</f>
        <v>122.088287009228</v>
      </c>
      <c r="AE57" s="119" t="n">
        <v>0.4921</v>
      </c>
      <c r="AF57" s="116" t="n">
        <v>3.428</v>
      </c>
      <c r="AG57" s="116" t="n">
        <v>0.6427</v>
      </c>
      <c r="AH57" s="118" t="n">
        <f aca="false">IF(AE57="","",LN(2)/AE57)</f>
        <v>1.40854944230836</v>
      </c>
      <c r="AI57" s="118" t="n">
        <f aca="false">IF(AH57="","",(LN(10)/LN(2))*AH57)</f>
        <v>4.67909996544208</v>
      </c>
      <c r="AJ57" s="116" t="n">
        <v>0.04955</v>
      </c>
      <c r="AK57" s="116" t="n">
        <v>0.1208</v>
      </c>
      <c r="AL57" s="116" t="n">
        <v>0.7097</v>
      </c>
      <c r="AM57" s="118" t="n">
        <f aca="false">IF(AJ57="","",LN(2)/AJ57)</f>
        <v>13.9888431999989</v>
      </c>
      <c r="AN57" s="118" t="n">
        <f aca="false">IF(AM57="","",(LN(10)/LN(2))*AM57)</f>
        <v>46.4699312410504</v>
      </c>
      <c r="AO57" s="120" t="n">
        <v>0.007903</v>
      </c>
      <c r="AP57" s="118" t="n">
        <v>0.000864</v>
      </c>
      <c r="AQ57" s="116" t="n">
        <v>0.9703</v>
      </c>
      <c r="AR57" s="118" t="n">
        <f aca="false">IF(AO57="","",LN(2)/AO57)</f>
        <v>87.7068430418759</v>
      </c>
      <c r="AS57" s="118" t="n">
        <f aca="false">IF(AR57="","",(LN(10)/LN(2))*AR57)</f>
        <v>291.355826014684</v>
      </c>
      <c r="AT57" s="121" t="n">
        <f aca="false">1.222-0.05664*O57+0.001227*O57^2-0.000003136*O57^3</f>
        <v>2.937968</v>
      </c>
    </row>
    <row r="58" customFormat="false" ht="13.2" hidden="false" customHeight="false" outlineLevel="0" collapsed="false">
      <c r="A58" s="109" t="str">
        <f aca="false">IF($A39="","",$A39)</f>
        <v/>
      </c>
      <c r="B58" s="110" t="str">
        <f aca="false">IF(OR($B39=0,$F39=""),"",(1/($B$17*$D$17))*LN(((($L39/$E$17)^-$D$17)+($C$17/$B$17))/(1+($C$17/$B$17))))</f>
        <v/>
      </c>
      <c r="C58" s="111" t="str">
        <f aca="false">IF(OR($B39=0,$F39=""),"",(1/($B$18*$D$18))*LN(((($L39/$E$18)^-$D$18)+($C$18/$B$18))/(1+($C$18/$B$18))))</f>
        <v/>
      </c>
      <c r="D58" s="111" t="str">
        <f aca="false">IF(OR($B39=0,$F39=""),"",(1/($B$19*$D$19))*LN(((($L39/$E$19)^-$D$19)+($C$19/$B$19))/(1+($C$19/$B$19))))</f>
        <v/>
      </c>
      <c r="E58" s="110" t="str">
        <f aca="false">IF($C39="","",IF((1/($B$17*$D$17))*LN(((($M39/$E$17)^-$D$17)+($C$17/$B$17))/(1+($C$17/$B$17)))&lt;0,0,(1/($B$17*$D$17))*LN(((($M39/$E$17)^-$D$17)+($C$17/$B$17))/(1+($C$17/$B$17)))))</f>
        <v/>
      </c>
      <c r="F58" s="111" t="str">
        <f aca="false">IF($C39="","",IF((1/($B$18*$D$18))*LN(((($M39/$E$18)^-$D$18)+($C$18/$B$18))/(1+($C$18/$B$18)))&lt;0,0,(1/($B$18*$D$18))*LN(((($M39/$E$18)^-$D$18)+($C$18/$B$18))/(1+($C$18/$B$18)))))</f>
        <v/>
      </c>
      <c r="G58" s="112" t="str">
        <f aca="false">IF($C39="","",IF((1/($B$19*$D$19))*LN(((($M39/$E$19)^-$D$19)+($C$19/$B$19))/(1+($C$19/$B$19)))&lt;0,0,(1/($B$19*$D$19))*LN(((($M39/$E$19)^-$D$19)+($C$19/$B$19))/(1+($C$19/$B$19)))))</f>
        <v/>
      </c>
      <c r="H58" s="113" t="str">
        <f aca="false">IF($N39="","",IF(-LN($N39)*$F$17/LN(2)&lt;0,0,-LN($N39)*$F$17/LN(2)))</f>
        <v/>
      </c>
      <c r="I58" s="113" t="str">
        <f aca="false">IF($N39="","",IF(-LN($N39)*$F$18/LN(2)&lt;0,0,-LN($N39)*$F$18/LN(2)))</f>
        <v/>
      </c>
      <c r="J58" s="113" t="str">
        <f aca="false">IF($N39="","",IF(-LN($N39)*$F$19/LN(2)&lt;0,0,-LN($N39)*$F$19/LN(2)))</f>
        <v/>
      </c>
      <c r="K58" s="110" t="str">
        <f aca="false">IF($E58="","",IF(AND($E58=0,$H58=0),0,IF(OR($E58=0,$H58=0),MAX($E58,$H58),IF(ABS($E58-$H58)&gt;$G$17,MAX($E58,$H58),(MAX($E58,$H58)+$F$17)))))</f>
        <v/>
      </c>
      <c r="L58" s="111" t="str">
        <f aca="false">IF($F58="","",IF(AND($F58=0,$I58=0),0,IF(OR($F58=0,$I58=0),MAX($F58,$I58),IF(ABS($F58-$I58)&gt;$G$18,MAX($F58,$I58),(MAX($F58,$I58)+$F$18)))))</f>
        <v/>
      </c>
      <c r="M58" s="111" t="str">
        <f aca="false">IF($G58="","",IF(AND($G58=0,$J58=0),0,IF(OR($G58=0,$J58=0),MAX($G58,$J58),IF(ABS($G58-$J58)&gt;$G$19,MAX($G58,$J58),(MAX($G58,$J58)+$F$19)))))</f>
        <v/>
      </c>
      <c r="N58" s="114" t="str">
        <f aca="false">IF(AND(B58="",E58="",H58=""),"",IF(B58="",LOOKUP(K58,mm_value,minimum_Pb),LOOKUP(B58,mm_value,minimum_Pb)))</f>
        <v/>
      </c>
      <c r="O58" s="49" t="n">
        <v>85</v>
      </c>
      <c r="P58" s="116" t="n">
        <v>3.504</v>
      </c>
      <c r="Q58" s="117" t="n">
        <v>20.37</v>
      </c>
      <c r="R58" s="116" t="n">
        <v>0.755</v>
      </c>
      <c r="S58" s="118" t="n">
        <f aca="false">IF(P58="","",LN(2)/P58)</f>
        <v>0.197815976187199</v>
      </c>
      <c r="T58" s="118" t="n">
        <f aca="false">IF(S58="","",(LN(10)/LN(2))*S58)</f>
        <v>0.657130448913826</v>
      </c>
      <c r="U58" s="116" t="n">
        <v>0.04398</v>
      </c>
      <c r="V58" s="116" t="n">
        <v>0.1348</v>
      </c>
      <c r="W58" s="116" t="n">
        <v>0.4943</v>
      </c>
      <c r="X58" s="118" t="n">
        <f aca="false">IF(U58="","",LN(2)/U58)</f>
        <v>15.7605088803989</v>
      </c>
      <c r="Y58" s="118" t="n">
        <f aca="false">IF(X58="","",(LN(10)/LN(2))*X58)</f>
        <v>52.355277239519</v>
      </c>
      <c r="Z58" s="116" t="n">
        <v>0.01746</v>
      </c>
      <c r="AA58" s="116" t="n">
        <v>0.05558</v>
      </c>
      <c r="AB58" s="116" t="n">
        <v>0.8392</v>
      </c>
      <c r="AC58" s="118" t="n">
        <f aca="false">IF(Z58="","",LN(2)/Z58)</f>
        <v>39.6991512348193</v>
      </c>
      <c r="AD58" s="118" t="n">
        <f aca="false">IF(AC58="","",(LN(10)/LN(2))*AC58)</f>
        <v>131.877725830129</v>
      </c>
      <c r="AE58" s="119" t="n">
        <v>0.4355</v>
      </c>
      <c r="AF58" s="116" t="n">
        <v>3.178</v>
      </c>
      <c r="AG58" s="116" t="n">
        <v>0.6861</v>
      </c>
      <c r="AH58" s="118" t="n">
        <f aca="false">IF(AE58="","",LN(2)/AE58)</f>
        <v>1.59161235490229</v>
      </c>
      <c r="AI58" s="118" t="n">
        <f aca="false">IF(AH58="","",(LN(10)/LN(2))*AH58)</f>
        <v>5.28722179791974</v>
      </c>
      <c r="AJ58" s="116" t="n">
        <v>0.04721</v>
      </c>
      <c r="AK58" s="116" t="n">
        <v>0.114</v>
      </c>
      <c r="AL58" s="116" t="n">
        <v>0.7786</v>
      </c>
      <c r="AM58" s="118" t="n">
        <f aca="false">IF(AJ58="","",LN(2)/AJ58)</f>
        <v>14.6822109841124</v>
      </c>
      <c r="AN58" s="118" t="n">
        <f aca="false">IF(AM58="","",(LN(10)/LN(2))*AM58)</f>
        <v>48.7732491631867</v>
      </c>
      <c r="AO58" s="120" t="n">
        <v>0.007686</v>
      </c>
      <c r="AP58" s="118" t="n">
        <v>0.001056</v>
      </c>
      <c r="AQ58" s="116" t="n">
        <v>1.015</v>
      </c>
      <c r="AR58" s="118" t="n">
        <f aca="false">IF(AO58="","",LN(2)/AO58)</f>
        <v>90.183083601346</v>
      </c>
      <c r="AS58" s="118" t="n">
        <f aca="false">IF(AR58="","",(LN(10)/LN(2))*AR58)</f>
        <v>299.581719098887</v>
      </c>
      <c r="AT58" s="121" t="n">
        <f aca="false">1.222-0.05664*O58+0.001227*O58^2-0.000003136*O58^3</f>
        <v>3.346779</v>
      </c>
    </row>
    <row r="59" customFormat="false" ht="13.2" hidden="false" customHeight="false" outlineLevel="0" collapsed="false">
      <c r="A59" s="4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O59" s="49" t="n">
        <v>90</v>
      </c>
      <c r="P59" s="116" t="n">
        <v>3.067</v>
      </c>
      <c r="Q59" s="117" t="n">
        <v>18.83</v>
      </c>
      <c r="R59" s="116" t="n">
        <v>0.7726</v>
      </c>
      <c r="S59" s="118" t="n">
        <f aca="false">IF(P59="","",LN(2)/P59)</f>
        <v>0.226001689129425</v>
      </c>
      <c r="T59" s="118" t="n">
        <f aca="false">IF(S59="","",(LN(10)/LN(2))*S59)</f>
        <v>0.750761360611035</v>
      </c>
      <c r="U59" s="116" t="n">
        <v>0.04228</v>
      </c>
      <c r="V59" s="116" t="n">
        <v>0.1137</v>
      </c>
      <c r="W59" s="116" t="n">
        <v>0.469</v>
      </c>
      <c r="X59" s="118" t="n">
        <f aca="false">IF(U59="","",LN(2)/U59)</f>
        <v>16.3942095685891</v>
      </c>
      <c r="Y59" s="118" t="n">
        <f aca="false">IF(X59="","",(LN(10)/LN(2))*X59)</f>
        <v>54.4603853593672</v>
      </c>
      <c r="Z59" s="116" t="n">
        <v>0.01663</v>
      </c>
      <c r="AA59" s="116" t="n">
        <v>0.05039</v>
      </c>
      <c r="AB59" s="116" t="n">
        <v>0.8585</v>
      </c>
      <c r="AC59" s="118" t="n">
        <f aca="false">IF(Z59="","",LN(2)/Z59)</f>
        <v>41.6805279951861</v>
      </c>
      <c r="AD59" s="118" t="n">
        <f aca="false">IF(AC59="","",(LN(10)/LN(2))*AC59)</f>
        <v>138.459716956948</v>
      </c>
      <c r="AE59" s="119" t="n">
        <v>0.3971</v>
      </c>
      <c r="AF59" s="116" t="n">
        <v>2.913</v>
      </c>
      <c r="AG59" s="116" t="n">
        <v>0.7204</v>
      </c>
      <c r="AH59" s="118" t="n">
        <f aca="false">IF(AE59="","",LN(2)/AE59)</f>
        <v>1.74552299309984</v>
      </c>
      <c r="AI59" s="118" t="n">
        <f aca="false">IF(AH59="","",(LN(10)/LN(2))*AH59)</f>
        <v>5.79850187105023</v>
      </c>
      <c r="AJ59" s="116" t="n">
        <v>0.0455</v>
      </c>
      <c r="AK59" s="116" t="n">
        <v>0.1077</v>
      </c>
      <c r="AL59" s="116" t="n">
        <v>0.8522</v>
      </c>
      <c r="AM59" s="118" t="n">
        <f aca="false">IF(AJ59="","",LN(2)/AJ59)</f>
        <v>15.2340039683504</v>
      </c>
      <c r="AN59" s="118" t="n">
        <f aca="false">IF(AM59="","",(LN(10)/LN(2))*AM59)</f>
        <v>50.6062657800889</v>
      </c>
      <c r="AO59" s="120" t="n">
        <v>0.007511</v>
      </c>
      <c r="AP59" s="118" t="n">
        <v>0.001159</v>
      </c>
      <c r="AQ59" s="116" t="n">
        <v>1.081</v>
      </c>
      <c r="AR59" s="118" t="n">
        <f aca="false">IF(AO59="","",LN(2)/AO59)</f>
        <v>92.28427380641</v>
      </c>
      <c r="AS59" s="118" t="n">
        <f aca="false">IF(AR59="","",(LN(10)/LN(2))*AR59)</f>
        <v>306.561721873791</v>
      </c>
      <c r="AT59" s="121" t="n">
        <f aca="false">1.222-0.05664*O59+0.001227*O59^2-0.000003136*O59^3</f>
        <v>3.776956</v>
      </c>
    </row>
    <row r="60" customFormat="false" ht="13.2" hidden="false" customHeight="false" outlineLevel="0" collapsed="false">
      <c r="A60" s="4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O60" s="49" t="n">
        <v>95</v>
      </c>
      <c r="P60" s="116" t="n">
        <v>2.731</v>
      </c>
      <c r="Q60" s="117" t="n">
        <v>17.07</v>
      </c>
      <c r="R60" s="116" t="n">
        <v>0.7714</v>
      </c>
      <c r="S60" s="118" t="n">
        <f aca="false">IF(P60="","",LN(2)/P60)</f>
        <v>0.253807096506754</v>
      </c>
      <c r="T60" s="118" t="n">
        <f aca="false">IF(S60="","",(LN(10)/LN(2))*S60)</f>
        <v>0.843128924567574</v>
      </c>
      <c r="U60" s="116" t="n">
        <v>0.04068</v>
      </c>
      <c r="V60" s="116" t="n">
        <v>0.09705</v>
      </c>
      <c r="W60" s="116" t="n">
        <v>0.4406</v>
      </c>
      <c r="X60" s="118" t="n">
        <f aca="false">IF(U60="","",LN(2)/U60)</f>
        <v>17.0390162379534</v>
      </c>
      <c r="Y60" s="118" t="n">
        <f aca="false">IF(X60="","",(LN(10)/LN(2))*X60)</f>
        <v>56.6023867500994</v>
      </c>
      <c r="Z60" s="116" t="n">
        <v>0.01543</v>
      </c>
      <c r="AA60" s="116" t="n">
        <v>0.04571</v>
      </c>
      <c r="AB60" s="116" t="n">
        <v>0.8763</v>
      </c>
      <c r="AC60" s="118" t="n">
        <f aca="false">IF(Z60="","",LN(2)/Z60)</f>
        <v>44.9220466986355</v>
      </c>
      <c r="AD60" s="118" t="n">
        <f aca="false">IF(AC60="","",(LN(10)/LN(2))*AC60)</f>
        <v>149.227809008039</v>
      </c>
      <c r="AE60" s="119" t="n">
        <v>0.3681</v>
      </c>
      <c r="AF60" s="116" t="n">
        <v>2.654</v>
      </c>
      <c r="AG60" s="116" t="n">
        <v>0.7461</v>
      </c>
      <c r="AH60" s="118" t="n">
        <f aca="false">IF(AE60="","",LN(2)/AE60)</f>
        <v>1.88304042531906</v>
      </c>
      <c r="AI60" s="118" t="n">
        <f aca="false">IF(AH60="","",(LN(10)/LN(2))*AH60)</f>
        <v>6.25532489267603</v>
      </c>
      <c r="AJ60" s="116" t="n">
        <v>0.0441</v>
      </c>
      <c r="AK60" s="116" t="n">
        <v>0.1013</v>
      </c>
      <c r="AL60" s="116" t="n">
        <v>0.9222</v>
      </c>
      <c r="AM60" s="118" t="n">
        <f aca="false">IF(AJ60="","",LN(2)/AJ60)</f>
        <v>15.7176231419489</v>
      </c>
      <c r="AN60" s="118" t="n">
        <f aca="false">IF(AM60="","",(LN(10)/LN(2))*AM60)</f>
        <v>52.2128139000917</v>
      </c>
      <c r="AO60" s="120" t="n">
        <v>0.007345</v>
      </c>
      <c r="AP60" s="118" t="n">
        <v>0.001133</v>
      </c>
      <c r="AQ60" s="116" t="n">
        <v>1.116</v>
      </c>
      <c r="AR60" s="118" t="n">
        <f aca="false">IF(AO60="","",LN(2)/AO60)</f>
        <v>94.3699360871267</v>
      </c>
      <c r="AS60" s="118" t="n">
        <f aca="false">IF(AR60="","",(LN(10)/LN(2))*AR60)</f>
        <v>313.490142000551</v>
      </c>
      <c r="AT60" s="121" t="n">
        <f aca="false">1.222-0.05664*O60+0.001227*O60^2-0.000003136*O60^3</f>
        <v>4.226147</v>
      </c>
    </row>
    <row r="61" customFormat="false" ht="13.2" hidden="false" customHeight="false" outlineLevel="0" collapsed="false">
      <c r="A61" s="12"/>
      <c r="B61" s="123" t="s">
        <v>60</v>
      </c>
      <c r="C61" s="123"/>
      <c r="D61" s="123"/>
      <c r="E61" s="123" t="s">
        <v>62</v>
      </c>
      <c r="F61" s="123"/>
      <c r="G61" s="123"/>
      <c r="H61" s="123" t="s">
        <v>91</v>
      </c>
      <c r="I61" s="123"/>
      <c r="J61" s="123"/>
      <c r="K61" s="124" t="s">
        <v>92</v>
      </c>
      <c r="L61" s="125"/>
      <c r="M61" s="126"/>
      <c r="O61" s="49" t="n">
        <v>100</v>
      </c>
      <c r="P61" s="116" t="n">
        <v>2.5</v>
      </c>
      <c r="Q61" s="117" t="n">
        <v>15.28</v>
      </c>
      <c r="R61" s="116" t="n">
        <v>0.7557</v>
      </c>
      <c r="S61" s="118" t="n">
        <f aca="false">IF(P61="","",LN(2)/P61)</f>
        <v>0.277258872223978</v>
      </c>
      <c r="T61" s="118" t="n">
        <f aca="false">IF(S61="","",(LN(10)/LN(2))*S61)</f>
        <v>0.921034037197618</v>
      </c>
      <c r="U61" s="116" t="n">
        <v>0.03925</v>
      </c>
      <c r="V61" s="116" t="n">
        <v>0.08567</v>
      </c>
      <c r="W61" s="116" t="n">
        <v>0.4273</v>
      </c>
      <c r="X61" s="118" t="n">
        <f aca="false">IF(U61="","",LN(2)/U61)</f>
        <v>17.6598007785973</v>
      </c>
      <c r="Y61" s="118" t="n">
        <f aca="false">IF(X61="","",(LN(10)/LN(2))*X61)</f>
        <v>58.6645883565362</v>
      </c>
      <c r="Z61" s="116" t="n">
        <v>0.01466</v>
      </c>
      <c r="AA61" s="116" t="n">
        <v>0.04171</v>
      </c>
      <c r="AB61" s="116" t="n">
        <v>0.8939</v>
      </c>
      <c r="AC61" s="118" t="n">
        <f aca="false">IF(Z61="","",LN(2)/Z61)</f>
        <v>47.2815266411968</v>
      </c>
      <c r="AD61" s="118" t="n">
        <f aca="false">IF(AC61="","",(LN(10)/LN(2))*AC61)</f>
        <v>157.065831718557</v>
      </c>
      <c r="AE61" s="119" t="n">
        <v>0.3415</v>
      </c>
      <c r="AF61" s="116" t="n">
        <v>2.42</v>
      </c>
      <c r="AG61" s="116" t="n">
        <v>0.7645</v>
      </c>
      <c r="AH61" s="118" t="n">
        <f aca="false">IF(AE61="","",LN(2)/AE61)</f>
        <v>2.02971355947275</v>
      </c>
      <c r="AI61" s="118" t="n">
        <f aca="false">IF(AH61="","",(LN(10)/LN(2))*AH61)</f>
        <v>6.74256249778637</v>
      </c>
      <c r="AJ61" s="116" t="n">
        <v>0.04278</v>
      </c>
      <c r="AK61" s="116" t="n">
        <v>0.09466</v>
      </c>
      <c r="AL61" s="116" t="n">
        <v>0.9791</v>
      </c>
      <c r="AM61" s="118" t="n">
        <f aca="false">IF(AJ61="","",LN(2)/AJ61)</f>
        <v>16.2025988910693</v>
      </c>
      <c r="AN61" s="118" t="n">
        <f aca="false">IF(AM61="","",(LN(10)/LN(2))*AM61)</f>
        <v>53.823868466434</v>
      </c>
      <c r="AO61" s="120" t="n">
        <v>0.00723</v>
      </c>
      <c r="AP61" s="118" t="n">
        <v>0.0009343</v>
      </c>
      <c r="AQ61" s="116" t="n">
        <v>1.309</v>
      </c>
      <c r="AR61" s="118" t="n">
        <f aca="false">IF(AO61="","",LN(2)/AO61)</f>
        <v>95.8709793305595</v>
      </c>
      <c r="AS61" s="118" t="n">
        <f aca="false">IF(AR61="","",(LN(10)/LN(2))*AR61)</f>
        <v>318.476499722551</v>
      </c>
      <c r="AT61" s="121" t="n">
        <f aca="false">1.222-0.05664*O61+0.001227*O61^2-0.000003136*O61^3</f>
        <v>4.692</v>
      </c>
    </row>
    <row r="62" customFormat="false" ht="13.2" hidden="false" customHeight="false" outlineLevel="0" collapsed="false">
      <c r="A62" s="77" t="s">
        <v>68</v>
      </c>
      <c r="B62" s="127" t="str">
        <f aca="false">$A$20</f>
        <v>Steel</v>
      </c>
      <c r="C62" s="128" t="str">
        <f aca="false">$A$21</f>
        <v>Glass</v>
      </c>
      <c r="D62" s="128" t="str">
        <f aca="false">$A$22</f>
        <v>Wood</v>
      </c>
      <c r="E62" s="127" t="str">
        <f aca="false">B62</f>
        <v>Steel</v>
      </c>
      <c r="F62" s="128" t="str">
        <f aca="false">C62</f>
        <v>Glass</v>
      </c>
      <c r="G62" s="128" t="str">
        <f aca="false">$A$22</f>
        <v>Wood</v>
      </c>
      <c r="H62" s="127" t="str">
        <f aca="false">B62</f>
        <v>Steel</v>
      </c>
      <c r="I62" s="128" t="str">
        <f aca="false">C62</f>
        <v>Glass</v>
      </c>
      <c r="J62" s="128" t="str">
        <f aca="false">$A$22</f>
        <v>Wood</v>
      </c>
      <c r="K62" s="127" t="str">
        <f aca="false">H62</f>
        <v>Steel</v>
      </c>
      <c r="L62" s="128" t="str">
        <f aca="false">I62</f>
        <v>Glass</v>
      </c>
      <c r="M62" s="128" t="str">
        <f aca="false">$A$22</f>
        <v>Wood</v>
      </c>
      <c r="O62" s="49" t="n">
        <v>105</v>
      </c>
      <c r="P62" s="116" t="n">
        <v>2.364</v>
      </c>
      <c r="Q62" s="117" t="n">
        <v>13.41</v>
      </c>
      <c r="R62" s="116" t="n">
        <v>0.7239</v>
      </c>
      <c r="S62" s="118" t="n">
        <f aca="false">IF(P62="","",LN(2)/P62)</f>
        <v>0.29320946724194</v>
      </c>
      <c r="T62" s="118" t="n">
        <f aca="false">IF(S62="","",(LN(10)/LN(2))*S62)</f>
        <v>0.974020766917955</v>
      </c>
      <c r="U62" s="116" t="n">
        <v>0.03808</v>
      </c>
      <c r="V62" s="116" t="n">
        <v>0.07862</v>
      </c>
      <c r="W62" s="116" t="n">
        <v>0.4394</v>
      </c>
      <c r="X62" s="118" t="n">
        <f aca="false">IF(U62="","",LN(2)/U62)</f>
        <v>18.2023944474776</v>
      </c>
      <c r="Y62" s="118" t="n">
        <f aca="false">IF(X62="","",(LN(10)/LN(2))*X62)</f>
        <v>60.4670455092974</v>
      </c>
      <c r="Z62" s="116" t="n">
        <v>0.01397</v>
      </c>
      <c r="AA62" s="116" t="n">
        <v>0.03815</v>
      </c>
      <c r="AB62" s="116" t="n">
        <v>0.908</v>
      </c>
      <c r="AC62" s="118" t="n">
        <f aca="false">IF(Z62="","",LN(2)/Z62)</f>
        <v>49.6168346857513</v>
      </c>
      <c r="AD62" s="118" t="n">
        <f aca="false">IF(AC62="","",(LN(10)/LN(2))*AC62)</f>
        <v>164.823557121979</v>
      </c>
      <c r="AE62" s="119" t="n">
        <v>0.3135</v>
      </c>
      <c r="AF62" s="116" t="n">
        <v>2.227</v>
      </c>
      <c r="AG62" s="116" t="n">
        <v>0.7788</v>
      </c>
      <c r="AH62" s="118" t="n">
        <f aca="false">IF(AE62="","",LN(2)/AE62)</f>
        <v>2.21099579125979</v>
      </c>
      <c r="AI62" s="118" t="n">
        <f aca="false">IF(AH62="","",(LN(10)/LN(2))*AH62)</f>
        <v>7.34476903666362</v>
      </c>
      <c r="AJ62" s="116" t="n">
        <v>0.04143</v>
      </c>
      <c r="AK62" s="116" t="n">
        <v>0.08751</v>
      </c>
      <c r="AL62" s="116" t="n">
        <v>1.014</v>
      </c>
      <c r="AM62" s="118" t="n">
        <f aca="false">IF(AJ62="","",LN(2)/AJ62)</f>
        <v>16.7305619251737</v>
      </c>
      <c r="AN62" s="118" t="n">
        <f aca="false">IF(AM62="","",(LN(10)/LN(2))*AM62)</f>
        <v>55.5777237024872</v>
      </c>
      <c r="AO62" s="120" t="n">
        <v>0.00705</v>
      </c>
      <c r="AP62" s="118" t="n">
        <v>0.0006199</v>
      </c>
      <c r="AQ62" s="116" t="n">
        <v>1.365</v>
      </c>
      <c r="AR62" s="118" t="n">
        <f aca="false">IF(AO62="","",LN(2)/AO62)</f>
        <v>98.3187490155951</v>
      </c>
      <c r="AS62" s="118" t="n">
        <f aca="false">IF(AR62="","",(LN(10)/LN(2))*AR62)</f>
        <v>326.607814609085</v>
      </c>
      <c r="AT62" s="121" t="n">
        <f aca="false">1.222-0.05664*O62+0.001227*O62^2-0.000003136*O62^3</f>
        <v>5.172163</v>
      </c>
    </row>
    <row r="63" customFormat="false" ht="13.2" hidden="false" customHeight="false" outlineLevel="0" collapsed="false">
      <c r="A63" s="109" t="str">
        <f aca="false">IF($A45="","",$A45)</f>
        <v/>
      </c>
      <c r="B63" s="110" t="str">
        <f aca="false">IF(OR($B26=0,$F26=""),"",(1/($B$20*$D$20))*LN((((L26/$E$20)^-$D$20)+($C$20/$B$20))/(1+($C$20/$B$20))))</f>
        <v/>
      </c>
      <c r="C63" s="111" t="str">
        <f aca="false">IF(OR($B26=0,$F26=""),"",(1/($B$21*$D$21))*LN(((($L26/$E$21)^-$D$21)+($C$21/$B$21))/(1+($C$21/$B$21))))</f>
        <v/>
      </c>
      <c r="D63" s="86" t="str">
        <f aca="false">IF(OR($B26=0,$F26=""),"",(1/($B$22*$D$22))*LN(((($L26/$E$22)^-$D$22)+($C$22/$B$22))/(1+($C$22/$B$22))))</f>
        <v/>
      </c>
      <c r="E63" s="110" t="str">
        <f aca="false">IF($C26="","",IF((1/($B$20*$D$20))*LN(((($M26/$E$20)^-$D$20)+($C$20/$B$20))/(1+($C$20/$B$20)))&lt;0,0,(1/($B$20*$D$20))*LN(((($M26/$E$20)^-$D$20)+($C$20/$B$20))/(1+($C$20/$B$20)))))</f>
        <v/>
      </c>
      <c r="F63" s="111" t="str">
        <f aca="false">IF($C26="","",IF((1/($B$21*$D$21))*LN(((($M26/$E$21)^-$D$21)+($C$21/$B$21))/(1+($C$21/$B$21)))&lt;0,0,(1/($B$21*$D$21))*LN(((($M26/$E$21)^-$D$21)+($C$21/$B$21))/(1+($C$21/$B$21)))))</f>
        <v/>
      </c>
      <c r="G63" s="112" t="str">
        <f aca="false">IF($C26="","",IF((1/($B$22*$D$22))*LN(((($M26/$E$22)^-$D$22)+($C$22/$B$22))/(1+($C$22/$B$22)))&lt;0,0,(1/($B$22*$D$22))*LN(((($M26/$E$22)^-$D$22)+($C$22/$B$22))/(1+($C$22/$B$22)))))</f>
        <v/>
      </c>
      <c r="H63" s="113" t="str">
        <f aca="false">IF($N26="","",IF(-LN($N26)*$F$20/LN(2)&lt;0,0,-LN($N26)*$F$20/LN(2)))</f>
        <v/>
      </c>
      <c r="I63" s="113" t="str">
        <f aca="false">IF($N26="","",IF(-LN($N26)*$F$21/LN(2)&lt;0,0,-LN($N26)*$F$21/LN(2)))</f>
        <v/>
      </c>
      <c r="J63" s="113" t="str">
        <f aca="false">IF($N26="","",IF(-LN($N26)*$F$22/LN(2)&lt;0,0,-LN($N26)*$F$22/LN(2)))</f>
        <v/>
      </c>
      <c r="K63" s="110" t="str">
        <f aca="false">IF($E63="","",IF(AND($E63=0,$H63=0),0,IF(OR($E63=0,$H63=0),MAX($E63,$H63),IF(ABS($E63-$H63)&gt;$G$20,MAX($E63,$H63),(MAX($E63,$H63)+$F$20)))))</f>
        <v/>
      </c>
      <c r="L63" s="111" t="str">
        <f aca="false">IF($F63="","",IF(AND($F63=0,$I63=0),0,IF(OR($F63=0,$I63=0),MAX($F63,$I63),IF(ABS($F63-$I63)&gt;$G$21,MAX($F63,$I63),(MAX($F63,$I63)+$F$21)))))</f>
        <v/>
      </c>
      <c r="M63" s="111" t="str">
        <f aca="false">IF($G63="","",IF(AND($G63=0,$J63=0),0,IF(OR($G63=0,$J63=0),MAX($G63,$J63),IF(ABS($G63-$J63)&gt;$G$22,MAX($G63,$J63),(MAX($G63,$J63)+$F$22)))))</f>
        <v/>
      </c>
      <c r="O63" s="49" t="n">
        <v>110</v>
      </c>
      <c r="P63" s="116" t="n">
        <v>2.296</v>
      </c>
      <c r="Q63" s="117" t="n">
        <v>11.7</v>
      </c>
      <c r="R63" s="116" t="n">
        <v>0.6827</v>
      </c>
      <c r="S63" s="118" t="n">
        <f aca="false">IF(P63="","",LN(2)/P63)</f>
        <v>0.301893371324018</v>
      </c>
      <c r="T63" s="118" t="n">
        <f aca="false">IF(S63="","",(LN(10)/LN(2))*S63)</f>
        <v>1.00286807186152</v>
      </c>
      <c r="U63" s="116" t="n">
        <v>0.03715</v>
      </c>
      <c r="V63" s="116" t="n">
        <v>0.07436</v>
      </c>
      <c r="W63" s="116" t="n">
        <v>0.4752</v>
      </c>
      <c r="X63" s="118" t="n">
        <f aca="false">IF(U63="","",LN(2)/U63)</f>
        <v>18.6580667714656</v>
      </c>
      <c r="Y63" s="118" t="n">
        <f aca="false">IF(X63="","",(LN(10)/LN(2))*X63)</f>
        <v>61.9807562044158</v>
      </c>
      <c r="Z63" s="116" t="n">
        <v>0.01336</v>
      </c>
      <c r="AA63" s="116" t="n">
        <v>0.03521</v>
      </c>
      <c r="AB63" s="116" t="n">
        <v>0.9244</v>
      </c>
      <c r="AC63" s="118" t="n">
        <f aca="false">IF(Z63="","",LN(2)/Z63)</f>
        <v>51.8822739940079</v>
      </c>
      <c r="AD63" s="118" t="n">
        <f aca="false">IF(AC63="","",(LN(10)/LN(2))*AC63)</f>
        <v>172.349183607339</v>
      </c>
      <c r="AE63" s="119" t="n">
        <v>0.2849</v>
      </c>
      <c r="AF63" s="116" t="n">
        <v>2.061</v>
      </c>
      <c r="AG63" s="116" t="n">
        <v>0.7897</v>
      </c>
      <c r="AH63" s="118" t="n">
        <f aca="false">IF(AE63="","",LN(2)/AE63)</f>
        <v>2.43294903671444</v>
      </c>
      <c r="AI63" s="118" t="n">
        <f aca="false">IF(AH63="","",(LN(10)/LN(2))*AH63)</f>
        <v>8.08208175849086</v>
      </c>
      <c r="AJ63" s="116" t="n">
        <v>0.04008</v>
      </c>
      <c r="AK63" s="116" t="n">
        <v>0.08047</v>
      </c>
      <c r="AL63" s="116" t="n">
        <v>1.03</v>
      </c>
      <c r="AM63" s="118" t="n">
        <f aca="false">IF(AJ63="","",LN(2)/AJ63)</f>
        <v>17.294091331336</v>
      </c>
      <c r="AN63" s="118" t="n">
        <f aca="false">IF(AM63="","",(LN(10)/LN(2))*AM63)</f>
        <v>57.4497278691129</v>
      </c>
      <c r="AO63" s="120" t="n">
        <v>0.006921</v>
      </c>
      <c r="AP63" s="118" t="n">
        <v>0.0001976</v>
      </c>
      <c r="AQ63" s="116" t="n">
        <v>3.309</v>
      </c>
      <c r="AR63" s="118" t="n">
        <f aca="false">IF(AO63="","",LN(2)/AO63)</f>
        <v>100.151304805656</v>
      </c>
      <c r="AS63" s="118" t="n">
        <f aca="false">IF(AR63="","",(LN(10)/LN(2))*AR63)</f>
        <v>332.695433173536</v>
      </c>
      <c r="AT63" s="121" t="n">
        <f aca="false">1.222-0.05664*O63+0.001227*O63^2-0.000003136*O63^3</f>
        <v>5.664284</v>
      </c>
    </row>
    <row r="64" customFormat="false" ht="13.2" hidden="false" customHeight="false" outlineLevel="0" collapsed="false">
      <c r="A64" s="109" t="str">
        <f aca="false">IF($A46="","",$A46)</f>
        <v/>
      </c>
      <c r="B64" s="110" t="str">
        <f aca="false">IF(OR($B27=0,$F27=""),"",(1/($B$20*$D$20))*LN((((L27/$E$20)^-$D$20)+($C$20/$B$20))/(1+($C$20/$B$20))))</f>
        <v/>
      </c>
      <c r="C64" s="111" t="str">
        <f aca="false">IF(OR($B27=0,$F27=""),"",(1/($B$21*$D$21))*LN(((($L27/$E$21)^-$D$21)+($C$21/$B$21))/(1+($C$21/$B$21))))</f>
        <v/>
      </c>
      <c r="D64" s="86" t="str">
        <f aca="false">IF(OR($B27=0,$F27=""),"",(1/($B$22*$D$22))*LN(((($L27/$E$22)^-$D$22)+($C$22/$B$22))/(1+($C$22/$B$22))))</f>
        <v/>
      </c>
      <c r="E64" s="110" t="str">
        <f aca="false">IF($C27="","",IF((1/($B$20*$D$20))*LN(((($M27/$E$20)^-$D$20)+($C$20/$B$20))/(1+($C$20/$B$20)))&lt;0,0,(1/($B$20*$D$20))*LN(((($M27/$E$20)^-$D$20)+($C$20/$B$20))/(1+($C$20/$B$20)))))</f>
        <v/>
      </c>
      <c r="F64" s="111" t="str">
        <f aca="false">IF($C27="","",IF((1/($B$21*$D$21))*LN(((($M27/$E$21)^-$D$21)+($C$21/$B$21))/(1+($C$21/$B$21)))&lt;0,0,(1/($B$21*$D$21))*LN(((($M27/$E$21)^-$D$21)+($C$21/$B$21))/(1+($C$21/$B$21)))))</f>
        <v/>
      </c>
      <c r="G64" s="112" t="str">
        <f aca="false">IF($C27="","",IF((1/($B$22*$D$22))*LN(((($M27/$E$22)^-$D$22)+($C$22/$B$22))/(1+($C$22/$B$22)))&lt;0,0,(1/($B$22*$D$22))*LN(((($M27/$E$22)^-$D$22)+($C$22/$B$22))/(1+($C$22/$B$22)))))</f>
        <v/>
      </c>
      <c r="H64" s="113" t="str">
        <f aca="false">IF($N27="","",IF(-LN($N27)*$F$20/LN(2)&lt;0,0,-LN($N27)*$F$20/LN(2)))</f>
        <v/>
      </c>
      <c r="I64" s="113" t="str">
        <f aca="false">IF($N27="","",IF(-LN($N27)*$F$21/LN(2)&lt;0,0,-LN($N27)*$F$21/LN(2)))</f>
        <v/>
      </c>
      <c r="J64" s="113" t="str">
        <f aca="false">IF($N27="","",IF(-LN($N27)*$F$22/LN(2)&lt;0,0,-LN($N27)*$F$22/LN(2)))</f>
        <v/>
      </c>
      <c r="K64" s="110" t="str">
        <f aca="false">IF($E64="","",IF(AND($E64=0,$H64=0),0,IF(OR($E64=0,$H64=0),MAX($E64,$H64),IF(ABS($E64-$H64)&gt;$G$20,MAX($E64,$H64),(MAX($E64,$H64)+$F$20)))))</f>
        <v/>
      </c>
      <c r="L64" s="111" t="str">
        <f aca="false">IF($F64="","",IF(AND($F64=0,$I64=0),0,IF(OR($F64=0,$I64=0),MAX($F64,$I64),IF(ABS($F64-$I64)&gt;$G$21,MAX($F64,$I64),(MAX($F64,$I64)+$F$21)))))</f>
        <v/>
      </c>
      <c r="M64" s="111" t="str">
        <f aca="false">IF($G64="","",IF(AND($G64=0,$J64=0),0,IF(OR($G64=0,$J64=0),MAX($G64,$J64),IF(ABS($G64-$J64)&gt;$G$22,MAX($G64,$J64),(MAX($G64,$J64)+$F$22)))))</f>
        <v/>
      </c>
      <c r="O64" s="49" t="n">
        <v>115</v>
      </c>
      <c r="P64" s="116" t="n">
        <v>2.265</v>
      </c>
      <c r="Q64" s="117" t="n">
        <v>10.21</v>
      </c>
      <c r="R64" s="116" t="n">
        <v>0.6363</v>
      </c>
      <c r="S64" s="118" t="n">
        <f aca="false">IF(P64="","",LN(2)/P64)</f>
        <v>0.306025245280329</v>
      </c>
      <c r="T64" s="118" t="n">
        <f aca="false">IF(S64="","",(LN(10)/LN(2))*S64)</f>
        <v>1.01659386004152</v>
      </c>
      <c r="U64" s="116" t="n">
        <v>0.03636</v>
      </c>
      <c r="V64" s="116" t="n">
        <v>0.07201</v>
      </c>
      <c r="W64" s="116" t="n">
        <v>0.5319</v>
      </c>
      <c r="X64" s="118" t="n">
        <f aca="false">IF(U64="","",LN(2)/U64)</f>
        <v>19.0634538107796</v>
      </c>
      <c r="Y64" s="118" t="n">
        <f aca="false">IF(X64="","",(LN(10)/LN(2))*X64)</f>
        <v>63.3274227996162</v>
      </c>
      <c r="Z64" s="116" t="n">
        <v>0.01283</v>
      </c>
      <c r="AA64" s="116" t="n">
        <v>0.06271</v>
      </c>
      <c r="AB64" s="116" t="n">
        <v>0.9423</v>
      </c>
      <c r="AC64" s="118" t="n">
        <f aca="false">IF(Z64="","",LN(2)/Z64)</f>
        <v>54.0255012127783</v>
      </c>
      <c r="AD64" s="118" t="n">
        <f aca="false">IF(AC64="","",(LN(10)/LN(2))*AC64)</f>
        <v>179.468830319099</v>
      </c>
      <c r="AE64" s="119" t="n">
        <v>0.2579</v>
      </c>
      <c r="AF64" s="116" t="n">
        <v>1.922</v>
      </c>
      <c r="AG64" s="116" t="n">
        <v>0.8008</v>
      </c>
      <c r="AH64" s="118" t="n">
        <f aca="false">IF(AE64="","",LN(2)/AE64)</f>
        <v>2.68765870709556</v>
      </c>
      <c r="AI64" s="118" t="n">
        <f aca="false">IF(AH64="","",(LN(10)/LN(2))*AH64)</f>
        <v>8.92820896856939</v>
      </c>
      <c r="AJ64" s="116" t="n">
        <v>0.03878</v>
      </c>
      <c r="AK64" s="116" t="n">
        <v>0.07394</v>
      </c>
      <c r="AL64" s="116" t="n">
        <v>1.033</v>
      </c>
      <c r="AM64" s="118" t="n">
        <f aca="false">IF(AJ64="","",LN(2)/AJ64)</f>
        <v>17.8738313708083</v>
      </c>
      <c r="AN64" s="118" t="n">
        <f aca="false">IF(AM64="","",(LN(10)/LN(2))*AM64)</f>
        <v>59.3755825939671</v>
      </c>
      <c r="AO64" s="120" t="n">
        <v>0.006864</v>
      </c>
      <c r="AP64" s="118" t="n">
        <v>-0.0003908</v>
      </c>
      <c r="AQ64" s="116" t="n">
        <v>0.6469</v>
      </c>
      <c r="AR64" s="118" t="n">
        <f aca="false">IF(AO64="","",LN(2)/AO64)</f>
        <v>100.982980850808</v>
      </c>
      <c r="AS64" s="118" t="n">
        <f aca="false">IF(AR64="","",(LN(10)/LN(2))*AR64)</f>
        <v>335.458201193771</v>
      </c>
      <c r="AT64" s="121" t="n">
        <f aca="false">1.222-0.05664*O64+0.001227*O64^2-0.000003136*O64^3</f>
        <v>6.166011</v>
      </c>
    </row>
    <row r="65" customFormat="false" ht="13.2" hidden="false" customHeight="false" outlineLevel="0" collapsed="false">
      <c r="A65" s="109" t="str">
        <f aca="false">IF($A47="","",$A47)</f>
        <v/>
      </c>
      <c r="B65" s="110" t="str">
        <f aca="false">IF(OR($B28=0,$F28=""),"",(1/($B$20*$D$20))*LN((((L28/$E$20)^-$D$20)+($C$20/$B$20))/(1+($C$20/$B$20))))</f>
        <v/>
      </c>
      <c r="C65" s="111" t="str">
        <f aca="false">IF(OR($B28=0,$F28=""),"",(1/($B$21*$D$21))*LN(((($L28/$E$21)^-$D$21)+($C$21/$B$21))/(1+($C$21/$B$21))))</f>
        <v/>
      </c>
      <c r="D65" s="86" t="str">
        <f aca="false">IF(OR($B28=0,$F28=""),"",(1/($B$22*$D$22))*LN(((($L28/$E$22)^-$D$22)+($C$22/$B$22))/(1+($C$22/$B$22))))</f>
        <v/>
      </c>
      <c r="E65" s="110" t="str">
        <f aca="false">IF($C28="","",IF((1/($B$20*$D$20))*LN(((($M28/$E$20)^-$D$20)+($C$20/$B$20))/(1+($C$20/$B$20)))&lt;0,0,(1/($B$20*$D$20))*LN(((($M28/$E$20)^-$D$20)+($C$20/$B$20))/(1+($C$20/$B$20)))))</f>
        <v/>
      </c>
      <c r="F65" s="111" t="str">
        <f aca="false">IF($C28="","",IF((1/($B$21*$D$21))*LN(((($M28/$E$21)^-$D$21)+($C$21/$B$21))/(1+($C$21/$B$21)))&lt;0,0,(1/($B$21*$D$21))*LN(((($M28/$E$21)^-$D$21)+($C$21/$B$21))/(1+($C$21/$B$21)))))</f>
        <v/>
      </c>
      <c r="G65" s="112" t="str">
        <f aca="false">IF($C28="","",IF((1/($B$22*$D$22))*LN(((($M28/$E$22)^-$D$22)+($C$22/$B$22))/(1+($C$22/$B$22)))&lt;0,0,(1/($B$22*$D$22))*LN(((($M28/$E$22)^-$D$22)+($C$22/$B$22))/(1+($C$22/$B$22)))))</f>
        <v/>
      </c>
      <c r="H65" s="113" t="str">
        <f aca="false">IF($N28="","",IF(-LN($N28)*$F$20/LN(2)&lt;0,0,-LN($N28)*$F$20/LN(2)))</f>
        <v/>
      </c>
      <c r="I65" s="113" t="str">
        <f aca="false">IF($N28="","",IF(-LN($N28)*$F$21/LN(2)&lt;0,0,-LN($N28)*$F$21/LN(2)))</f>
        <v/>
      </c>
      <c r="J65" s="113" t="str">
        <f aca="false">IF($N28="","",IF(-LN($N28)*$F$22/LN(2)&lt;0,0,-LN($N28)*$F$22/LN(2)))</f>
        <v/>
      </c>
      <c r="K65" s="110" t="str">
        <f aca="false">IF($E65="","",IF(AND($E65=0,$H65=0),0,IF(OR($E65=0,$H65=0),MAX($E65,$H65),IF(ABS($E65-$H65)&gt;$G$20,MAX($E65,$H65),(MAX($E65,$H65)+$F$20)))))</f>
        <v/>
      </c>
      <c r="L65" s="111" t="str">
        <f aca="false">IF($F65="","",IF(AND($F65=0,$I65=0),0,IF(OR($F65=0,$I65=0),MAX($F65,$I65),IF(ABS($F65-$I65)&gt;$G$21,MAX($F65,$I65),(MAX($F65,$I65)+$F$21)))))</f>
        <v/>
      </c>
      <c r="M65" s="111" t="str">
        <f aca="false">IF($G65="","",IF(AND($G65=0,$J65=0),0,IF(OR($G65=0,$J65=0),MAX($G65,$J65),IF(ABS($G65-$J65)&gt;$G$22,MAX($G65,$J65),(MAX($G65,$J65)+$F$22)))))</f>
        <v/>
      </c>
      <c r="O65" s="49" t="n">
        <v>120</v>
      </c>
      <c r="P65" s="116" t="n">
        <v>2.246</v>
      </c>
      <c r="Q65" s="117" t="n">
        <v>8.95</v>
      </c>
      <c r="R65" s="116" t="n">
        <v>0.5873</v>
      </c>
      <c r="S65" s="118" t="n">
        <f aca="false">IF(P65="","",LN(2)/P65)</f>
        <v>0.3086140608014</v>
      </c>
      <c r="T65" s="118" t="n">
        <f aca="false">IF(S65="","",(LN(10)/LN(2))*S65)</f>
        <v>1.02519371905345</v>
      </c>
      <c r="U65" s="116" t="n">
        <v>0.03566</v>
      </c>
      <c r="V65" s="116" t="n">
        <v>0.07109</v>
      </c>
      <c r="W65" s="116" t="n">
        <v>0.6073</v>
      </c>
      <c r="X65" s="118" t="n">
        <f aca="false">IF(U65="","",LN(2)/U65)</f>
        <v>19.4376663084673</v>
      </c>
      <c r="Y65" s="118" t="n">
        <f aca="false">IF(X65="","",(LN(10)/LN(2))*X65)</f>
        <v>64.5705298091432</v>
      </c>
      <c r="Z65" s="116" t="n">
        <v>0.01235</v>
      </c>
      <c r="AA65" s="116" t="n">
        <v>0.03047</v>
      </c>
      <c r="AB65" s="116" t="n">
        <v>0.9566</v>
      </c>
      <c r="AC65" s="118" t="n">
        <f aca="false">IF(Z65="","",LN(2)/Z65)</f>
        <v>56.1252777781332</v>
      </c>
      <c r="AD65" s="118" t="n">
        <f aca="false">IF(AC65="","",(LN(10)/LN(2))*AC65)</f>
        <v>186.444137084538</v>
      </c>
      <c r="AE65" s="119" t="n">
        <v>0.2336</v>
      </c>
      <c r="AF65" s="116" t="n">
        <v>1.797</v>
      </c>
      <c r="AG65" s="116" t="n">
        <v>0.8116</v>
      </c>
      <c r="AH65" s="118" t="n">
        <f aca="false">IF(AE65="","",LN(2)/AE65)</f>
        <v>2.96723964280798</v>
      </c>
      <c r="AI65" s="118" t="n">
        <f aca="false">IF(AH65="","",(LN(10)/LN(2))*AH65)</f>
        <v>9.85695673370739</v>
      </c>
      <c r="AJ65" s="116" t="n">
        <v>0.03758</v>
      </c>
      <c r="AK65" s="116" t="n">
        <v>0.06808</v>
      </c>
      <c r="AL65" s="116" t="n">
        <v>1.031</v>
      </c>
      <c r="AM65" s="118" t="n">
        <f aca="false">IF(AJ65="","",LN(2)/AJ65)</f>
        <v>18.4445763853099</v>
      </c>
      <c r="AN65" s="118" t="n">
        <f aca="false">IF(AM65="","",(LN(10)/LN(2))*AM65)</f>
        <v>61.2715564926569</v>
      </c>
      <c r="AO65" s="120" t="n">
        <v>0.006726</v>
      </c>
      <c r="AP65" s="118" t="n">
        <v>-0.0008308</v>
      </c>
      <c r="AQ65" s="116" t="n">
        <v>1.006</v>
      </c>
      <c r="AR65" s="118" t="n">
        <f aca="false">IF(AO65="","",LN(2)/AO65)</f>
        <v>103.054888575668</v>
      </c>
      <c r="AS65" s="118" t="n">
        <f aca="false">IF(AR65="","",(LN(10)/LN(2))*AR65)</f>
        <v>342.340929674999</v>
      </c>
      <c r="AT65" s="121" t="n">
        <f aca="false">1.222-0.05664*O65+0.001227*O65^2-0.000003136*O65^3</f>
        <v>6.674992</v>
      </c>
    </row>
    <row r="66" customFormat="false" ht="13.2" hidden="false" customHeight="false" outlineLevel="0" collapsed="false">
      <c r="A66" s="109" t="str">
        <f aca="false">IF($A48="","",$A48)</f>
        <v/>
      </c>
      <c r="B66" s="110" t="str">
        <f aca="false">IF(OR($B29=0,$F29=""),"",(1/($B$20*$D$20))*LN((((L29/$E$20)^-$D$20)+($C$20/$B$20))/(1+($C$20/$B$20))))</f>
        <v/>
      </c>
      <c r="C66" s="111" t="str">
        <f aca="false">IF(OR($B29=0,$F29=""),"",(1/($B$21*$D$21))*LN(((($L29/$E$21)^-$D$21)+($C$21/$B$21))/(1+($C$21/$B$21))))</f>
        <v/>
      </c>
      <c r="D66" s="86" t="str">
        <f aca="false">IF(OR($B29=0,$F29=""),"",(1/($B$22*$D$22))*LN(((($L29/$E$22)^-$D$22)+($C$22/$B$22))/(1+($C$22/$B$22))))</f>
        <v/>
      </c>
      <c r="E66" s="110" t="str">
        <f aca="false">IF($C29="","",IF((1/($B$20*$D$20))*LN(((($M29/$E$20)^-$D$20)+($C$20/$B$20))/(1+($C$20/$B$20)))&lt;0,0,(1/($B$20*$D$20))*LN(((($M29/$E$20)^-$D$20)+($C$20/$B$20))/(1+($C$20/$B$20)))))</f>
        <v/>
      </c>
      <c r="F66" s="111" t="str">
        <f aca="false">IF($C29="","",IF((1/($B$21*$D$21))*LN(((($M29/$E$21)^-$D$21)+($C$21/$B$21))/(1+($C$21/$B$21)))&lt;0,0,(1/($B$21*$D$21))*LN(((($M29/$E$21)^-$D$21)+($C$21/$B$21))/(1+($C$21/$B$21)))))</f>
        <v/>
      </c>
      <c r="G66" s="112" t="str">
        <f aca="false">IF($C29="","",IF((1/($B$22*$D$22))*LN(((($M29/$E$22)^-$D$22)+($C$22/$B$22))/(1+($C$22/$B$22)))&lt;0,0,(1/($B$22*$D$22))*LN(((($M29/$E$22)^-$D$22)+($C$22/$B$22))/(1+($C$22/$B$22)))))</f>
        <v/>
      </c>
      <c r="H66" s="113" t="str">
        <f aca="false">IF($N29="","",IF(-LN($N29)*$F$20/LN(2)&lt;0,0,-LN($N29)*$F$20/LN(2)))</f>
        <v/>
      </c>
      <c r="I66" s="113" t="str">
        <f aca="false">IF($N29="","",IF(-LN($N29)*$F$21/LN(2)&lt;0,0,-LN($N29)*$F$21/LN(2)))</f>
        <v/>
      </c>
      <c r="J66" s="113" t="str">
        <f aca="false">IF($N29="","",IF(-LN($N29)*$F$22/LN(2)&lt;0,0,-LN($N29)*$F$22/LN(2)))</f>
        <v/>
      </c>
      <c r="K66" s="110" t="str">
        <f aca="false">IF($E66="","",IF(AND($E66=0,$H66=0),0,IF(OR($E66=0,$H66=0),MAX($E66,$H66),IF(ABS($E66-$H66)&gt;$G$20,MAX($E66,$H66),(MAX($E66,$H66)+$F$20)))))</f>
        <v/>
      </c>
      <c r="L66" s="111" t="str">
        <f aca="false">IF($F66="","",IF(AND($F66=0,$I66=0),0,IF(OR($F66=0,$I66=0),MAX($F66,$I66),IF(ABS($F66-$I66)&gt;$G$21,MAX($F66,$I66),(MAX($F66,$I66)+$F$21)))))</f>
        <v/>
      </c>
      <c r="M66" s="111" t="str">
        <f aca="false">IF($G66="","",IF(AND($G66=0,$J66=0),0,IF(OR($G66=0,$J66=0),MAX($G66,$J66),IF(ABS($G66-$J66)&gt;$G$22,MAX($G66,$J66),(MAX($G66,$J66)+$F$22)))))</f>
        <v/>
      </c>
      <c r="O66" s="49" t="n">
        <v>125</v>
      </c>
      <c r="P66" s="116" t="n">
        <v>2.219</v>
      </c>
      <c r="Q66" s="117" t="n">
        <v>7.923</v>
      </c>
      <c r="R66" s="116" t="n">
        <v>0.5386</v>
      </c>
      <c r="S66" s="118" t="n">
        <f aca="false">IF(P66="","",LN(2)/P66)</f>
        <v>0.312369166543463</v>
      </c>
      <c r="T66" s="118" t="n">
        <f aca="false">IF(S66="","",(LN(10)/LN(2))*S66)</f>
        <v>1.03766791031728</v>
      </c>
      <c r="U66" s="116" t="n">
        <v>0.03502</v>
      </c>
      <c r="V66" s="116" t="n">
        <v>0.07113</v>
      </c>
      <c r="W66" s="116" t="n">
        <v>0.6974</v>
      </c>
      <c r="X66" s="118" t="n">
        <f aca="false">IF(U66="","",LN(2)/U66)</f>
        <v>19.7928949331795</v>
      </c>
      <c r="Y66" s="118" t="n">
        <f aca="false">IF(X66="","",(LN(10)/LN(2))*X66)</f>
        <v>65.7505737576826</v>
      </c>
      <c r="Z66" s="116" t="n">
        <v>0.01192</v>
      </c>
      <c r="AA66" s="116" t="n">
        <v>0.02863</v>
      </c>
      <c r="AB66" s="116" t="n">
        <v>0.9684</v>
      </c>
      <c r="AC66" s="118" t="n">
        <f aca="false">IF(Z66="","",LN(2)/Z66)</f>
        <v>58.149931255029</v>
      </c>
      <c r="AD66" s="118" t="n">
        <f aca="false">IF(AC66="","",(LN(10)/LN(2))*AC66)</f>
        <v>193.169890351849</v>
      </c>
      <c r="AE66" s="119" t="n">
        <v>0.213</v>
      </c>
      <c r="AF66" s="116" t="n">
        <v>1.677</v>
      </c>
      <c r="AG66" s="116" t="n">
        <v>0.8217</v>
      </c>
      <c r="AH66" s="118" t="n">
        <f aca="false">IF(AE66="","",LN(2)/AE66)</f>
        <v>3.25421211530491</v>
      </c>
      <c r="AI66" s="118" t="n">
        <f aca="false">IF(AH66="","",(LN(10)/LN(2))*AH66)</f>
        <v>10.8102586525542</v>
      </c>
      <c r="AJ66" s="116" t="n">
        <v>0.03652</v>
      </c>
      <c r="AK66" s="116" t="n">
        <v>0.06304</v>
      </c>
      <c r="AL66" s="116" t="n">
        <v>1.031</v>
      </c>
      <c r="AM66" s="118" t="n">
        <f aca="false">IF(AJ66="","",LN(2)/AJ66)</f>
        <v>18.9799337502723</v>
      </c>
      <c r="AN66" s="118" t="n">
        <f aca="false">IF(AM66="","",(LN(10)/LN(2))*AM66)</f>
        <v>63.0499751641305</v>
      </c>
      <c r="AO66" s="120" t="n">
        <v>0.006584</v>
      </c>
      <c r="AP66" s="118" t="n">
        <v>-0.001214</v>
      </c>
      <c r="AQ66" s="116" t="n">
        <v>1.192</v>
      </c>
      <c r="AR66" s="118" t="n">
        <f aca="false">IF(AO66="","",LN(2)/AO66)</f>
        <v>105.277518311049</v>
      </c>
      <c r="AS66" s="118" t="n">
        <f aca="false">IF(AR66="","",(LN(10)/LN(2))*AR66)</f>
        <v>349.724345837492</v>
      </c>
      <c r="AT66" s="121" t="n">
        <f aca="false">1.222-0.05664*O66+0.001227*O66^2-0.000003136*O66^3</f>
        <v>7.188875</v>
      </c>
    </row>
    <row r="67" customFormat="false" ht="13.2" hidden="false" customHeight="false" outlineLevel="0" collapsed="false">
      <c r="A67" s="109" t="str">
        <f aca="false">IF($A49="","",$A49)</f>
        <v/>
      </c>
      <c r="B67" s="110" t="str">
        <f aca="false">IF(OR($B30=0,$F30=""),"",(1/($B$20*$D$20))*LN((((L30/$E$20)^-$D$20)+($C$20/$B$20))/(1+($C$20/$B$20))))</f>
        <v/>
      </c>
      <c r="C67" s="111" t="str">
        <f aca="false">IF(OR($B30=0,$F30=""),"",(1/($B$21*$D$21))*LN(((($L30/$E$21)^-$D$21)+($C$21/$B$21))/(1+($C$21/$B$21))))</f>
        <v/>
      </c>
      <c r="D67" s="86" t="str">
        <f aca="false">IF(OR($B30=0,$F30=""),"",(1/($B$22*$D$22))*LN(((($L30/$E$22)^-$D$22)+($C$22/$B$22))/(1+($C$22/$B$22))))</f>
        <v/>
      </c>
      <c r="E67" s="110" t="str">
        <f aca="false">IF($C30="","",IF((1/($B$20*$D$20))*LN(((($M30/$E$20)^-$D$20)+($C$20/$B$20))/(1+($C$20/$B$20)))&lt;0,0,(1/($B$20*$D$20))*LN(((($M30/$E$20)^-$D$20)+($C$20/$B$20))/(1+($C$20/$B$20)))))</f>
        <v/>
      </c>
      <c r="F67" s="111" t="str">
        <f aca="false">IF($C30="","",IF((1/($B$21*$D$21))*LN(((($M30/$E$21)^-$D$21)+($C$21/$B$21))/(1+($C$21/$B$21)))&lt;0,0,(1/($B$21*$D$21))*LN(((($M30/$E$21)^-$D$21)+($C$21/$B$21))/(1+($C$21/$B$21)))))</f>
        <v/>
      </c>
      <c r="G67" s="112" t="str">
        <f aca="false">IF($C30="","",IF((1/($B$22*$D$22))*LN(((($M30/$E$22)^-$D$22)+($C$22/$B$22))/(1+($C$22/$B$22)))&lt;0,0,(1/($B$22*$D$22))*LN(((($M30/$E$22)^-$D$22)+($C$22/$B$22))/(1+($C$22/$B$22)))))</f>
        <v/>
      </c>
      <c r="H67" s="113" t="str">
        <f aca="false">IF($N30="","",IF(-LN($N30)*$F$20/LN(2)&lt;0,0,-LN($N30)*$F$20/LN(2)))</f>
        <v/>
      </c>
      <c r="I67" s="113" t="str">
        <f aca="false">IF($N30="","",IF(-LN($N30)*$F$21/LN(2)&lt;0,0,-LN($N30)*$F$21/LN(2)))</f>
        <v/>
      </c>
      <c r="J67" s="113" t="str">
        <f aca="false">IF($N30="","",IF(-LN($N30)*$F$22/LN(2)&lt;0,0,-LN($N30)*$F$22/LN(2)))</f>
        <v/>
      </c>
      <c r="K67" s="110" t="str">
        <f aca="false">IF($E67="","",IF(AND($E67=0,$H67=0),0,IF(OR($E67=0,$H67=0),MAX($E67,$H67),IF(ABS($E67-$H67)&gt;$G$20,MAX($E67,$H67),(MAX($E67,$H67)+$F$20)))))</f>
        <v/>
      </c>
      <c r="L67" s="111" t="str">
        <f aca="false">IF($F67="","",IF(AND($F67=0,$I67=0),0,IF(OR($F67=0,$I67=0),MAX($F67,$I67),IF(ABS($F67-$I67)&gt;$G$21,MAX($F67,$I67),(MAX($F67,$I67)+$F$21)))))</f>
        <v/>
      </c>
      <c r="M67" s="111" t="str">
        <f aca="false">IF($G67="","",IF(AND($G67=0,$J67=0),0,IF(OR($G67=0,$J67=0),MAX($G67,$J67),IF(ABS($G67-$J67)&gt;$G$22,MAX($G67,$J67),(MAX($G67,$J67)+$F$22)))))</f>
        <v/>
      </c>
      <c r="O67" s="49" t="n">
        <v>130</v>
      </c>
      <c r="P67" s="116" t="n">
        <v>2.17</v>
      </c>
      <c r="Q67" s="117" t="n">
        <v>7.094</v>
      </c>
      <c r="R67" s="116" t="n">
        <v>0.4909</v>
      </c>
      <c r="S67" s="118" t="n">
        <f aca="false">IF(P67="","",LN(2)/P67)</f>
        <v>0.319422663852509</v>
      </c>
      <c r="T67" s="118" t="n">
        <f aca="false">IF(S67="","",(LN(10)/LN(2))*S67)</f>
        <v>1.06109912119541</v>
      </c>
      <c r="U67" s="116" t="n">
        <v>0.03445</v>
      </c>
      <c r="V67" s="116" t="n">
        <v>0.0716</v>
      </c>
      <c r="W67" s="116" t="n">
        <v>0.7969</v>
      </c>
      <c r="X67" s="118" t="n">
        <f aca="false">IF(U67="","",LN(2)/U67)</f>
        <v>20.1203825997081</v>
      </c>
      <c r="Y67" s="118" t="n">
        <f aca="false">IF(X67="","",(LN(10)/LN(2))*X67)</f>
        <v>66.8384642378533</v>
      </c>
      <c r="Z67" s="116" t="n">
        <v>0.01155</v>
      </c>
      <c r="AA67" s="116" t="n">
        <v>0.02702</v>
      </c>
      <c r="AB67" s="116" t="n">
        <v>0.9802</v>
      </c>
      <c r="AC67" s="118" t="n">
        <f aca="false">IF(Z67="","",LN(2)/Z67)</f>
        <v>60.012742905623</v>
      </c>
      <c r="AD67" s="118" t="n">
        <f aca="false">IF(AC67="","",(LN(10)/LN(2))*AC67)</f>
        <v>199.358016709441</v>
      </c>
      <c r="AE67" s="119" t="n">
        <v>0.1969</v>
      </c>
      <c r="AF67" s="116" t="n">
        <v>1.557</v>
      </c>
      <c r="AG67" s="116" t="n">
        <v>0.8309</v>
      </c>
      <c r="AH67" s="118" t="n">
        <f aca="false">IF(AE67="","",LN(2)/AE67)</f>
        <v>3.52030056150302</v>
      </c>
      <c r="AI67" s="118" t="n">
        <f aca="false">IF(AH67="","",(LN(10)/LN(2))*AH67)</f>
        <v>11.6941853377047</v>
      </c>
      <c r="AJ67" s="116" t="n">
        <v>0.03561</v>
      </c>
      <c r="AK67" s="116" t="n">
        <v>0.05874</v>
      </c>
      <c r="AL67" s="116" t="n">
        <v>1.037</v>
      </c>
      <c r="AM67" s="118" t="n">
        <f aca="false">IF(AJ67="","",LN(2)/AJ67)</f>
        <v>19.4649587351852</v>
      </c>
      <c r="AN67" s="118" t="n">
        <f aca="false">IF(AM67="","",(LN(10)/LN(2))*AM67)</f>
        <v>64.6611932882349</v>
      </c>
      <c r="AO67" s="120" t="n">
        <v>0.006472</v>
      </c>
      <c r="AP67" s="118" t="n">
        <v>-0.001539</v>
      </c>
      <c r="AQ67" s="116" t="n">
        <v>1.285</v>
      </c>
      <c r="AR67" s="118" t="n">
        <f aca="false">IF(AO67="","",LN(2)/AO67)</f>
        <v>107.099378949312</v>
      </c>
      <c r="AS67" s="118" t="n">
        <f aca="false">IF(AR67="","",(LN(10)/LN(2))*AR67)</f>
        <v>355.776435876707</v>
      </c>
      <c r="AT67" s="121" t="n">
        <f aca="false">1.222-0.05664*O67+0.001227*O67^2-0.000003136*O67^3</f>
        <v>7.705308</v>
      </c>
    </row>
    <row r="68" customFormat="false" ht="13.2" hidden="false" customHeight="false" outlineLevel="0" collapsed="false">
      <c r="A68" s="109" t="str">
        <f aca="false">IF($A50="","",$A50)</f>
        <v/>
      </c>
      <c r="B68" s="110" t="str">
        <f aca="false">IF(OR($B31=0,$F31=""),"",(1/($B$20*$D$20))*LN((((L31/$E$20)^-$D$20)+($C$20/$B$20))/(1+($C$20/$B$20))))</f>
        <v/>
      </c>
      <c r="C68" s="111" t="str">
        <f aca="false">IF(OR($B31=0,$F31=""),"",(1/($B$21*$D$21))*LN(((($L31/$E$21)^-$D$21)+($C$21/$B$21))/(1+($C$21/$B$21))))</f>
        <v/>
      </c>
      <c r="D68" s="86" t="str">
        <f aca="false">IF(OR($B31=0,$F31=""),"",(1/($B$22*$D$22))*LN(((($L31/$E$22)^-$D$22)+($C$22/$B$22))/(1+($C$22/$B$22))))</f>
        <v/>
      </c>
      <c r="E68" s="110" t="str">
        <f aca="false">IF($C31="","",IF((1/($B$20*$D$20))*LN(((($M31/$E$20)^-$D$20)+($C$20/$B$20))/(1+($C$20/$B$20)))&lt;0,0,(1/($B$20*$D$20))*LN(((($M31/$E$20)^-$D$20)+($C$20/$B$20))/(1+($C$20/$B$20)))))</f>
        <v/>
      </c>
      <c r="F68" s="111" t="str">
        <f aca="false">IF($C31="","",IF((1/($B$21*$D$21))*LN(((($M31/$E$21)^-$D$21)+($C$21/$B$21))/(1+($C$21/$B$21)))&lt;0,0,(1/($B$21*$D$21))*LN(((($M31/$E$21)^-$D$21)+($C$21/$B$21))/(1+($C$21/$B$21)))))</f>
        <v/>
      </c>
      <c r="G68" s="112" t="str">
        <f aca="false">IF($C31="","",IF((1/($B$22*$D$22))*LN(((($M31/$E$22)^-$D$22)+($C$22/$B$22))/(1+($C$22/$B$22)))&lt;0,0,(1/($B$22*$D$22))*LN(((($M31/$E$22)^-$D$22)+($C$22/$B$22))/(1+($C$22/$B$22)))))</f>
        <v/>
      </c>
      <c r="H68" s="113" t="str">
        <f aca="false">IF($N31="","",IF(-LN($N31)*$F$20/LN(2)&lt;0,0,-LN($N31)*$F$20/LN(2)))</f>
        <v/>
      </c>
      <c r="I68" s="113" t="str">
        <f aca="false">IF($N31="","",IF(-LN($N31)*$F$21/LN(2)&lt;0,0,-LN($N31)*$F$21/LN(2)))</f>
        <v/>
      </c>
      <c r="J68" s="113" t="str">
        <f aca="false">IF($N31="","",IF(-LN($N31)*$F$22/LN(2)&lt;0,0,-LN($N31)*$F$22/LN(2)))</f>
        <v/>
      </c>
      <c r="K68" s="110" t="str">
        <f aca="false">IF($E68="","",IF(AND($E68=0,$H68=0),0,IF(OR($E68=0,$H68=0),MAX($E68,$H68),IF(ABS($E68-$H68)&gt;$G$20,MAX($E68,$H68),(MAX($E68,$H68)+$F$20)))))</f>
        <v/>
      </c>
      <c r="L68" s="111" t="str">
        <f aca="false">IF($F68="","",IF(AND($F68=0,$I68=0),0,IF(OR($F68=0,$I68=0),MAX($F68,$I68),IF(ABS($F68-$I68)&gt;$G$21,MAX($F68,$I68),(MAX($F68,$I68)+$F$21)))))</f>
        <v/>
      </c>
      <c r="M68" s="111" t="str">
        <f aca="false">IF($G68="","",IF(AND($G68=0,$J68=0),0,IF(OR($G68=0,$J68=0),MAX($G68,$J68),IF(ABS($G68-$J68)&gt;$G$22,MAX($G68,$J68),(MAX($G68,$J68)+$F$22)))))</f>
        <v/>
      </c>
      <c r="O68" s="49" t="n">
        <v>135</v>
      </c>
      <c r="P68" s="116" t="n">
        <v>2.102</v>
      </c>
      <c r="Q68" s="117" t="n">
        <v>6.45</v>
      </c>
      <c r="R68" s="116" t="n">
        <v>0.4469</v>
      </c>
      <c r="S68" s="118" t="n">
        <f aca="false">IF(P68="","",LN(2)/P68)</f>
        <v>0.32975603261653</v>
      </c>
      <c r="T68" s="118" t="n">
        <f aca="false">IF(S68="","",(LN(10)/LN(2))*S68)</f>
        <v>1.09542582920744</v>
      </c>
      <c r="U68" s="116" t="n">
        <v>0.03394</v>
      </c>
      <c r="V68" s="116" t="n">
        <v>0.07263</v>
      </c>
      <c r="W68" s="116" t="n">
        <v>0.9099</v>
      </c>
      <c r="X68" s="118" t="n">
        <f aca="false">IF(U68="","",LN(2)/U68)</f>
        <v>20.4227218786077</v>
      </c>
      <c r="Y68" s="118" t="n">
        <f aca="false">IF(X68="","",(LN(10)/LN(2))*X68)</f>
        <v>67.8428135826177</v>
      </c>
      <c r="Z68" s="116" t="n">
        <v>0.01122</v>
      </c>
      <c r="AA68" s="116" t="n">
        <v>0.02561</v>
      </c>
      <c r="AB68" s="116" t="n">
        <v>0.9901</v>
      </c>
      <c r="AC68" s="118" t="n">
        <f aca="false">IF(Z68="","",LN(2)/Z68)</f>
        <v>61.7778235793178</v>
      </c>
      <c r="AD68" s="118" t="n">
        <f aca="false">IF(AC68="","",(LN(10)/LN(2))*AC68)</f>
        <v>205.221487789131</v>
      </c>
      <c r="AE68" s="119" t="n">
        <v>0.1838</v>
      </c>
      <c r="AF68" s="116" t="n">
        <v>1.44</v>
      </c>
      <c r="AG68" s="116" t="n">
        <v>0.8391</v>
      </c>
      <c r="AH68" s="118" t="n">
        <f aca="false">IF(AE68="","",LN(2)/AE68)</f>
        <v>3.77120337627827</v>
      </c>
      <c r="AI68" s="118" t="n">
        <f aca="false">IF(AH68="","",(LN(10)/LN(2))*AH68)</f>
        <v>12.5276664471929</v>
      </c>
      <c r="AJ68" s="116" t="n">
        <v>0.03481</v>
      </c>
      <c r="AK68" s="116" t="n">
        <v>0.05519</v>
      </c>
      <c r="AL68" s="116" t="n">
        <v>1.049</v>
      </c>
      <c r="AM68" s="118" t="n">
        <f aca="false">IF(AJ68="","",LN(2)/AJ68)</f>
        <v>19.9123005044512</v>
      </c>
      <c r="AN68" s="118" t="n">
        <f aca="false">IF(AM68="","",(LN(10)/LN(2))*AM68)</f>
        <v>66.1472304795762</v>
      </c>
      <c r="AO68" s="120" t="n">
        <v>0.006306</v>
      </c>
      <c r="AP68" s="118" t="n">
        <v>-0.001731</v>
      </c>
      <c r="AQ68" s="116" t="n">
        <v>1.465</v>
      </c>
      <c r="AR68" s="118" t="n">
        <f aca="false">IF(AO68="","",LN(2)/AO68)</f>
        <v>109.918677538843</v>
      </c>
      <c r="AS68" s="118" t="n">
        <f aca="false">IF(AR68="","",(LN(10)/LN(2))*AR68)</f>
        <v>365.141943069148</v>
      </c>
      <c r="AT68" s="121" t="n">
        <f aca="false">1.222-0.05664*O68+0.001227*O68^2-0.000003136*O68^3</f>
        <v>8.221939</v>
      </c>
    </row>
    <row r="69" customFormat="false" ht="13.2" hidden="false" customHeight="false" outlineLevel="0" collapsed="false">
      <c r="A69" s="109" t="str">
        <f aca="false">IF($A51="","",$A51)</f>
        <v/>
      </c>
      <c r="B69" s="110" t="str">
        <f aca="false">IF(OR($B32=0,$F32=""),"",(1/($B$20*$D$20))*LN((((L32/$E$20)^-$D$20)+($C$20/$B$20))/(1+($C$20/$B$20))))</f>
        <v/>
      </c>
      <c r="C69" s="111" t="str">
        <f aca="false">IF(OR($B32=0,$F32=""),"",(1/($B$21*$D$21))*LN(((($L32/$E$21)^-$D$21)+($C$21/$B$21))/(1+($C$21/$B$21))))</f>
        <v/>
      </c>
      <c r="D69" s="86" t="str">
        <f aca="false">IF(OR($B32=0,$F32=""),"",(1/($B$22*$D$22))*LN(((($L32/$E$22)^-$D$22)+($C$22/$B$22))/(1+($C$22/$B$22))))</f>
        <v/>
      </c>
      <c r="E69" s="110" t="str">
        <f aca="false">IF($C32="","",IF((1/($B$20*$D$20))*LN(((($M32/$E$20)^-$D$20)+($C$20/$B$20))/(1+($C$20/$B$20)))&lt;0,0,(1/($B$20*$D$20))*LN(((($M32/$E$20)^-$D$20)+($C$20/$B$20))/(1+($C$20/$B$20)))))</f>
        <v/>
      </c>
      <c r="F69" s="111" t="str">
        <f aca="false">IF($C32="","",IF((1/($B$21*$D$21))*LN(((($M32/$E$21)^-$D$21)+($C$21/$B$21))/(1+($C$21/$B$21)))&lt;0,0,(1/($B$21*$D$21))*LN(((($M32/$E$21)^-$D$21)+($C$21/$B$21))/(1+($C$21/$B$21)))))</f>
        <v/>
      </c>
      <c r="G69" s="112" t="str">
        <f aca="false">IF($C32="","",IF((1/($B$22*$D$22))*LN(((($M32/$E$22)^-$D$22)+($C$22/$B$22))/(1+($C$22/$B$22)))&lt;0,0,(1/($B$22*$D$22))*LN(((($M32/$E$22)^-$D$22)+($C$22/$B$22))/(1+($C$22/$B$22)))))</f>
        <v/>
      </c>
      <c r="H69" s="113" t="str">
        <f aca="false">IF($N32="","",IF(-LN($N32)*$F$20/LN(2)&lt;0,0,-LN($N32)*$F$20/LN(2)))</f>
        <v/>
      </c>
      <c r="I69" s="113" t="str">
        <f aca="false">IF($N32="","",IF(-LN($N32)*$F$21/LN(2)&lt;0,0,-LN($N32)*$F$21/LN(2)))</f>
        <v/>
      </c>
      <c r="J69" s="113" t="str">
        <f aca="false">IF($N32="","",IF(-LN($N32)*$F$22/LN(2)&lt;0,0,-LN($N32)*$F$22/LN(2)))</f>
        <v/>
      </c>
      <c r="K69" s="110" t="str">
        <f aca="false">IF($E69="","",IF(AND($E69=0,$H69=0),0,IF(OR($E69=0,$H69=0),MAX($E69,$H69),IF(ABS($E69-$H69)&gt;$G$20,MAX($E69,$H69),(MAX($E69,$H69)+$F$20)))))</f>
        <v/>
      </c>
      <c r="L69" s="111" t="str">
        <f aca="false">IF($F69="","",IF(AND($F69=0,$I69=0),0,IF(OR($F69=0,$I69=0),MAX($F69,$I69),IF(ABS($F69-$I69)&gt;$G$21,MAX($F69,$I69),(MAX($F69,$I69)+$F$21)))))</f>
        <v/>
      </c>
      <c r="M69" s="111" t="str">
        <f aca="false">IF($G69="","",IF(AND($G69=0,$J69=0),0,IF(OR($G69=0,$J69=0),MAX($G69,$J69),IF(ABS($G69-$J69)&gt;$G$22,MAX($G69,$J69),(MAX($G69,$J69)+$F$22)))))</f>
        <v/>
      </c>
      <c r="O69" s="49" t="n">
        <v>140</v>
      </c>
      <c r="P69" s="116" t="n">
        <v>2.009</v>
      </c>
      <c r="Q69" s="117" t="n">
        <v>5.916</v>
      </c>
      <c r="R69" s="116" t="n">
        <v>0.4018</v>
      </c>
      <c r="S69" s="118" t="n">
        <f aca="false">IF(P69="","",LN(2)/P69)</f>
        <v>0.345020995798878</v>
      </c>
      <c r="T69" s="118" t="n">
        <f aca="false">IF(S69="","",(LN(10)/LN(2))*S69)</f>
        <v>1.14613493927031</v>
      </c>
      <c r="U69" s="116" t="n">
        <v>0.03345</v>
      </c>
      <c r="V69" s="116" t="n">
        <v>0.07476</v>
      </c>
      <c r="W69" s="116" t="n">
        <v>1.047</v>
      </c>
      <c r="X69" s="118" t="n">
        <f aca="false">IF(U69="","",LN(2)/U69)</f>
        <v>20.7218888059774</v>
      </c>
      <c r="Y69" s="118" t="n">
        <f aca="false">IF(X69="","",(LN(10)/LN(2))*X69)</f>
        <v>68.8366246037084</v>
      </c>
      <c r="Z69" s="116" t="n">
        <v>0.01088</v>
      </c>
      <c r="AA69" s="116" t="n">
        <v>0.02436</v>
      </c>
      <c r="AB69" s="116" t="n">
        <v>0.9964</v>
      </c>
      <c r="AC69" s="118" t="n">
        <f aca="false">IF(Z69="","",LN(2)/Z69)</f>
        <v>63.7083805661714</v>
      </c>
      <c r="AD69" s="118" t="n">
        <f aca="false">IF(AC69="","",(LN(10)/LN(2))*AC69)</f>
        <v>211.634659282541</v>
      </c>
      <c r="AE69" s="119" t="n">
        <v>0.1724</v>
      </c>
      <c r="AF69" s="116" t="n">
        <v>1.328</v>
      </c>
      <c r="AG69" s="116" t="n">
        <v>0.8458</v>
      </c>
      <c r="AH69" s="118" t="n">
        <f aca="false">IF(AE69="","",LN(2)/AE69)</f>
        <v>4.02057529327114</v>
      </c>
      <c r="AI69" s="118" t="n">
        <f aca="false">IF(AH69="","",(LN(10)/LN(2))*AH69)</f>
        <v>13.3560620243274</v>
      </c>
      <c r="AJ69" s="116" t="n">
        <v>0.03407</v>
      </c>
      <c r="AK69" s="116" t="n">
        <v>0.05145</v>
      </c>
      <c r="AL69" s="116" t="n">
        <v>1.057</v>
      </c>
      <c r="AM69" s="118" t="n">
        <f aca="false">IF(AJ69="","",LN(2)/AJ69)</f>
        <v>20.3447954376268</v>
      </c>
      <c r="AN69" s="118" t="n">
        <f aca="false">IF(AM69="","",(LN(10)/LN(2))*AM69)</f>
        <v>67.5839475489887</v>
      </c>
      <c r="AO69" s="120" t="n">
        <v>0.006191</v>
      </c>
      <c r="AP69" s="118" t="n">
        <v>-0.001849</v>
      </c>
      <c r="AQ69" s="116" t="n">
        <v>1.53</v>
      </c>
      <c r="AR69" s="118" t="n">
        <f aca="false">IF(AO69="","",LN(2)/AO69)</f>
        <v>111.960455590364</v>
      </c>
      <c r="AS69" s="118" t="n">
        <f aca="false">IF(AR69="","",(LN(10)/LN(2))*AR69)</f>
        <v>371.92458294202</v>
      </c>
      <c r="AT69" s="121" t="n">
        <f aca="false">1.222-0.05664*O69+0.001227*O69^2-0.000003136*O69^3</f>
        <v>8.736416</v>
      </c>
    </row>
    <row r="70" customFormat="false" ht="13.2" hidden="false" customHeight="false" outlineLevel="0" collapsed="false">
      <c r="A70" s="109" t="str">
        <f aca="false">IF($A52="","",$A52)</f>
        <v/>
      </c>
      <c r="B70" s="110" t="str">
        <f aca="false">IF(OR($B33=0,$F33=""),"",(1/($B$20*$D$20))*LN((((L33/$E$20)^-$D$20)+($C$20/$B$20))/(1+($C$20/$B$20))))</f>
        <v/>
      </c>
      <c r="C70" s="111" t="str">
        <f aca="false">IF(OR($B33=0,$F33=""),"",(1/($B$21*$D$21))*LN(((($L33/$E$21)^-$D$21)+($C$21/$B$21))/(1+($C$21/$B$21))))</f>
        <v/>
      </c>
      <c r="D70" s="86" t="str">
        <f aca="false">IF(OR($B33=0,$F33=""),"",(1/($B$22*$D$22))*LN(((($L33/$E$22)^-$D$22)+($C$22/$B$22))/(1+($C$22/$B$22))))</f>
        <v/>
      </c>
      <c r="E70" s="110" t="str">
        <f aca="false">IF($C33="","",IF((1/($B$20*$D$20))*LN(((($M33/$E$20)^-$D$20)+($C$20/$B$20))/(1+($C$20/$B$20)))&lt;0,0,(1/($B$20*$D$20))*LN(((($M33/$E$20)^-$D$20)+($C$20/$B$20))/(1+($C$20/$B$20)))))</f>
        <v/>
      </c>
      <c r="F70" s="111" t="str">
        <f aca="false">IF($C33="","",IF((1/($B$21*$D$21))*LN(((($M33/$E$21)^-$D$21)+($C$21/$B$21))/(1+($C$21/$B$21)))&lt;0,0,(1/($B$21*$D$21))*LN(((($M33/$E$21)^-$D$21)+($C$21/$B$21))/(1+($C$21/$B$21)))))</f>
        <v/>
      </c>
      <c r="G70" s="112" t="str">
        <f aca="false">IF($C33="","",IF((1/($B$22*$D$22))*LN(((($M33/$E$22)^-$D$22)+($C$22/$B$22))/(1+($C$22/$B$22)))&lt;0,0,(1/($B$22*$D$22))*LN(((($M33/$E$22)^-$D$22)+($C$22/$B$22))/(1+($C$22/$B$22)))))</f>
        <v/>
      </c>
      <c r="H70" s="113" t="str">
        <f aca="false">IF($N33="","",IF(-LN($N33)*$F$20/LN(2)&lt;0,0,-LN($N33)*$F$20/LN(2)))</f>
        <v/>
      </c>
      <c r="I70" s="113" t="str">
        <f aca="false">IF($N33="","",IF(-LN($N33)*$F$21/LN(2)&lt;0,0,-LN($N33)*$F$21/LN(2)))</f>
        <v/>
      </c>
      <c r="J70" s="113" t="str">
        <f aca="false">IF($N33="","",IF(-LN($N33)*$F$22/LN(2)&lt;0,0,-LN($N33)*$F$22/LN(2)))</f>
        <v/>
      </c>
      <c r="K70" s="110" t="str">
        <f aca="false">IF($E70="","",IF(AND($E70=0,$H70=0),0,IF(OR($E70=0,$H70=0),MAX($E70,$H70),IF(ABS($E70-$H70)&gt;$G$20,MAX($E70,$H70),(MAX($E70,$H70)+$F$20)))))</f>
        <v/>
      </c>
      <c r="L70" s="111" t="str">
        <f aca="false">IF($F70="","",IF(AND($F70=0,$I70=0),0,IF(OR($F70=0,$I70=0),MAX($F70,$I70),IF(ABS($F70-$I70)&gt;$G$21,MAX($F70,$I70),(MAX($F70,$I70)+$F$21)))))</f>
        <v/>
      </c>
      <c r="M70" s="111" t="str">
        <f aca="false">IF($G70="","",IF(AND($G70=0,$J70=0),0,IF(OR($G70=0,$J70=0),MAX($G70,$J70),IF(ABS($G70-$J70)&gt;$G$22,MAX($G70,$J70),(MAX($G70,$J70)+$F$22)))))</f>
        <v/>
      </c>
      <c r="O70" s="49" t="n">
        <v>145</v>
      </c>
      <c r="P70" s="116" t="n">
        <v>1.895</v>
      </c>
      <c r="Q70" s="117" t="n">
        <v>5.498</v>
      </c>
      <c r="R70" s="116" t="n">
        <v>0.358</v>
      </c>
      <c r="S70" s="118" t="n">
        <f aca="false">IF(P70="","",LN(2)/P70)</f>
        <v>0.365776876284932</v>
      </c>
      <c r="T70" s="118" t="n">
        <f aca="false">IF(S70="","",(LN(10)/LN(2))*S70)</f>
        <v>1.21508448179105</v>
      </c>
      <c r="U70" s="116" t="n">
        <v>0.03296</v>
      </c>
      <c r="V70" s="116" t="n">
        <v>0.07875</v>
      </c>
      <c r="W70" s="116" t="n">
        <v>1.224</v>
      </c>
      <c r="X70" s="118" t="n">
        <f aca="false">IF(U70="","",LN(2)/U70)</f>
        <v>21.0299508665032</v>
      </c>
      <c r="Y70" s="118" t="n">
        <f aca="false">IF(X70="","",(LN(10)/LN(2))*X70)</f>
        <v>69.8599846175378</v>
      </c>
      <c r="Z70" s="116" t="n">
        <v>0.01056</v>
      </c>
      <c r="AA70" s="116" t="n">
        <v>0.02313</v>
      </c>
      <c r="AB70" s="116" t="n">
        <v>0.9987</v>
      </c>
      <c r="AC70" s="118" t="n">
        <f aca="false">IF(Z70="","",LN(2)/Z70)</f>
        <v>65.6389375530251</v>
      </c>
      <c r="AD70" s="118" t="n">
        <f aca="false">IF(AC70="","",(LN(10)/LN(2))*AC70)</f>
        <v>218.047830775951</v>
      </c>
      <c r="AE70" s="119" t="n">
        <v>0.1616</v>
      </c>
      <c r="AF70" s="116" t="n">
        <v>1.225</v>
      </c>
      <c r="AG70" s="116" t="n">
        <v>0.8519</v>
      </c>
      <c r="AH70" s="118" t="n">
        <f aca="false">IF(AE70="","",LN(2)/AE70)</f>
        <v>4.2892771074254</v>
      </c>
      <c r="AI70" s="118" t="n">
        <f aca="false">IF(AH70="","",(LN(10)/LN(2))*AH70)</f>
        <v>14.2486701299137</v>
      </c>
      <c r="AJ70" s="116" t="n">
        <v>0.03336</v>
      </c>
      <c r="AK70" s="116" t="n">
        <v>0.04795</v>
      </c>
      <c r="AL70" s="116" t="n">
        <v>1.063</v>
      </c>
      <c r="AM70" s="118" t="n">
        <f aca="false">IF(AJ70="","",LN(2)/AJ70)</f>
        <v>20.7777931822526</v>
      </c>
      <c r="AN70" s="118" t="n">
        <f aca="false">IF(AM70="","",(LN(10)/LN(2))*AM70)</f>
        <v>69.0223349218839</v>
      </c>
      <c r="AO70" s="120" t="n">
        <v>0.006115</v>
      </c>
      <c r="AP70" s="118" t="n">
        <v>-0.001869</v>
      </c>
      <c r="AQ70" s="116" t="n">
        <v>1.498</v>
      </c>
      <c r="AR70" s="118" t="n">
        <f aca="false">IF(AO70="","",LN(2)/AO70)</f>
        <v>113.35195103188</v>
      </c>
      <c r="AS70" s="118" t="n">
        <f aca="false">IF(AR70="","",(LN(10)/LN(2))*AR70)</f>
        <v>376.547030743098</v>
      </c>
      <c r="AT70" s="121" t="n">
        <f aca="false">1.222-0.05664*O70+0.001227*O70^2-0.000003136*O70^3</f>
        <v>9.246387</v>
      </c>
    </row>
    <row r="71" customFormat="false" ht="13.2" hidden="false" customHeight="false" outlineLevel="0" collapsed="false">
      <c r="A71" s="109" t="str">
        <f aca="false">IF($A53="","",$A53)</f>
        <v/>
      </c>
      <c r="B71" s="110" t="str">
        <f aca="false">IF(OR($B34=0,$F34=""),"",(1/($B$20*$D$20))*LN((((L34/$E$20)^-$D$20)+($C$20/$B$20))/(1+($C$20/$B$20))))</f>
        <v/>
      </c>
      <c r="C71" s="111" t="str">
        <f aca="false">IF(OR($B34=0,$F34=""),"",(1/($B$21*$D$21))*LN(((($L34/$E$21)^-$D$21)+($C$21/$B$21))/(1+($C$21/$B$21))))</f>
        <v/>
      </c>
      <c r="D71" s="86" t="str">
        <f aca="false">IF(OR($B34=0,$F34=""),"",(1/($B$22*$D$22))*LN(((($L34/$E$22)^-$D$22)+($C$22/$B$22))/(1+($C$22/$B$22))))</f>
        <v/>
      </c>
      <c r="E71" s="110" t="str">
        <f aca="false">IF($C34="","",IF((1/($B$20*$D$20))*LN(((($M34/$E$20)^-$D$20)+($C$20/$B$20))/(1+($C$20/$B$20)))&lt;0,0,(1/($B$20*$D$20))*LN(((($M34/$E$20)^-$D$20)+($C$20/$B$20))/(1+($C$20/$B$20)))))</f>
        <v/>
      </c>
      <c r="F71" s="111" t="str">
        <f aca="false">IF($C34="","",IF((1/($B$21*$D$21))*LN(((($M34/$E$21)^-$D$21)+($C$21/$B$21))/(1+($C$21/$B$21)))&lt;0,0,(1/($B$21*$D$21))*LN(((($M34/$E$21)^-$D$21)+($C$21/$B$21))/(1+($C$21/$B$21)))))</f>
        <v/>
      </c>
      <c r="G71" s="112" t="str">
        <f aca="false">IF($C34="","",IF((1/($B$22*$D$22))*LN(((($M34/$E$22)^-$D$22)+($C$22/$B$22))/(1+($C$22/$B$22)))&lt;0,0,(1/($B$22*$D$22))*LN(((($M34/$E$22)^-$D$22)+($C$22/$B$22))/(1+($C$22/$B$22)))))</f>
        <v/>
      </c>
      <c r="H71" s="113" t="str">
        <f aca="false">IF($N34="","",IF(-LN($N34)*$F$20/LN(2)&lt;0,0,-LN($N34)*$F$20/LN(2)))</f>
        <v/>
      </c>
      <c r="I71" s="113" t="str">
        <f aca="false">IF($N34="","",IF(-LN($N34)*$F$21/LN(2)&lt;0,0,-LN($N34)*$F$21/LN(2)))</f>
        <v/>
      </c>
      <c r="J71" s="113" t="str">
        <f aca="false">IF($N34="","",IF(-LN($N34)*$F$22/LN(2)&lt;0,0,-LN($N34)*$F$22/LN(2)))</f>
        <v/>
      </c>
      <c r="K71" s="110" t="str">
        <f aca="false">IF($E71="","",IF(AND($E71=0,$H71=0),0,IF(OR($E71=0,$H71=0),MAX($E71,$H71),IF(ABS($E71-$H71)&gt;$G$20,MAX($E71,$H71),(MAX($E71,$H71)+$F$20)))))</f>
        <v/>
      </c>
      <c r="L71" s="111" t="str">
        <f aca="false">IF($F71="","",IF(AND($F71=0,$I71=0),0,IF(OR($F71=0,$I71=0),MAX($F71,$I71),IF(ABS($F71-$I71)&gt;$G$21,MAX($F71,$I71),(MAX($F71,$I71)+$F$21)))))</f>
        <v/>
      </c>
      <c r="M71" s="111" t="str">
        <f aca="false">IF($G71="","",IF(AND($G71=0,$J71=0),0,IF(OR($G71=0,$J71=0),MAX($G71,$J71),IF(ABS($G71-$J71)&gt;$G$22,MAX($G71,$J71),(MAX($G71,$J71)+$F$22)))))</f>
        <v/>
      </c>
      <c r="O71" s="49" t="n">
        <v>150</v>
      </c>
      <c r="P71" s="116" t="n">
        <v>1.757</v>
      </c>
      <c r="Q71" s="117" t="n">
        <v>5.177</v>
      </c>
      <c r="R71" s="116" t="n">
        <v>0.3156</v>
      </c>
      <c r="S71" s="118" t="n">
        <f aca="false">IF(P71="","",LN(2)/P71)</f>
        <v>0.394506078861665</v>
      </c>
      <c r="T71" s="118" t="n">
        <f aca="false">IF(S71="","",(LN(10)/LN(2))*S71)</f>
        <v>1.31052082697441</v>
      </c>
      <c r="U71" s="116" t="n">
        <v>0.03243</v>
      </c>
      <c r="V71" s="116" t="n">
        <v>0.08599</v>
      </c>
      <c r="W71" s="116" t="n">
        <v>1.467</v>
      </c>
      <c r="X71" s="118" t="n">
        <f aca="false">IF(U71="","",LN(2)/U71)</f>
        <v>21.3736410903468</v>
      </c>
      <c r="Y71" s="118" t="n">
        <f aca="false">IF(X71="","",(LN(10)/LN(2))*X71)</f>
        <v>71.0016988280619</v>
      </c>
      <c r="Z71" s="116" t="n">
        <v>0.0103</v>
      </c>
      <c r="AA71" s="116" t="n">
        <v>0.02198</v>
      </c>
      <c r="AB71" s="116" t="n">
        <v>1.013</v>
      </c>
      <c r="AC71" s="118" t="n">
        <f aca="false">IF(Z71="","",LN(2)/Z71)</f>
        <v>67.2958427728102</v>
      </c>
      <c r="AD71" s="118" t="n">
        <f aca="false">IF(AC71="","",(LN(10)/LN(2))*AC71)</f>
        <v>223.551950776121</v>
      </c>
      <c r="AE71" s="119" t="n">
        <v>0.1501</v>
      </c>
      <c r="AF71" s="116" t="n">
        <v>1.132</v>
      </c>
      <c r="AG71" s="116" t="n">
        <v>0.8566</v>
      </c>
      <c r="AH71" s="118" t="n">
        <f aca="false">IF(AE71="","",LN(2)/AE71)</f>
        <v>4.6179026019983</v>
      </c>
      <c r="AI71" s="118" t="n">
        <f aca="false">IF(AH71="","",(LN(10)/LN(2))*AH71)</f>
        <v>15.3403403930316</v>
      </c>
      <c r="AJ71" s="116" t="n">
        <v>0.03266</v>
      </c>
      <c r="AK71" s="116" t="n">
        <v>0.04491</v>
      </c>
      <c r="AL71" s="116" t="n">
        <v>1.073</v>
      </c>
      <c r="AM71" s="118" t="n">
        <f aca="false">IF(AJ71="","",LN(2)/AJ71)</f>
        <v>21.223122491119</v>
      </c>
      <c r="AN71" s="118" t="n">
        <f aca="false">IF(AM71="","",(LN(10)/LN(2))*AM71)</f>
        <v>70.5016868644839</v>
      </c>
      <c r="AO71" s="120" t="n">
        <v>0.00602</v>
      </c>
      <c r="AP71" s="118" t="n">
        <v>-0.001752</v>
      </c>
      <c r="AQ71" s="116" t="n">
        <v>1.483</v>
      </c>
      <c r="AR71" s="118" t="n">
        <f aca="false">IF(AO71="","",LN(2)/AO71)</f>
        <v>115.140727667765</v>
      </c>
      <c r="AS71" s="118" t="n">
        <f aca="false">IF(AR71="","",(LN(10)/LN(2))*AR71)</f>
        <v>382.489218105323</v>
      </c>
      <c r="AT71" s="121" t="n">
        <f aca="false">1.222-0.05664*O71+0.001227*O71^2-0.000003136*O71^3</f>
        <v>9.7495</v>
      </c>
    </row>
    <row r="72" customFormat="false" ht="13.8" hidden="false" customHeight="false" outlineLevel="0" collapsed="false">
      <c r="A72" s="109" t="str">
        <f aca="false">IF($A54="","",$A54)</f>
        <v/>
      </c>
      <c r="B72" s="110" t="str">
        <f aca="false">IF(OR($B35=0,$F35=""),"",(1/($B$20*$D$20))*LN((((L35/$E$20)^-$D$20)+($C$20/$B$20))/(1+($C$20/$B$20))))</f>
        <v/>
      </c>
      <c r="C72" s="111" t="str">
        <f aca="false">IF(OR($B35=0,$F35=""),"",(1/($B$21*$D$21))*LN(((($L35/$E$21)^-$D$21)+($C$21/$B$21))/(1+($C$21/$B$21))))</f>
        <v/>
      </c>
      <c r="D72" s="86" t="str">
        <f aca="false">IF(OR($B35=0,$F35=""),"",(1/($B$22*$D$22))*LN(((($L35/$E$22)^-$D$22)+($C$22/$B$22))/(1+($C$22/$B$22))))</f>
        <v/>
      </c>
      <c r="E72" s="110" t="str">
        <f aca="false">IF($C35="","",IF((1/($B$20*$D$20))*LN(((($M35/$E$20)^-$D$20)+($C$20/$B$20))/(1+($C$20/$B$20)))&lt;0,0,(1/($B$20*$D$20))*LN(((($M35/$E$20)^-$D$20)+($C$20/$B$20))/(1+($C$20/$B$20)))))</f>
        <v/>
      </c>
      <c r="F72" s="111" t="str">
        <f aca="false">IF($C35="","",IF((1/($B$21*$D$21))*LN(((($M35/$E$21)^-$D$21)+($C$21/$B$21))/(1+($C$21/$B$21)))&lt;0,0,(1/($B$21*$D$21))*LN(((($M35/$E$21)^-$D$21)+($C$21/$B$21))/(1+($C$21/$B$21)))))</f>
        <v/>
      </c>
      <c r="G72" s="112" t="str">
        <f aca="false">IF($C35="","",IF((1/($B$22*$D$22))*LN(((($M35/$E$22)^-$D$22)+($C$22/$B$22))/(1+($C$22/$B$22)))&lt;0,0,(1/($B$22*$D$22))*LN(((($M35/$E$22)^-$D$22)+($C$22/$B$22))/(1+($C$22/$B$22)))))</f>
        <v/>
      </c>
      <c r="H72" s="113" t="str">
        <f aca="false">IF($N35="","",IF(-LN($N35)*$F$20/LN(2)&lt;0,0,-LN($N35)*$F$20/LN(2)))</f>
        <v/>
      </c>
      <c r="I72" s="113" t="str">
        <f aca="false">IF($N35="","",IF(-LN($N35)*$F$21/LN(2)&lt;0,0,-LN($N35)*$F$21/LN(2)))</f>
        <v/>
      </c>
      <c r="J72" s="113" t="str">
        <f aca="false">IF($N35="","",IF(-LN($N35)*$F$22/LN(2)&lt;0,0,-LN($N35)*$F$22/LN(2)))</f>
        <v/>
      </c>
      <c r="K72" s="110" t="str">
        <f aca="false">IF($E72="","",IF(AND($E72=0,$H72=0),0,IF(OR($E72=0,$H72=0),MAX($E72,$H72),IF(ABS($E72-$H72)&gt;$G$20,MAX($E72,$H72),(MAX($E72,$H72)+$F$20)))))</f>
        <v/>
      </c>
      <c r="L72" s="111" t="str">
        <f aca="false">IF($F72="","",IF(AND($F72=0,$I72=0),0,IF(OR($F72=0,$I72=0),MAX($F72,$I72),IF(ABS($F72-$I72)&gt;$G$21,MAX($F72,$I72),(MAX($F72,$I72)+$F$21)))))</f>
        <v/>
      </c>
      <c r="M72" s="111" t="str">
        <f aca="false">IF($G72="","",IF(AND($G72=0,$J72=0),0,IF(OR($G72=0,$J72=0),MAX($G72,$J72),IF(ABS($G72-$J72)&gt;$G$22,MAX($G72,$J72),(MAX($G72,$J72)+$F$22)))))</f>
        <v/>
      </c>
      <c r="O72" s="8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8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30"/>
    </row>
    <row r="73" customFormat="false" ht="13.8" hidden="false" customHeight="false" outlineLevel="0" collapsed="false">
      <c r="A73" s="109" t="str">
        <f aca="false">IF($A55="","",$A55)</f>
        <v/>
      </c>
      <c r="B73" s="110" t="str">
        <f aca="false">IF(OR($B36=0,$F36=""),"",(1/($B$20*$D$20))*LN((((L36/$E$20)^-$D$20)+($C$20/$B$20))/(1+($C$20/$B$20))))</f>
        <v/>
      </c>
      <c r="C73" s="111" t="str">
        <f aca="false">IF(OR($B36=0,$F36=""),"",(1/($B$21*$D$21))*LN(((($L36/$E$21)^-$D$21)+($C$21/$B$21))/(1+($C$21/$B$21))))</f>
        <v/>
      </c>
      <c r="D73" s="86" t="str">
        <f aca="false">IF(OR($B36=0,$F36=""),"",(1/($B$22*$D$22))*LN(((($L36/$E$22)^-$D$22)+($C$22/$B$22))/(1+($C$22/$B$22))))</f>
        <v/>
      </c>
      <c r="E73" s="110" t="str">
        <f aca="false">IF($C36="","",IF((1/($B$20*$D$20))*LN(((($M36/$E$20)^-$D$20)+($C$20/$B$20))/(1+($C$20/$B$20)))&lt;0,0,(1/($B$20*$D$20))*LN(((($M36/$E$20)^-$D$20)+($C$20/$B$20))/(1+($C$20/$B$20)))))</f>
        <v/>
      </c>
      <c r="F73" s="111" t="str">
        <f aca="false">IF($C36="","",IF((1/($B$21*$D$21))*LN(((($M36/$E$21)^-$D$21)+($C$21/$B$21))/(1+($C$21/$B$21)))&lt;0,0,(1/($B$21*$D$21))*LN(((($M36/$E$21)^-$D$21)+($C$21/$B$21))/(1+($C$21/$B$21)))))</f>
        <v/>
      </c>
      <c r="G73" s="112" t="str">
        <f aca="false">IF($C36="","",IF((1/($B$22*$D$22))*LN(((($M36/$E$22)^-$D$22)+($C$22/$B$22))/(1+($C$22/$B$22)))&lt;0,0,(1/($B$22*$D$22))*LN(((($M36/$E$22)^-$D$22)+($C$22/$B$22))/(1+($C$22/$B$22)))))</f>
        <v/>
      </c>
      <c r="H73" s="113" t="str">
        <f aca="false">IF($N36="","",IF(-LN($N36)*$F$20/LN(2)&lt;0,0,-LN($N36)*$F$20/LN(2)))</f>
        <v/>
      </c>
      <c r="I73" s="113" t="str">
        <f aca="false">IF($N36="","",IF(-LN($N36)*$F$21/LN(2)&lt;0,0,-LN($N36)*$F$21/LN(2)))</f>
        <v/>
      </c>
      <c r="J73" s="113" t="str">
        <f aca="false">IF($N36="","",IF(-LN($N36)*$F$22/LN(2)&lt;0,0,-LN($N36)*$F$22/LN(2)))</f>
        <v/>
      </c>
      <c r="K73" s="110" t="str">
        <f aca="false">IF($E73="","",IF(AND($E73=0,$H73=0),0,IF(OR($E73=0,$H73=0),MAX($E73,$H73),IF(ABS($E73-$H73)&gt;$G$20,MAX($E73,$H73),(MAX($E73,$H73)+$F$20)))))</f>
        <v/>
      </c>
      <c r="L73" s="111" t="str">
        <f aca="false">IF($F73="","",IF(AND($F73=0,$I73=0),0,IF(OR($F73=0,$I73=0),MAX($F73,$I73),IF(ABS($F73-$I73)&gt;$G$21,MAX($F73,$I73),(MAX($F73,$I73)+$F$21)))))</f>
        <v/>
      </c>
      <c r="M73" s="111" t="str">
        <f aca="false">IF($G73="","",IF(AND($G73=0,$J73=0),0,IF(OR($G73=0,$J73=0),MAX($G73,$J73),IF(ABS($G73-$J73)&gt;$G$22,MAX($G73,$J73),(MAX($G73,$J73)+$F$22)))))</f>
        <v/>
      </c>
      <c r="O73" s="97" t="s">
        <v>99</v>
      </c>
      <c r="AM73" s="1"/>
      <c r="AN73" s="1"/>
      <c r="AO73" s="1"/>
    </row>
    <row r="74" customFormat="false" ht="13.2" hidden="false" customHeight="false" outlineLevel="0" collapsed="false">
      <c r="A74" s="109" t="str">
        <f aca="false">IF($A56="","",$A56)</f>
        <v/>
      </c>
      <c r="B74" s="110" t="str">
        <f aca="false">IF(OR($B37=0,$F37=""),"",(1/($B$20*$D$20))*LN((((L37/$E$20)^-$D$20)+($C$20/$B$20))/(1+($C$20/$B$20))))</f>
        <v/>
      </c>
      <c r="C74" s="111" t="str">
        <f aca="false">IF(OR($B37=0,$F37=""),"",(1/($B$21*$D$21))*LN(((($L37/$E$21)^-$D$21)+($C$21/$B$21))/(1+($C$21/$B$21))))</f>
        <v/>
      </c>
      <c r="D74" s="86" t="str">
        <f aca="false">IF(OR($B37=0,$F37=""),"",(1/($B$22*$D$22))*LN(((($L37/$E$22)^-$D$22)+($C$22/$B$22))/(1+($C$22/$B$22))))</f>
        <v/>
      </c>
      <c r="E74" s="110" t="str">
        <f aca="false">IF($C37="","",IF((1/($B$20*$D$20))*LN(((($M37/$E$20)^-$D$20)+($C$20/$B$20))/(1+($C$20/$B$20)))&lt;0,0,(1/($B$20*$D$20))*LN(((($M37/$E$20)^-$D$20)+($C$20/$B$20))/(1+($C$20/$B$20)))))</f>
        <v/>
      </c>
      <c r="F74" s="111" t="str">
        <f aca="false">IF($C37="","",IF((1/($B$21*$D$21))*LN(((($M37/$E$21)^-$D$21)+($C$21/$B$21))/(1+($C$21/$B$21)))&lt;0,0,(1/($B$21*$D$21))*LN(((($M37/$E$21)^-$D$21)+($C$21/$B$21))/(1+($C$21/$B$21)))))</f>
        <v/>
      </c>
      <c r="G74" s="112" t="str">
        <f aca="false">IF($C37="","",IF((1/($B$22*$D$22))*LN(((($M37/$E$22)^-$D$22)+($C$22/$B$22))/(1+($C$22/$B$22)))&lt;0,0,(1/($B$22*$D$22))*LN(((($M37/$E$22)^-$D$22)+($C$22/$B$22))/(1+($C$22/$B$22)))))</f>
        <v/>
      </c>
      <c r="H74" s="113" t="str">
        <f aca="false">IF($N37="","",IF(-LN($N37)*$F$20/LN(2)&lt;0,0,-LN($N37)*$F$20/LN(2)))</f>
        <v/>
      </c>
      <c r="I74" s="113" t="str">
        <f aca="false">IF($N37="","",IF(-LN($N37)*$F$21/LN(2)&lt;0,0,-LN($N37)*$F$21/LN(2)))</f>
        <v/>
      </c>
      <c r="J74" s="113" t="str">
        <f aca="false">IF($N37="","",IF(-LN($N37)*$F$22/LN(2)&lt;0,0,-LN($N37)*$F$22/LN(2)))</f>
        <v/>
      </c>
      <c r="K74" s="110" t="str">
        <f aca="false">IF($E74="","",IF(AND($E74=0,$H74=0),0,IF(OR($E74=0,$H74=0),MAX($E74,$H74),IF(ABS($E74-$H74)&gt;$G$20,MAX($E74,$H74),(MAX($E74,$H74)+$F$20)))))</f>
        <v/>
      </c>
      <c r="L74" s="111" t="str">
        <f aca="false">IF($F74="","",IF(AND($F74=0,$I74=0),0,IF(OR($F74=0,$I74=0),MAX($F74,$I74),IF(ABS($F74-$I74)&gt;$G$21,MAX($F74,$I74),(MAX($F74,$I74)+$F$21)))))</f>
        <v/>
      </c>
      <c r="M74" s="111" t="str">
        <f aca="false">IF($G74="","",IF(AND($G74=0,$J74=0),0,IF(OR($G74=0,$J74=0),MAX($G74,$J74),IF(ABS($G74-$J74)&gt;$G$22,MAX($G74,$J74),(MAX($G74,$J74)+$F$22)))))</f>
        <v/>
      </c>
      <c r="O74" s="97" t="s">
        <v>100</v>
      </c>
      <c r="AK74" s="1"/>
      <c r="AL74" s="1"/>
    </row>
    <row r="75" customFormat="false" ht="13.2" hidden="false" customHeight="false" outlineLevel="0" collapsed="false">
      <c r="A75" s="109" t="str">
        <f aca="false">IF($A57="","",$A57)</f>
        <v/>
      </c>
      <c r="B75" s="110" t="str">
        <f aca="false">IF(OR($B38=0,$F38=""),"",(1/($B$20*$D$20))*LN((((L38/$E$20)^-$D$20)+($C$20/$B$20))/(1+($C$20/$B$20))))</f>
        <v/>
      </c>
      <c r="C75" s="111" t="str">
        <f aca="false">IF(OR($B38=0,$F38=""),"",(1/($B$21*$D$21))*LN(((($L38/$E$21)^-$D$21)+($C$21/$B$21))/(1+($C$21/$B$21))))</f>
        <v/>
      </c>
      <c r="D75" s="86" t="str">
        <f aca="false">IF(OR($B38=0,$F38=""),"",(1/($B$22*$D$22))*LN(((($L38/$E$22)^-$D$22)+($C$22/$B$22))/(1+($C$22/$B$22))))</f>
        <v/>
      </c>
      <c r="E75" s="110" t="str">
        <f aca="false">IF($C38="","",IF((1/($B$20*$D$20))*LN(((($M38/$E$20)^-$D$20)+($C$20/$B$20))/(1+($C$20/$B$20)))&lt;0,0,(1/($B$20*$D$20))*LN(((($M38/$E$20)^-$D$20)+($C$20/$B$20))/(1+($C$20/$B$20)))))</f>
        <v/>
      </c>
      <c r="F75" s="111" t="str">
        <f aca="false">IF($C38="","",IF((1/($B$21*$D$21))*LN(((($M38/$E$21)^-$D$21)+($C$21/$B$21))/(1+($C$21/$B$21)))&lt;0,0,(1/($B$21*$D$21))*LN(((($M38/$E$21)^-$D$21)+($C$21/$B$21))/(1+($C$21/$B$21)))))</f>
        <v/>
      </c>
      <c r="G75" s="112" t="str">
        <f aca="false">IF($C38="","",IF((1/($B$22*$D$22))*LN(((($M38/$E$22)^-$D$22)+($C$22/$B$22))/(1+($C$22/$B$22)))&lt;0,0,(1/($B$22*$D$22))*LN(((($M38/$E$22)^-$D$22)+($C$22/$B$22))/(1+($C$22/$B$22)))))</f>
        <v/>
      </c>
      <c r="H75" s="113" t="str">
        <f aca="false">IF($N38="","",IF(-LN($N38)*$F$20/LN(2)&lt;0,0,-LN($N38)*$F$20/LN(2)))</f>
        <v/>
      </c>
      <c r="I75" s="113" t="str">
        <f aca="false">IF($N38="","",IF(-LN($N38)*$F$21/LN(2)&lt;0,0,-LN($N38)*$F$21/LN(2)))</f>
        <v/>
      </c>
      <c r="J75" s="113" t="str">
        <f aca="false">IF($N38="","",IF(-LN($N38)*$F$22/LN(2)&lt;0,0,-LN($N38)*$F$22/LN(2)))</f>
        <v/>
      </c>
      <c r="K75" s="110" t="str">
        <f aca="false">IF($E75="","",IF(AND($E75=0,$H75=0),0,IF(OR($E75=0,$H75=0),MAX($E75,$H75),IF(ABS($E75-$H75)&gt;$G$20,MAX($E75,$H75),(MAX($E75,$H75)+$F$20)))))</f>
        <v/>
      </c>
      <c r="L75" s="111" t="str">
        <f aca="false">IF($F75="","",IF(AND($F75=0,$I75=0),0,IF(OR($F75=0,$I75=0),MAX($F75,$I75),IF(ABS($F75-$I75)&gt;$G$21,MAX($F75,$I75),(MAX($F75,$I75)+$F$21)))))</f>
        <v/>
      </c>
      <c r="M75" s="111" t="str">
        <f aca="false">IF($G75="","",IF(AND($G75=0,$J75=0),0,IF(OR($G75=0,$J75=0),MAX($G75,$J75),IF(ABS($G75-$J75)&gt;$G$22,MAX($G75,$J75),(MAX($G75,$J75)+$F$22)))))</f>
        <v/>
      </c>
      <c r="P75" s="95" t="s">
        <v>101</v>
      </c>
    </row>
    <row r="76" customFormat="false" ht="13.2" hidden="false" customHeight="false" outlineLevel="0" collapsed="false">
      <c r="A76" s="109" t="str">
        <f aca="false">IF($A58="","",$A58)</f>
        <v/>
      </c>
      <c r="B76" s="110" t="str">
        <f aca="false">IF(OR($B39=0,$F39=""),"",(1/($B$20*$D$20))*LN((((L39/$E$20)^-$D$20)+($C$20/$B$20))/(1+($C$20/$B$20))))</f>
        <v/>
      </c>
      <c r="C76" s="111" t="str">
        <f aca="false">IF(OR($B39=0,$F39=""),"",(1/($B$21*$D$21))*LN(((($L39/$E$21)^-$D$21)+($C$21/$B$21))/(1+($C$21/$B$21))))</f>
        <v/>
      </c>
      <c r="D76" s="86" t="str">
        <f aca="false">IF(OR($B39=0,$F39=""),"",(1/($B$22*$D$22))*LN(((($L39/$E$22)^-$D$22)+($C$22/$B$22))/(1+($C$22/$B$22))))</f>
        <v/>
      </c>
      <c r="E76" s="110" t="str">
        <f aca="false">IF($C39="","",IF((1/($B$20*$D$20))*LN(((($M39/$E$20)^-$D$20)+($C$20/$B$20))/(1+($C$20/$B$20)))&lt;0,0,(1/($B$20*$D$20))*LN(((($M39/$E$20)^-$D$20)+($C$20/$B$20))/(1+($C$20/$B$20)))))</f>
        <v/>
      </c>
      <c r="F76" s="111" t="str">
        <f aca="false">IF($C39="","",IF((1/($B$21*$D$21))*LN(((($M39/$E$21)^-$D$21)+($C$21/$B$21))/(1+($C$21/$B$21)))&lt;0,0,(1/($B$21*$D$21))*LN(((($M39/$E$21)^-$D$21)+($C$21/$B$21))/(1+($C$21/$B$21)))))</f>
        <v/>
      </c>
      <c r="G76" s="112" t="str">
        <f aca="false">IF($C39="","",IF((1/($B$22*$D$22))*LN(((($M39/$E$22)^-$D$22)+($C$22/$B$22))/(1+($C$22/$B$22)))&lt;0,0,(1/($B$22*$D$22))*LN(((($M39/$E$22)^-$D$22)+($C$22/$B$22))/(1+($C$22/$B$22)))))</f>
        <v/>
      </c>
      <c r="H76" s="113" t="str">
        <f aca="false">IF($N39="","",IF(-LN($N39)*$F$20/LN(2)&lt;0,0,-LN($N39)*$F$20/LN(2)))</f>
        <v/>
      </c>
      <c r="I76" s="113" t="str">
        <f aca="false">IF($N39="","",IF(-LN($N39)*$F$21/LN(2)&lt;0,0,-LN($N39)*$F$21/LN(2)))</f>
        <v/>
      </c>
      <c r="J76" s="113" t="str">
        <f aca="false">IF($N39="","",IF(-LN($N39)*$F$22/LN(2)&lt;0,0,-LN($N39)*$F$22/LN(2)))</f>
        <v/>
      </c>
      <c r="K76" s="110" t="str">
        <f aca="false">IF($E76="","",IF(AND($E76=0,$H76=0),0,IF(OR($E76=0,$H76=0),MAX($E76,$H76),IF(ABS($E76-$H76)&gt;$G$20,MAX($E76,$H76),(MAX($E76,$H76)+$F$20)))))</f>
        <v/>
      </c>
      <c r="L76" s="111" t="str">
        <f aca="false">IF($F76="","",IF(AND($F76=0,$I76=0),0,IF(OR($F76=0,$I76=0),MAX($F76,$I76),IF(ABS($F76-$I76)&gt;$G$21,MAX($F76,$I76),(MAX($F76,$I76)+$F$21)))))</f>
        <v/>
      </c>
      <c r="M76" s="111" t="str">
        <f aca="false">IF($G76="","",IF(AND($G76=0,$J76=0),0,IF(OR($G76=0,$J76=0),MAX($G76,$J76),IF(ABS($G76-$J76)&gt;$G$22,MAX($G76,$J76),(MAX($G76,$J76)+$F$22)))))</f>
        <v/>
      </c>
    </row>
    <row r="77" customFormat="false" ht="13.2" hidden="false" customHeight="false" outlineLevel="0" collapsed="false">
      <c r="A77" s="97" t="str">
        <f aca="false">A41</f>
        <v/>
      </c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</row>
    <row r="78" customFormat="false" ht="13.2" hidden="false" customHeight="false" outlineLevel="0" collapsed="false">
      <c r="A78" s="12" t="s">
        <v>102</v>
      </c>
      <c r="B78" s="125"/>
      <c r="C78" s="125"/>
      <c r="D78" s="12" t="str">
        <f aca="false">IF($B$3="","",$B$3)</f>
        <v/>
      </c>
      <c r="E78" s="21"/>
      <c r="F78" s="21"/>
      <c r="G78" s="21"/>
      <c r="H78" s="21"/>
      <c r="I78" s="21"/>
      <c r="J78" s="21"/>
      <c r="K78" s="21"/>
      <c r="L78" s="21"/>
      <c r="M78" s="98" t="str">
        <f aca="false">IF($B$5="","",$B$5)</f>
        <v/>
      </c>
      <c r="N78" s="49" t="s">
        <v>89</v>
      </c>
    </row>
    <row r="79" customFormat="false" ht="13.2" hidden="false" customHeight="false" outlineLevel="0" collapsed="false">
      <c r="A79" s="12"/>
      <c r="B79" s="123" t="s">
        <v>60</v>
      </c>
      <c r="C79" s="123"/>
      <c r="D79" s="123"/>
      <c r="E79" s="123" t="s">
        <v>62</v>
      </c>
      <c r="F79" s="123"/>
      <c r="G79" s="123"/>
      <c r="H79" s="123" t="s">
        <v>91</v>
      </c>
      <c r="I79" s="123"/>
      <c r="J79" s="123"/>
      <c r="K79" s="124" t="s">
        <v>92</v>
      </c>
      <c r="L79" s="125"/>
      <c r="M79" s="126"/>
      <c r="N79" s="49" t="s">
        <v>93</v>
      </c>
    </row>
    <row r="80" customFormat="false" ht="13.2" hidden="false" customHeight="false" outlineLevel="0" collapsed="false">
      <c r="A80" s="77" t="s">
        <v>68</v>
      </c>
      <c r="B80" s="127" t="str">
        <f aca="false">B44</f>
        <v>Lead</v>
      </c>
      <c r="C80" s="128" t="str">
        <f aca="false">C44</f>
        <v>Concrete</v>
      </c>
      <c r="D80" s="128" t="str">
        <f aca="false">D44</f>
        <v>Gypsum</v>
      </c>
      <c r="E80" s="127" t="str">
        <f aca="false">E44</f>
        <v>Lead</v>
      </c>
      <c r="F80" s="128" t="str">
        <f aca="false">F44</f>
        <v>Concrete</v>
      </c>
      <c r="G80" s="128" t="str">
        <f aca="false">G44</f>
        <v>Gypsum</v>
      </c>
      <c r="H80" s="127" t="str">
        <f aca="false">H44</f>
        <v>Lead</v>
      </c>
      <c r="I80" s="128" t="str">
        <f aca="false">I44</f>
        <v>Concrete</v>
      </c>
      <c r="J80" s="128" t="str">
        <f aca="false">J44</f>
        <v>Gypsum</v>
      </c>
      <c r="K80" s="127" t="str">
        <f aca="false">K44</f>
        <v>Lead</v>
      </c>
      <c r="L80" s="128" t="str">
        <f aca="false">L44</f>
        <v>Concrete</v>
      </c>
      <c r="M80" s="128" t="str">
        <f aca="false">M44</f>
        <v>Gypsum</v>
      </c>
      <c r="N80" s="53" t="s">
        <v>94</v>
      </c>
    </row>
    <row r="81" customFormat="false" ht="13.2" hidden="false" customHeight="false" outlineLevel="0" collapsed="false">
      <c r="A81" s="109" t="str">
        <f aca="false">IF(A45="","",A45)</f>
        <v/>
      </c>
      <c r="B81" s="110" t="str">
        <f aca="false">IF(B45="","",B45/25.4)</f>
        <v/>
      </c>
      <c r="C81" s="111" t="str">
        <f aca="false">IF(C45="","",C45/25.4)</f>
        <v/>
      </c>
      <c r="D81" s="111" t="str">
        <f aca="false">IF(D45="","",D45/25.4)</f>
        <v/>
      </c>
      <c r="E81" s="110" t="str">
        <f aca="false">IF(E45="","",E45/25.4)</f>
        <v/>
      </c>
      <c r="F81" s="111" t="str">
        <f aca="false">IF(F45="","",F45/25.4)</f>
        <v/>
      </c>
      <c r="G81" s="111" t="str">
        <f aca="false">IF(G45="","",G45/25.4)</f>
        <v/>
      </c>
      <c r="H81" s="110" t="str">
        <f aca="false">IF(H45="","",H45/25.4)</f>
        <v/>
      </c>
      <c r="I81" s="111" t="str">
        <f aca="false">IF(I45="","",I45/25.4)</f>
        <v/>
      </c>
      <c r="J81" s="111" t="str">
        <f aca="false">IF(J45="","",J45/25.4)</f>
        <v/>
      </c>
      <c r="K81" s="110" t="str">
        <f aca="false">IF(K45="","",K45/25.4)</f>
        <v/>
      </c>
      <c r="L81" s="111" t="str">
        <f aca="false">IF(L45="","",L45/25.4)</f>
        <v/>
      </c>
      <c r="M81" s="111" t="str">
        <f aca="false">IF(M45="","",M45/25.4)</f>
        <v/>
      </c>
      <c r="N81" s="114" t="str">
        <f aca="false">IF(N45="","",N45)</f>
        <v/>
      </c>
    </row>
    <row r="82" customFormat="false" ht="13.2" hidden="false" customHeight="false" outlineLevel="0" collapsed="false">
      <c r="A82" s="109" t="str">
        <f aca="false">IF(A46="","",A46)</f>
        <v/>
      </c>
      <c r="B82" s="110" t="str">
        <f aca="false">IF(B46="","",B46/25.4)</f>
        <v/>
      </c>
      <c r="C82" s="111" t="str">
        <f aca="false">IF(C46="","",C46/25.4)</f>
        <v/>
      </c>
      <c r="D82" s="111" t="str">
        <f aca="false">IF(D46="","",D46/25.4)</f>
        <v/>
      </c>
      <c r="E82" s="110" t="str">
        <f aca="false">IF(E46="","",E46/25.4)</f>
        <v/>
      </c>
      <c r="F82" s="111" t="str">
        <f aca="false">IF(F46="","",F46/25.4)</f>
        <v/>
      </c>
      <c r="G82" s="111" t="str">
        <f aca="false">IF(G46="","",G46/25.4)</f>
        <v/>
      </c>
      <c r="H82" s="110" t="str">
        <f aca="false">IF(H46="","",H46/25.4)</f>
        <v/>
      </c>
      <c r="I82" s="111" t="str">
        <f aca="false">IF(I46="","",I46/25.4)</f>
        <v/>
      </c>
      <c r="J82" s="111" t="str">
        <f aca="false">IF(J46="","",J46/25.4)</f>
        <v/>
      </c>
      <c r="K82" s="110" t="str">
        <f aca="false">IF(K46="","",K46/25.4)</f>
        <v/>
      </c>
      <c r="L82" s="111" t="str">
        <f aca="false">IF(L46="","",L46/25.4)</f>
        <v/>
      </c>
      <c r="M82" s="111" t="str">
        <f aca="false">IF(M46="","",M46/25.4)</f>
        <v/>
      </c>
      <c r="N82" s="114" t="str">
        <f aca="false">IF(N46="","",N46)</f>
        <v/>
      </c>
    </row>
    <row r="83" customFormat="false" ht="13.2" hidden="false" customHeight="false" outlineLevel="0" collapsed="false">
      <c r="A83" s="109" t="str">
        <f aca="false">IF(A47="","",A47)</f>
        <v/>
      </c>
      <c r="B83" s="110" t="str">
        <f aca="false">IF(B47="","",B47/25.4)</f>
        <v/>
      </c>
      <c r="C83" s="111" t="str">
        <f aca="false">IF(C47="","",C47/25.4)</f>
        <v/>
      </c>
      <c r="D83" s="111" t="str">
        <f aca="false">IF(D47="","",D47/25.4)</f>
        <v/>
      </c>
      <c r="E83" s="110" t="str">
        <f aca="false">IF(E47="","",E47/25.4)</f>
        <v/>
      </c>
      <c r="F83" s="111" t="str">
        <f aca="false">IF(F47="","",F47/25.4)</f>
        <v/>
      </c>
      <c r="G83" s="111" t="str">
        <f aca="false">IF(G47="","",G47/25.4)</f>
        <v/>
      </c>
      <c r="H83" s="110" t="str">
        <f aca="false">IF(H47="","",H47/25.4)</f>
        <v/>
      </c>
      <c r="I83" s="111" t="str">
        <f aca="false">IF(I47="","",I47/25.4)</f>
        <v/>
      </c>
      <c r="J83" s="111" t="str">
        <f aca="false">IF(J47="","",J47/25.4)</f>
        <v/>
      </c>
      <c r="K83" s="110" t="str">
        <f aca="false">IF(K47="","",K47/25.4)</f>
        <v/>
      </c>
      <c r="L83" s="111" t="str">
        <f aca="false">IF(L47="","",L47/25.4)</f>
        <v/>
      </c>
      <c r="M83" s="111" t="str">
        <f aca="false">IF(M47="","",M47/25.4)</f>
        <v/>
      </c>
      <c r="N83" s="114" t="str">
        <f aca="false">IF(N47="","",N47)</f>
        <v/>
      </c>
    </row>
    <row r="84" customFormat="false" ht="13.2" hidden="false" customHeight="false" outlineLevel="0" collapsed="false">
      <c r="A84" s="109" t="str">
        <f aca="false">IF(A48="","",A48)</f>
        <v/>
      </c>
      <c r="B84" s="110" t="str">
        <f aca="false">IF(B48="","",B48/25.4)</f>
        <v/>
      </c>
      <c r="C84" s="111" t="str">
        <f aca="false">IF(C48="","",C48/25.4)</f>
        <v/>
      </c>
      <c r="D84" s="111" t="str">
        <f aca="false">IF(D48="","",D48/25.4)</f>
        <v/>
      </c>
      <c r="E84" s="110" t="str">
        <f aca="false">IF(E48="","",E48/25.4)</f>
        <v/>
      </c>
      <c r="F84" s="111" t="str">
        <f aca="false">IF(F48="","",F48/25.4)</f>
        <v/>
      </c>
      <c r="G84" s="111" t="str">
        <f aca="false">IF(G48="","",G48/25.4)</f>
        <v/>
      </c>
      <c r="H84" s="110" t="str">
        <f aca="false">IF(H48="","",H48/25.4)</f>
        <v/>
      </c>
      <c r="I84" s="111" t="str">
        <f aca="false">IF(I48="","",I48/25.4)</f>
        <v/>
      </c>
      <c r="J84" s="111" t="str">
        <f aca="false">IF(J48="","",J48/25.4)</f>
        <v/>
      </c>
      <c r="K84" s="110" t="str">
        <f aca="false">IF(K48="","",K48/25.4)</f>
        <v/>
      </c>
      <c r="L84" s="111" t="str">
        <f aca="false">IF(L48="","",L48/25.4)</f>
        <v/>
      </c>
      <c r="M84" s="111" t="str">
        <f aca="false">IF(M48="","",M48/25.4)</f>
        <v/>
      </c>
      <c r="N84" s="114" t="str">
        <f aca="false">IF(N48="","",N48)</f>
        <v/>
      </c>
      <c r="O84" s="131"/>
    </row>
    <row r="85" customFormat="false" ht="13.2" hidden="false" customHeight="false" outlineLevel="0" collapsed="false">
      <c r="A85" s="109" t="str">
        <f aca="false">IF(A49="","",A49)</f>
        <v/>
      </c>
      <c r="B85" s="110" t="str">
        <f aca="false">IF(B49="","",B49/25.4)</f>
        <v/>
      </c>
      <c r="C85" s="111" t="str">
        <f aca="false">IF(C49="","",C49/25.4)</f>
        <v/>
      </c>
      <c r="D85" s="111" t="str">
        <f aca="false">IF(D49="","",D49/25.4)</f>
        <v/>
      </c>
      <c r="E85" s="110" t="str">
        <f aca="false">IF(E49="","",E49/25.4)</f>
        <v/>
      </c>
      <c r="F85" s="111" t="str">
        <f aca="false">IF(F49="","",F49/25.4)</f>
        <v/>
      </c>
      <c r="G85" s="111" t="str">
        <f aca="false">IF(G49="","",G49/25.4)</f>
        <v/>
      </c>
      <c r="H85" s="110" t="str">
        <f aca="false">IF(H49="","",H49/25.4)</f>
        <v/>
      </c>
      <c r="I85" s="111" t="str">
        <f aca="false">IF(I49="","",I49/25.4)</f>
        <v/>
      </c>
      <c r="J85" s="111" t="str">
        <f aca="false">IF(J49="","",J49/25.4)</f>
        <v/>
      </c>
      <c r="K85" s="110" t="str">
        <f aca="false">IF(K49="","",K49/25.4)</f>
        <v/>
      </c>
      <c r="L85" s="111" t="str">
        <f aca="false">IF(L49="","",L49/25.4)</f>
        <v/>
      </c>
      <c r="M85" s="111" t="str">
        <f aca="false">IF(M49="","",M49/25.4)</f>
        <v/>
      </c>
      <c r="N85" s="114" t="str">
        <f aca="false">IF(N49="","",N49)</f>
        <v/>
      </c>
    </row>
    <row r="86" customFormat="false" ht="13.2" hidden="false" customHeight="false" outlineLevel="0" collapsed="false">
      <c r="A86" s="109" t="str">
        <f aca="false">IF(A50="","",A50)</f>
        <v/>
      </c>
      <c r="B86" s="110" t="str">
        <f aca="false">IF(B50="","",B50/25.4)</f>
        <v/>
      </c>
      <c r="C86" s="111" t="str">
        <f aca="false">IF(C50="","",C50/25.4)</f>
        <v/>
      </c>
      <c r="D86" s="111" t="str">
        <f aca="false">IF(D50="","",D50/25.4)</f>
        <v/>
      </c>
      <c r="E86" s="110" t="str">
        <f aca="false">IF(E50="","",E50/25.4)</f>
        <v/>
      </c>
      <c r="F86" s="111" t="str">
        <f aca="false">IF(F50="","",F50/25.4)</f>
        <v/>
      </c>
      <c r="G86" s="111" t="str">
        <f aca="false">IF(G50="","",G50/25.4)</f>
        <v/>
      </c>
      <c r="H86" s="110" t="str">
        <f aca="false">IF(H50="","",H50/25.4)</f>
        <v/>
      </c>
      <c r="I86" s="111" t="str">
        <f aca="false">IF(I50="","",I50/25.4)</f>
        <v/>
      </c>
      <c r="J86" s="111" t="str">
        <f aca="false">IF(J50="","",J50/25.4)</f>
        <v/>
      </c>
      <c r="K86" s="110" t="str">
        <f aca="false">IF(K50="","",K50/25.4)</f>
        <v/>
      </c>
      <c r="L86" s="111" t="str">
        <f aca="false">IF(L50="","",L50/25.4)</f>
        <v/>
      </c>
      <c r="M86" s="111" t="str">
        <f aca="false">IF(M50="","",M50/25.4)</f>
        <v/>
      </c>
      <c r="N86" s="114" t="str">
        <f aca="false">IF(N50="","",N50)</f>
        <v/>
      </c>
    </row>
    <row r="87" customFormat="false" ht="13.2" hidden="false" customHeight="false" outlineLevel="0" collapsed="false">
      <c r="A87" s="109" t="str">
        <f aca="false">IF(A51="","",A51)</f>
        <v/>
      </c>
      <c r="B87" s="110" t="str">
        <f aca="false">IF(B51="","",B51/25.4)</f>
        <v/>
      </c>
      <c r="C87" s="111" t="str">
        <f aca="false">IF(C51="","",C51/25.4)</f>
        <v/>
      </c>
      <c r="D87" s="111" t="str">
        <f aca="false">IF(D51="","",D51/25.4)</f>
        <v/>
      </c>
      <c r="E87" s="110" t="str">
        <f aca="false">IF(E51="","",E51/25.4)</f>
        <v/>
      </c>
      <c r="F87" s="111" t="str">
        <f aca="false">IF(F51="","",F51/25.4)</f>
        <v/>
      </c>
      <c r="G87" s="111" t="str">
        <f aca="false">IF(G51="","",G51/25.4)</f>
        <v/>
      </c>
      <c r="H87" s="110" t="str">
        <f aca="false">IF(H51="","",H51/25.4)</f>
        <v/>
      </c>
      <c r="I87" s="111" t="str">
        <f aca="false">IF(I51="","",I51/25.4)</f>
        <v/>
      </c>
      <c r="J87" s="111" t="str">
        <f aca="false">IF(J51="","",J51/25.4)</f>
        <v/>
      </c>
      <c r="K87" s="110" t="str">
        <f aca="false">IF(K51="","",K51/25.4)</f>
        <v/>
      </c>
      <c r="L87" s="111" t="str">
        <f aca="false">IF(L51="","",L51/25.4)</f>
        <v/>
      </c>
      <c r="M87" s="111" t="str">
        <f aca="false">IF(M51="","",M51/25.4)</f>
        <v/>
      </c>
      <c r="N87" s="114" t="str">
        <f aca="false">IF(N51="","",N51)</f>
        <v/>
      </c>
    </row>
    <row r="88" customFormat="false" ht="13.2" hidden="false" customHeight="false" outlineLevel="0" collapsed="false">
      <c r="A88" s="109" t="str">
        <f aca="false">IF(A52="","",A52)</f>
        <v/>
      </c>
      <c r="B88" s="110" t="str">
        <f aca="false">IF(B52="","",B52/25.4)</f>
        <v/>
      </c>
      <c r="C88" s="111" t="str">
        <f aca="false">IF(C52="","",C52/25.4)</f>
        <v/>
      </c>
      <c r="D88" s="111" t="str">
        <f aca="false">IF(D52="","",D52/25.4)</f>
        <v/>
      </c>
      <c r="E88" s="110" t="str">
        <f aca="false">IF(E52="","",E52/25.4)</f>
        <v/>
      </c>
      <c r="F88" s="111" t="str">
        <f aca="false">IF(F52="","",F52/25.4)</f>
        <v/>
      </c>
      <c r="G88" s="111" t="str">
        <f aca="false">IF(G52="","",G52/25.4)</f>
        <v/>
      </c>
      <c r="H88" s="110" t="str">
        <f aca="false">IF(H52="","",H52/25.4)</f>
        <v/>
      </c>
      <c r="I88" s="111" t="str">
        <f aca="false">IF(I52="","",I52/25.4)</f>
        <v/>
      </c>
      <c r="J88" s="111" t="str">
        <f aca="false">IF(J52="","",J52/25.4)</f>
        <v/>
      </c>
      <c r="K88" s="110" t="str">
        <f aca="false">IF(K52="","",K52/25.4)</f>
        <v/>
      </c>
      <c r="L88" s="111" t="str">
        <f aca="false">IF(L52="","",L52/25.4)</f>
        <v/>
      </c>
      <c r="M88" s="111" t="str">
        <f aca="false">IF(M52="","",M52/25.4)</f>
        <v/>
      </c>
      <c r="N88" s="114" t="str">
        <f aca="false">IF(N52="","",N52)</f>
        <v/>
      </c>
    </row>
    <row r="89" customFormat="false" ht="13.2" hidden="false" customHeight="false" outlineLevel="0" collapsed="false">
      <c r="A89" s="109" t="str">
        <f aca="false">IF(A53="","",A53)</f>
        <v/>
      </c>
      <c r="B89" s="110" t="str">
        <f aca="false">IF(B53="","",B53/25.4)</f>
        <v/>
      </c>
      <c r="C89" s="111" t="str">
        <f aca="false">IF(C53="","",C53/25.4)</f>
        <v/>
      </c>
      <c r="D89" s="111" t="str">
        <f aca="false">IF(D53="","",D53/25.4)</f>
        <v/>
      </c>
      <c r="E89" s="110" t="str">
        <f aca="false">IF(E53="","",E53/25.4)</f>
        <v/>
      </c>
      <c r="F89" s="111" t="str">
        <f aca="false">IF(F53="","",F53/25.4)</f>
        <v/>
      </c>
      <c r="G89" s="111" t="str">
        <f aca="false">IF(G53="","",G53/25.4)</f>
        <v/>
      </c>
      <c r="H89" s="110" t="str">
        <f aca="false">IF(H53="","",H53/25.4)</f>
        <v/>
      </c>
      <c r="I89" s="111" t="str">
        <f aca="false">IF(I53="","",I53/25.4)</f>
        <v/>
      </c>
      <c r="J89" s="111" t="str">
        <f aca="false">IF(J53="","",J53/25.4)</f>
        <v/>
      </c>
      <c r="K89" s="110" t="str">
        <f aca="false">IF(K53="","",K53/25.4)</f>
        <v/>
      </c>
      <c r="L89" s="111" t="str">
        <f aca="false">IF(L53="","",L53/25.4)</f>
        <v/>
      </c>
      <c r="M89" s="111" t="str">
        <f aca="false">IF(M53="","",M53/25.4)</f>
        <v/>
      </c>
      <c r="N89" s="114" t="str">
        <f aca="false">IF(N53="","",N53)</f>
        <v/>
      </c>
    </row>
    <row r="90" customFormat="false" ht="13.2" hidden="false" customHeight="false" outlineLevel="0" collapsed="false">
      <c r="A90" s="109" t="str">
        <f aca="false">IF(A54="","",A54)</f>
        <v/>
      </c>
      <c r="B90" s="110" t="str">
        <f aca="false">IF(B54="","",B54/25.4)</f>
        <v/>
      </c>
      <c r="C90" s="111" t="str">
        <f aca="false">IF(C54="","",C54/25.4)</f>
        <v/>
      </c>
      <c r="D90" s="111" t="str">
        <f aca="false">IF(D54="","",D54/25.4)</f>
        <v/>
      </c>
      <c r="E90" s="110" t="str">
        <f aca="false">IF(E54="","",E54/25.4)</f>
        <v/>
      </c>
      <c r="F90" s="111" t="str">
        <f aca="false">IF(F54="","",F54/25.4)</f>
        <v/>
      </c>
      <c r="G90" s="111" t="str">
        <f aca="false">IF(G54="","",G54/25.4)</f>
        <v/>
      </c>
      <c r="H90" s="110" t="str">
        <f aca="false">IF(H54="","",H54/25.4)</f>
        <v/>
      </c>
      <c r="I90" s="111" t="str">
        <f aca="false">IF(I54="","",I54/25.4)</f>
        <v/>
      </c>
      <c r="J90" s="111" t="str">
        <f aca="false">IF(J54="","",J54/25.4)</f>
        <v/>
      </c>
      <c r="K90" s="110" t="str">
        <f aca="false">IF(K54="","",K54/25.4)</f>
        <v/>
      </c>
      <c r="L90" s="111" t="str">
        <f aca="false">IF(L54="","",L54/25.4)</f>
        <v/>
      </c>
      <c r="M90" s="111" t="str">
        <f aca="false">IF(M54="","",M54/25.4)</f>
        <v/>
      </c>
      <c r="N90" s="114" t="str">
        <f aca="false">IF(N54="","",N54)</f>
        <v/>
      </c>
    </row>
    <row r="91" customFormat="false" ht="13.2" hidden="false" customHeight="false" outlineLevel="0" collapsed="false">
      <c r="A91" s="109" t="str">
        <f aca="false">IF(A55="","",A55)</f>
        <v/>
      </c>
      <c r="B91" s="110" t="str">
        <f aca="false">IF(B55="","",B55/25.4)</f>
        <v/>
      </c>
      <c r="C91" s="111" t="str">
        <f aca="false">IF(C55="","",C55/25.4)</f>
        <v/>
      </c>
      <c r="D91" s="111" t="str">
        <f aca="false">IF(D55="","",D55/25.4)</f>
        <v/>
      </c>
      <c r="E91" s="110" t="str">
        <f aca="false">IF(E55="","",E55/25.4)</f>
        <v/>
      </c>
      <c r="F91" s="111" t="str">
        <f aca="false">IF(F55="","",F55/25.4)</f>
        <v/>
      </c>
      <c r="G91" s="111" t="str">
        <f aca="false">IF(G55="","",G55/25.4)</f>
        <v/>
      </c>
      <c r="H91" s="110" t="str">
        <f aca="false">IF(H55="","",H55/25.4)</f>
        <v/>
      </c>
      <c r="I91" s="111" t="str">
        <f aca="false">IF(I55="","",I55/25.4)</f>
        <v/>
      </c>
      <c r="J91" s="111" t="str">
        <f aca="false">IF(J55="","",J55/25.4)</f>
        <v/>
      </c>
      <c r="K91" s="110" t="str">
        <f aca="false">IF(K55="","",K55/25.4)</f>
        <v/>
      </c>
      <c r="L91" s="111" t="str">
        <f aca="false">IF(L55="","",L55/25.4)</f>
        <v/>
      </c>
      <c r="M91" s="111" t="str">
        <f aca="false">IF(M55="","",M55/25.4)</f>
        <v/>
      </c>
      <c r="N91" s="114" t="str">
        <f aca="false">IF(N55="","",N55)</f>
        <v/>
      </c>
    </row>
    <row r="92" customFormat="false" ht="13.2" hidden="false" customHeight="false" outlineLevel="0" collapsed="false">
      <c r="A92" s="109" t="str">
        <f aca="false">IF(A56="","",A56)</f>
        <v/>
      </c>
      <c r="B92" s="110" t="str">
        <f aca="false">IF(B56="","",B56/25.4)</f>
        <v/>
      </c>
      <c r="C92" s="111" t="str">
        <f aca="false">IF(C56="","",C56/25.4)</f>
        <v/>
      </c>
      <c r="D92" s="111" t="str">
        <f aca="false">IF(D56="","",D56/25.4)</f>
        <v/>
      </c>
      <c r="E92" s="110" t="str">
        <f aca="false">IF(E56="","",E56/25.4)</f>
        <v/>
      </c>
      <c r="F92" s="111" t="str">
        <f aca="false">IF(F56="","",F56/25.4)</f>
        <v/>
      </c>
      <c r="G92" s="111" t="str">
        <f aca="false">IF(G56="","",G56/25.4)</f>
        <v/>
      </c>
      <c r="H92" s="110" t="str">
        <f aca="false">IF(H56="","",H56/25.4)</f>
        <v/>
      </c>
      <c r="I92" s="111" t="str">
        <f aca="false">IF(I56="","",I56/25.4)</f>
        <v/>
      </c>
      <c r="J92" s="111" t="str">
        <f aca="false">IF(J56="","",J56/25.4)</f>
        <v/>
      </c>
      <c r="K92" s="110" t="str">
        <f aca="false">IF(K56="","",K56/25.4)</f>
        <v/>
      </c>
      <c r="L92" s="111" t="str">
        <f aca="false">IF(L56="","",L56/25.4)</f>
        <v/>
      </c>
      <c r="M92" s="111" t="str">
        <f aca="false">IF(M56="","",M56/25.4)</f>
        <v/>
      </c>
      <c r="N92" s="114" t="str">
        <f aca="false">IF(N56="","",N56)</f>
        <v/>
      </c>
    </row>
    <row r="93" customFormat="false" ht="13.2" hidden="false" customHeight="false" outlineLevel="0" collapsed="false">
      <c r="A93" s="109" t="str">
        <f aca="false">IF(A57="","",A57)</f>
        <v/>
      </c>
      <c r="B93" s="110" t="str">
        <f aca="false">IF(B57="","",B57/25.4)</f>
        <v/>
      </c>
      <c r="C93" s="111" t="str">
        <f aca="false">IF(C57="","",C57/25.4)</f>
        <v/>
      </c>
      <c r="D93" s="111" t="str">
        <f aca="false">IF(D57="","",D57/25.4)</f>
        <v/>
      </c>
      <c r="E93" s="110" t="str">
        <f aca="false">IF(E57="","",E57/25.4)</f>
        <v/>
      </c>
      <c r="F93" s="111" t="str">
        <f aca="false">IF(F57="","",F57/25.4)</f>
        <v/>
      </c>
      <c r="G93" s="111" t="str">
        <f aca="false">IF(G57="","",G57/25.4)</f>
        <v/>
      </c>
      <c r="H93" s="110" t="str">
        <f aca="false">IF(H57="","",H57/25.4)</f>
        <v/>
      </c>
      <c r="I93" s="111" t="str">
        <f aca="false">IF(I57="","",I57/25.4)</f>
        <v/>
      </c>
      <c r="J93" s="111" t="str">
        <f aca="false">IF(J57="","",J57/25.4)</f>
        <v/>
      </c>
      <c r="K93" s="110" t="str">
        <f aca="false">IF(K57="","",K57/25.4)</f>
        <v/>
      </c>
      <c r="L93" s="111" t="str">
        <f aca="false">IF(L57="","",L57/25.4)</f>
        <v/>
      </c>
      <c r="M93" s="111" t="str">
        <f aca="false">IF(M57="","",M57/25.4)</f>
        <v/>
      </c>
      <c r="N93" s="114" t="str">
        <f aca="false">IF(N57="","",N57)</f>
        <v/>
      </c>
    </row>
    <row r="94" customFormat="false" ht="13.2" hidden="false" customHeight="false" outlineLevel="0" collapsed="false">
      <c r="A94" s="109" t="str">
        <f aca="false">IF(A58="","",A58)</f>
        <v/>
      </c>
      <c r="B94" s="110" t="str">
        <f aca="false">IF(B58="","",B58/25.4)</f>
        <v/>
      </c>
      <c r="C94" s="111" t="str">
        <f aca="false">IF(C58="","",C58/25.4)</f>
        <v/>
      </c>
      <c r="D94" s="111" t="str">
        <f aca="false">IF(D58="","",D58/25.4)</f>
        <v/>
      </c>
      <c r="E94" s="110" t="str">
        <f aca="false">IF(E58="","",E58/25.4)</f>
        <v/>
      </c>
      <c r="F94" s="111" t="str">
        <f aca="false">IF(F58="","",F58/25.4)</f>
        <v/>
      </c>
      <c r="G94" s="111" t="str">
        <f aca="false">IF(G58="","",G58/25.4)</f>
        <v/>
      </c>
      <c r="H94" s="110" t="str">
        <f aca="false">IF(H58="","",H58/25.4)</f>
        <v/>
      </c>
      <c r="I94" s="111" t="str">
        <f aca="false">IF(I58="","",I58/25.4)</f>
        <v/>
      </c>
      <c r="J94" s="111" t="str">
        <f aca="false">IF(J58="","",J58/25.4)</f>
        <v/>
      </c>
      <c r="K94" s="110" t="str">
        <f aca="false">IF(K58="","",K58/25.4)</f>
        <v/>
      </c>
      <c r="L94" s="111" t="str">
        <f aca="false">IF(L58="","",L58/25.4)</f>
        <v/>
      </c>
      <c r="M94" s="111" t="str">
        <f aca="false">IF(M58="","",M58/25.4)</f>
        <v/>
      </c>
      <c r="N94" s="114" t="str">
        <f aca="false">IF(N58="","",N58)</f>
        <v/>
      </c>
    </row>
    <row r="95" customFormat="false" ht="13.2" hidden="false" customHeight="false" outlineLevel="0" collapsed="false">
      <c r="A95" s="5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21"/>
    </row>
    <row r="96" customFormat="false" ht="13.2" hidden="false" customHeight="false" outlineLevel="0" collapsed="false">
      <c r="A96" s="12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21"/>
    </row>
    <row r="97" customFormat="false" ht="13.2" hidden="false" customHeight="false" outlineLevel="0" collapsed="false">
      <c r="A97" s="12"/>
      <c r="B97" s="123" t="s">
        <v>60</v>
      </c>
      <c r="C97" s="123"/>
      <c r="D97" s="123"/>
      <c r="E97" s="123" t="s">
        <v>62</v>
      </c>
      <c r="F97" s="123"/>
      <c r="G97" s="123"/>
      <c r="H97" s="123" t="s">
        <v>91</v>
      </c>
      <c r="I97" s="123"/>
      <c r="J97" s="123"/>
      <c r="K97" s="124" t="s">
        <v>92</v>
      </c>
      <c r="L97" s="125"/>
      <c r="M97" s="126"/>
      <c r="N97" s="21"/>
    </row>
    <row r="98" customFormat="false" ht="13.2" hidden="false" customHeight="false" outlineLevel="0" collapsed="false">
      <c r="A98" s="77" t="s">
        <v>68</v>
      </c>
      <c r="B98" s="127" t="str">
        <f aca="false">B62</f>
        <v>Steel</v>
      </c>
      <c r="C98" s="128" t="str">
        <f aca="false">C62</f>
        <v>Glass</v>
      </c>
      <c r="D98" s="128" t="str">
        <f aca="false">D62</f>
        <v>Wood</v>
      </c>
      <c r="E98" s="127" t="str">
        <f aca="false">E62</f>
        <v>Steel</v>
      </c>
      <c r="F98" s="128" t="str">
        <f aca="false">F62</f>
        <v>Glass</v>
      </c>
      <c r="G98" s="128" t="str">
        <f aca="false">G62</f>
        <v>Wood</v>
      </c>
      <c r="H98" s="127" t="str">
        <f aca="false">H62</f>
        <v>Steel</v>
      </c>
      <c r="I98" s="128" t="str">
        <f aca="false">I62</f>
        <v>Glass</v>
      </c>
      <c r="J98" s="128" t="str">
        <f aca="false">J62</f>
        <v>Wood</v>
      </c>
      <c r="K98" s="127" t="str">
        <f aca="false">K62</f>
        <v>Steel</v>
      </c>
      <c r="L98" s="128" t="str">
        <f aca="false">L62</f>
        <v>Glass</v>
      </c>
      <c r="M98" s="128" t="str">
        <f aca="false">M62</f>
        <v>Wood</v>
      </c>
      <c r="N98" s="21"/>
    </row>
    <row r="99" customFormat="false" ht="13.2" hidden="false" customHeight="false" outlineLevel="0" collapsed="false">
      <c r="A99" s="109" t="str">
        <f aca="false">A81</f>
        <v/>
      </c>
      <c r="B99" s="110" t="str">
        <f aca="false">IF(B63="","",B63/25.4)</f>
        <v/>
      </c>
      <c r="C99" s="111" t="str">
        <f aca="false">IF(C63="","",C63/25.4)</f>
        <v/>
      </c>
      <c r="D99" s="111" t="str">
        <f aca="false">IF(D63="","",D63/25.4)</f>
        <v/>
      </c>
      <c r="E99" s="110" t="str">
        <f aca="false">IF(E63="","",E63/25.4)</f>
        <v/>
      </c>
      <c r="F99" s="111" t="str">
        <f aca="false">IF(F63="","",F63/25.4)</f>
        <v/>
      </c>
      <c r="G99" s="111" t="str">
        <f aca="false">IF(G63="","",G63/25.4)</f>
        <v/>
      </c>
      <c r="H99" s="110" t="str">
        <f aca="false">IF(H63="","",H63/25.4)</f>
        <v/>
      </c>
      <c r="I99" s="111" t="str">
        <f aca="false">IF(I63="","",I63/25.4)</f>
        <v/>
      </c>
      <c r="J99" s="111" t="str">
        <f aca="false">IF(J63="","",J63/25.4)</f>
        <v/>
      </c>
      <c r="K99" s="110" t="str">
        <f aca="false">IF(K63="","",K63/25.4)</f>
        <v/>
      </c>
      <c r="L99" s="111" t="str">
        <f aca="false">IF(L63="","",L63/25.4)</f>
        <v/>
      </c>
      <c r="M99" s="111" t="str">
        <f aca="false">IF(M63="","",M63/25.4)</f>
        <v/>
      </c>
      <c r="N99" s="21"/>
    </row>
    <row r="100" customFormat="false" ht="13.2" hidden="false" customHeight="false" outlineLevel="0" collapsed="false">
      <c r="A100" s="109" t="str">
        <f aca="false">A82</f>
        <v/>
      </c>
      <c r="B100" s="110" t="str">
        <f aca="false">IF(B64="","",B64/25.4)</f>
        <v/>
      </c>
      <c r="C100" s="111" t="str">
        <f aca="false">IF(C64="","",C64/25.4)</f>
        <v/>
      </c>
      <c r="D100" s="111" t="str">
        <f aca="false">IF(D64="","",D64/25.4)</f>
        <v/>
      </c>
      <c r="E100" s="110" t="str">
        <f aca="false">IF(E64="","",E64/25.4)</f>
        <v/>
      </c>
      <c r="F100" s="111" t="str">
        <f aca="false">IF(F64="","",F64/25.4)</f>
        <v/>
      </c>
      <c r="G100" s="111" t="str">
        <f aca="false">IF(G64="","",G64/25.4)</f>
        <v/>
      </c>
      <c r="H100" s="110" t="str">
        <f aca="false">IF(H64="","",H64/25.4)</f>
        <v/>
      </c>
      <c r="I100" s="111" t="str">
        <f aca="false">IF(I64="","",I64/25.4)</f>
        <v/>
      </c>
      <c r="J100" s="111" t="str">
        <f aca="false">IF(J64="","",J64/25.4)</f>
        <v/>
      </c>
      <c r="K100" s="110" t="str">
        <f aca="false">IF(K64="","",K64/25.4)</f>
        <v/>
      </c>
      <c r="L100" s="111" t="str">
        <f aca="false">IF(L64="","",L64/25.4)</f>
        <v/>
      </c>
      <c r="M100" s="111" t="str">
        <f aca="false">IF(M64="","",M64/25.4)</f>
        <v/>
      </c>
      <c r="N100" s="21"/>
    </row>
    <row r="101" customFormat="false" ht="13.2" hidden="false" customHeight="false" outlineLevel="0" collapsed="false">
      <c r="A101" s="109" t="str">
        <f aca="false">A83</f>
        <v/>
      </c>
      <c r="B101" s="110" t="str">
        <f aca="false">IF(B65="","",B65/25.4)</f>
        <v/>
      </c>
      <c r="C101" s="111" t="str">
        <f aca="false">IF(C65="","",C65/25.4)</f>
        <v/>
      </c>
      <c r="D101" s="111" t="str">
        <f aca="false">IF(D65="","",D65/25.4)</f>
        <v/>
      </c>
      <c r="E101" s="110" t="str">
        <f aca="false">IF(E65="","",E65/25.4)</f>
        <v/>
      </c>
      <c r="F101" s="111" t="str">
        <f aca="false">IF(F65="","",F65/25.4)</f>
        <v/>
      </c>
      <c r="G101" s="111" t="str">
        <f aca="false">IF(G65="","",G65/25.4)</f>
        <v/>
      </c>
      <c r="H101" s="110" t="str">
        <f aca="false">IF(H65="","",H65/25.4)</f>
        <v/>
      </c>
      <c r="I101" s="111" t="str">
        <f aca="false">IF(I65="","",I65/25.4)</f>
        <v/>
      </c>
      <c r="J101" s="111" t="str">
        <f aca="false">IF(J65="","",J65/25.4)</f>
        <v/>
      </c>
      <c r="K101" s="110" t="str">
        <f aca="false">IF(K65="","",K65/25.4)</f>
        <v/>
      </c>
      <c r="L101" s="111" t="str">
        <f aca="false">IF(L65="","",L65/25.4)</f>
        <v/>
      </c>
      <c r="M101" s="111" t="str">
        <f aca="false">IF(M65="","",M65/25.4)</f>
        <v/>
      </c>
      <c r="N101" s="21"/>
    </row>
    <row r="102" customFormat="false" ht="13.2" hidden="false" customHeight="false" outlineLevel="0" collapsed="false">
      <c r="A102" s="109" t="str">
        <f aca="false">A84</f>
        <v/>
      </c>
      <c r="B102" s="110" t="str">
        <f aca="false">IF(B66="","",B66/25.4)</f>
        <v/>
      </c>
      <c r="C102" s="111" t="str">
        <f aca="false">IF(C66="","",C66/25.4)</f>
        <v/>
      </c>
      <c r="D102" s="111" t="str">
        <f aca="false">IF(D66="","",D66/25.4)</f>
        <v/>
      </c>
      <c r="E102" s="110" t="str">
        <f aca="false">IF(E66="","",E66/25.4)</f>
        <v/>
      </c>
      <c r="F102" s="111" t="str">
        <f aca="false">IF(F66="","",F66/25.4)</f>
        <v/>
      </c>
      <c r="G102" s="111" t="str">
        <f aca="false">IF(G66="","",G66/25.4)</f>
        <v/>
      </c>
      <c r="H102" s="110" t="str">
        <f aca="false">IF(H66="","",H66/25.4)</f>
        <v/>
      </c>
      <c r="I102" s="111" t="str">
        <f aca="false">IF(I66="","",I66/25.4)</f>
        <v/>
      </c>
      <c r="J102" s="111" t="str">
        <f aca="false">IF(J66="","",J66/25.4)</f>
        <v/>
      </c>
      <c r="K102" s="110" t="str">
        <f aca="false">IF(K66="","",K66/25.4)</f>
        <v/>
      </c>
      <c r="L102" s="111" t="str">
        <f aca="false">IF(L66="","",L66/25.4)</f>
        <v/>
      </c>
      <c r="M102" s="111" t="str">
        <f aca="false">IF(M66="","",M66/25.4)</f>
        <v/>
      </c>
      <c r="N102" s="21"/>
    </row>
    <row r="103" customFormat="false" ht="13.2" hidden="false" customHeight="false" outlineLevel="0" collapsed="false">
      <c r="A103" s="109" t="str">
        <f aca="false">A85</f>
        <v/>
      </c>
      <c r="B103" s="110" t="str">
        <f aca="false">IF(B67="","",B67/25.4)</f>
        <v/>
      </c>
      <c r="C103" s="111" t="str">
        <f aca="false">IF(C67="","",C67/25.4)</f>
        <v/>
      </c>
      <c r="D103" s="111" t="str">
        <f aca="false">IF(D67="","",D67/25.4)</f>
        <v/>
      </c>
      <c r="E103" s="110" t="str">
        <f aca="false">IF(E67="","",E67/25.4)</f>
        <v/>
      </c>
      <c r="F103" s="111" t="str">
        <f aca="false">IF(F67="","",F67/25.4)</f>
        <v/>
      </c>
      <c r="G103" s="111" t="str">
        <f aca="false">IF(G67="","",G67/25.4)</f>
        <v/>
      </c>
      <c r="H103" s="110" t="str">
        <f aca="false">IF(H67="","",H67/25.4)</f>
        <v/>
      </c>
      <c r="I103" s="111" t="str">
        <f aca="false">IF(I67="","",I67/25.4)</f>
        <v/>
      </c>
      <c r="J103" s="111" t="str">
        <f aca="false">IF(J67="","",J67/25.4)</f>
        <v/>
      </c>
      <c r="K103" s="110" t="str">
        <f aca="false">IF(K67="","",K67/25.4)</f>
        <v/>
      </c>
      <c r="L103" s="111" t="str">
        <f aca="false">IF(L67="","",L67/25.4)</f>
        <v/>
      </c>
      <c r="M103" s="111" t="str">
        <f aca="false">IF(M67="","",M67/25.4)</f>
        <v/>
      </c>
      <c r="N103" s="21"/>
    </row>
    <row r="104" customFormat="false" ht="13.2" hidden="false" customHeight="false" outlineLevel="0" collapsed="false">
      <c r="A104" s="109" t="str">
        <f aca="false">A86</f>
        <v/>
      </c>
      <c r="B104" s="110" t="str">
        <f aca="false">IF(B68="","",B68/25.4)</f>
        <v/>
      </c>
      <c r="C104" s="111" t="str">
        <f aca="false">IF(C68="","",C68/25.4)</f>
        <v/>
      </c>
      <c r="D104" s="111" t="str">
        <f aca="false">IF(D68="","",D68/25.4)</f>
        <v/>
      </c>
      <c r="E104" s="110" t="str">
        <f aca="false">IF(E68="","",E68/25.4)</f>
        <v/>
      </c>
      <c r="F104" s="111" t="str">
        <f aca="false">IF(F68="","",F68/25.4)</f>
        <v/>
      </c>
      <c r="G104" s="111" t="str">
        <f aca="false">IF(G68="","",G68/25.4)</f>
        <v/>
      </c>
      <c r="H104" s="110" t="str">
        <f aca="false">IF(H68="","",H68/25.4)</f>
        <v/>
      </c>
      <c r="I104" s="111" t="str">
        <f aca="false">IF(I68="","",I68/25.4)</f>
        <v/>
      </c>
      <c r="J104" s="111" t="str">
        <f aca="false">IF(J68="","",J68/25.4)</f>
        <v/>
      </c>
      <c r="K104" s="110" t="str">
        <f aca="false">IF(K68="","",K68/25.4)</f>
        <v/>
      </c>
      <c r="L104" s="111" t="str">
        <f aca="false">IF(L68="","",L68/25.4)</f>
        <v/>
      </c>
      <c r="M104" s="111" t="str">
        <f aca="false">IF(M68="","",M68/25.4)</f>
        <v/>
      </c>
      <c r="N104" s="21"/>
    </row>
    <row r="105" customFormat="false" ht="13.2" hidden="false" customHeight="false" outlineLevel="0" collapsed="false">
      <c r="A105" s="109" t="str">
        <f aca="false">A87</f>
        <v/>
      </c>
      <c r="B105" s="110" t="str">
        <f aca="false">IF(B69="","",B69/25.4)</f>
        <v/>
      </c>
      <c r="C105" s="111" t="str">
        <f aca="false">IF(C69="","",C69/25.4)</f>
        <v/>
      </c>
      <c r="D105" s="111" t="str">
        <f aca="false">IF(D69="","",D69/25.4)</f>
        <v/>
      </c>
      <c r="E105" s="110" t="str">
        <f aca="false">IF(E69="","",E69/25.4)</f>
        <v/>
      </c>
      <c r="F105" s="111" t="str">
        <f aca="false">IF(F69="","",F69/25.4)</f>
        <v/>
      </c>
      <c r="G105" s="111" t="str">
        <f aca="false">IF(G69="","",G69/25.4)</f>
        <v/>
      </c>
      <c r="H105" s="110" t="str">
        <f aca="false">IF(H69="","",H69/25.4)</f>
        <v/>
      </c>
      <c r="I105" s="111" t="str">
        <f aca="false">IF(I69="","",I69/25.4)</f>
        <v/>
      </c>
      <c r="J105" s="111" t="str">
        <f aca="false">IF(J69="","",J69/25.4)</f>
        <v/>
      </c>
      <c r="K105" s="110" t="str">
        <f aca="false">IF(K69="","",K69/25.4)</f>
        <v/>
      </c>
      <c r="L105" s="111" t="str">
        <f aca="false">IF(L69="","",L69/25.4)</f>
        <v/>
      </c>
      <c r="M105" s="111" t="str">
        <f aca="false">IF(M69="","",M69/25.4)</f>
        <v/>
      </c>
      <c r="N105" s="21"/>
    </row>
    <row r="106" customFormat="false" ht="13.2" hidden="false" customHeight="false" outlineLevel="0" collapsed="false">
      <c r="A106" s="109" t="str">
        <f aca="false">A88</f>
        <v/>
      </c>
      <c r="B106" s="110" t="str">
        <f aca="false">IF(B70="","",B70/25.4)</f>
        <v/>
      </c>
      <c r="C106" s="111" t="str">
        <f aca="false">IF(C70="","",C70/25.4)</f>
        <v/>
      </c>
      <c r="D106" s="111" t="str">
        <f aca="false">IF(D70="","",D70/25.4)</f>
        <v/>
      </c>
      <c r="E106" s="110" t="str">
        <f aca="false">IF(E70="","",E70/25.4)</f>
        <v/>
      </c>
      <c r="F106" s="111" t="str">
        <f aca="false">IF(F70="","",F70/25.4)</f>
        <v/>
      </c>
      <c r="G106" s="111" t="str">
        <f aca="false">IF(G70="","",G70/25.4)</f>
        <v/>
      </c>
      <c r="H106" s="110" t="str">
        <f aca="false">IF(H70="","",H70/25.4)</f>
        <v/>
      </c>
      <c r="I106" s="111" t="str">
        <f aca="false">IF(I70="","",I70/25.4)</f>
        <v/>
      </c>
      <c r="J106" s="111" t="str">
        <f aca="false">IF(J70="","",J70/25.4)</f>
        <v/>
      </c>
      <c r="K106" s="110" t="str">
        <f aca="false">IF(K70="","",K70/25.4)</f>
        <v/>
      </c>
      <c r="L106" s="111" t="str">
        <f aca="false">IF(L70="","",L70/25.4)</f>
        <v/>
      </c>
      <c r="M106" s="111" t="str">
        <f aca="false">IF(M70="","",M70/25.4)</f>
        <v/>
      </c>
      <c r="N106" s="21"/>
    </row>
    <row r="107" customFormat="false" ht="13.2" hidden="false" customHeight="false" outlineLevel="0" collapsed="false">
      <c r="A107" s="109" t="str">
        <f aca="false">A89</f>
        <v/>
      </c>
      <c r="B107" s="110" t="str">
        <f aca="false">IF(B71="","",B71/25.4)</f>
        <v/>
      </c>
      <c r="C107" s="111" t="str">
        <f aca="false">IF(C71="","",C71/25.4)</f>
        <v/>
      </c>
      <c r="D107" s="111" t="str">
        <f aca="false">IF(D71="","",D71/25.4)</f>
        <v/>
      </c>
      <c r="E107" s="110" t="str">
        <f aca="false">IF(E71="","",E71/25.4)</f>
        <v/>
      </c>
      <c r="F107" s="111" t="str">
        <f aca="false">IF(F71="","",F71/25.4)</f>
        <v/>
      </c>
      <c r="G107" s="111" t="str">
        <f aca="false">IF(G71="","",G71/25.4)</f>
        <v/>
      </c>
      <c r="H107" s="110" t="str">
        <f aca="false">IF(H71="","",H71/25.4)</f>
        <v/>
      </c>
      <c r="I107" s="111" t="str">
        <f aca="false">IF(I71="","",I71/25.4)</f>
        <v/>
      </c>
      <c r="J107" s="111" t="str">
        <f aca="false">IF(J71="","",J71/25.4)</f>
        <v/>
      </c>
      <c r="K107" s="110" t="str">
        <f aca="false">IF(K71="","",K71/25.4)</f>
        <v/>
      </c>
      <c r="L107" s="111" t="str">
        <f aca="false">IF(L71="","",L71/25.4)</f>
        <v/>
      </c>
      <c r="M107" s="111" t="str">
        <f aca="false">IF(M71="","",M71/25.4)</f>
        <v/>
      </c>
      <c r="N107" s="21"/>
    </row>
    <row r="108" customFormat="false" ht="13.2" hidden="false" customHeight="false" outlineLevel="0" collapsed="false">
      <c r="A108" s="109" t="str">
        <f aca="false">A90</f>
        <v/>
      </c>
      <c r="B108" s="110" t="str">
        <f aca="false">IF(B72="","",B72/25.4)</f>
        <v/>
      </c>
      <c r="C108" s="111" t="str">
        <f aca="false">IF(C72="","",C72/25.4)</f>
        <v/>
      </c>
      <c r="D108" s="111" t="str">
        <f aca="false">IF(D72="","",D72/25.4)</f>
        <v/>
      </c>
      <c r="E108" s="110" t="str">
        <f aca="false">IF(E72="","",E72/25.4)</f>
        <v/>
      </c>
      <c r="F108" s="111" t="str">
        <f aca="false">IF(F72="","",F72/25.4)</f>
        <v/>
      </c>
      <c r="G108" s="111" t="str">
        <f aca="false">IF(G72="","",G72/25.4)</f>
        <v/>
      </c>
      <c r="H108" s="110" t="str">
        <f aca="false">IF(H72="","",H72/25.4)</f>
        <v/>
      </c>
      <c r="I108" s="111" t="str">
        <f aca="false">IF(I72="","",I72/25.4)</f>
        <v/>
      </c>
      <c r="J108" s="111" t="str">
        <f aca="false">IF(J72="","",J72/25.4)</f>
        <v/>
      </c>
      <c r="K108" s="110" t="str">
        <f aca="false">IF(K72="","",K72/25.4)</f>
        <v/>
      </c>
      <c r="L108" s="111" t="str">
        <f aca="false">IF(L72="","",L72/25.4)</f>
        <v/>
      </c>
      <c r="M108" s="111" t="str">
        <f aca="false">IF(M72="","",M72/25.4)</f>
        <v/>
      </c>
      <c r="N108" s="21"/>
    </row>
    <row r="109" customFormat="false" ht="13.2" hidden="false" customHeight="false" outlineLevel="0" collapsed="false">
      <c r="A109" s="109" t="str">
        <f aca="false">A91</f>
        <v/>
      </c>
      <c r="B109" s="110" t="str">
        <f aca="false">IF(B73="","",B73/25.4)</f>
        <v/>
      </c>
      <c r="C109" s="111" t="str">
        <f aca="false">IF(C73="","",C73/25.4)</f>
        <v/>
      </c>
      <c r="D109" s="111" t="str">
        <f aca="false">IF(D73="","",D73/25.4)</f>
        <v/>
      </c>
      <c r="E109" s="110" t="str">
        <f aca="false">IF(E73="","",E73/25.4)</f>
        <v/>
      </c>
      <c r="F109" s="111" t="str">
        <f aca="false">IF(F73="","",F73/25.4)</f>
        <v/>
      </c>
      <c r="G109" s="111" t="str">
        <f aca="false">IF(G73="","",G73/25.4)</f>
        <v/>
      </c>
      <c r="H109" s="110" t="str">
        <f aca="false">IF(H73="","",H73/25.4)</f>
        <v/>
      </c>
      <c r="I109" s="111" t="str">
        <f aca="false">IF(I73="","",I73/25.4)</f>
        <v/>
      </c>
      <c r="J109" s="111" t="str">
        <f aca="false">IF(J73="","",J73/25.4)</f>
        <v/>
      </c>
      <c r="K109" s="110" t="str">
        <f aca="false">IF(K73="","",K73/25.4)</f>
        <v/>
      </c>
      <c r="L109" s="111" t="str">
        <f aca="false">IF(L73="","",L73/25.4)</f>
        <v/>
      </c>
      <c r="M109" s="111" t="str">
        <f aca="false">IF(M73="","",M73/25.4)</f>
        <v/>
      </c>
      <c r="N109" s="21"/>
    </row>
    <row r="110" customFormat="false" ht="13.2" hidden="false" customHeight="false" outlineLevel="0" collapsed="false">
      <c r="A110" s="109" t="str">
        <f aca="false">A92</f>
        <v/>
      </c>
      <c r="B110" s="110" t="str">
        <f aca="false">IF(B74="","",B74/25.4)</f>
        <v/>
      </c>
      <c r="C110" s="111" t="str">
        <f aca="false">IF(C74="","",C74/25.4)</f>
        <v/>
      </c>
      <c r="D110" s="111" t="str">
        <f aca="false">IF(D74="","",D74/25.4)</f>
        <v/>
      </c>
      <c r="E110" s="110" t="str">
        <f aca="false">IF(E74="","",E74/25.4)</f>
        <v/>
      </c>
      <c r="F110" s="111" t="str">
        <f aca="false">IF(F74="","",F74/25.4)</f>
        <v/>
      </c>
      <c r="G110" s="111" t="str">
        <f aca="false">IF(G74="","",G74/25.4)</f>
        <v/>
      </c>
      <c r="H110" s="110" t="str">
        <f aca="false">IF(H74="","",H74/25.4)</f>
        <v/>
      </c>
      <c r="I110" s="111" t="str">
        <f aca="false">IF(I74="","",I74/25.4)</f>
        <v/>
      </c>
      <c r="J110" s="111" t="str">
        <f aca="false">IF(J74="","",J74/25.4)</f>
        <v/>
      </c>
      <c r="K110" s="110" t="str">
        <f aca="false">IF(K74="","",K74/25.4)</f>
        <v/>
      </c>
      <c r="L110" s="111" t="str">
        <f aca="false">IF(L74="","",L74/25.4)</f>
        <v/>
      </c>
      <c r="M110" s="111" t="str">
        <f aca="false">IF(M74="","",M74/25.4)</f>
        <v/>
      </c>
      <c r="N110" s="21"/>
    </row>
    <row r="111" customFormat="false" ht="13.2" hidden="false" customHeight="false" outlineLevel="0" collapsed="false">
      <c r="A111" s="109" t="str">
        <f aca="false">A93</f>
        <v/>
      </c>
      <c r="B111" s="110" t="str">
        <f aca="false">IF(B75="","",B75/25.4)</f>
        <v/>
      </c>
      <c r="C111" s="111" t="str">
        <f aca="false">IF(C75="","",C75/25.4)</f>
        <v/>
      </c>
      <c r="D111" s="111" t="str">
        <f aca="false">IF(D75="","",D75/25.4)</f>
        <v/>
      </c>
      <c r="E111" s="110" t="str">
        <f aca="false">IF(E75="","",E75/25.4)</f>
        <v/>
      </c>
      <c r="F111" s="111" t="str">
        <f aca="false">IF(F75="","",F75/25.4)</f>
        <v/>
      </c>
      <c r="G111" s="111" t="str">
        <f aca="false">IF(G75="","",G75/25.4)</f>
        <v/>
      </c>
      <c r="H111" s="110" t="str">
        <f aca="false">IF(H75="","",H75/25.4)</f>
        <v/>
      </c>
      <c r="I111" s="111" t="str">
        <f aca="false">IF(I75="","",I75/25.4)</f>
        <v/>
      </c>
      <c r="J111" s="111" t="str">
        <f aca="false">IF(J75="","",J75/25.4)</f>
        <v/>
      </c>
      <c r="K111" s="110" t="str">
        <f aca="false">IF(K75="","",K75/25.4)</f>
        <v/>
      </c>
      <c r="L111" s="111" t="str">
        <f aca="false">IF(L75="","",L75/25.4)</f>
        <v/>
      </c>
      <c r="M111" s="111" t="str">
        <f aca="false">IF(M75="","",M75/25.4)</f>
        <v/>
      </c>
      <c r="N111" s="21"/>
    </row>
    <row r="112" customFormat="false" ht="13.2" hidden="false" customHeight="false" outlineLevel="0" collapsed="false">
      <c r="A112" s="109" t="str">
        <f aca="false">A94</f>
        <v/>
      </c>
      <c r="B112" s="110" t="str">
        <f aca="false">IF(B76="","",B76/25.4)</f>
        <v/>
      </c>
      <c r="C112" s="111" t="str">
        <f aca="false">IF(C76="","",C76/25.4)</f>
        <v/>
      </c>
      <c r="D112" s="111" t="str">
        <f aca="false">IF(D76="","",D76/25.4)</f>
        <v/>
      </c>
      <c r="E112" s="110" t="str">
        <f aca="false">IF(E76="","",E76/25.4)</f>
        <v/>
      </c>
      <c r="F112" s="111" t="str">
        <f aca="false">IF(F76="","",F76/25.4)</f>
        <v/>
      </c>
      <c r="G112" s="111" t="str">
        <f aca="false">IF(G76="","",G76/25.4)</f>
        <v/>
      </c>
      <c r="H112" s="110" t="str">
        <f aca="false">IF(H76="","",H76/25.4)</f>
        <v/>
      </c>
      <c r="I112" s="111" t="str">
        <f aca="false">IF(I76="","",I76/25.4)</f>
        <v/>
      </c>
      <c r="J112" s="111" t="str">
        <f aca="false">IF(J76="","",J76/25.4)</f>
        <v/>
      </c>
      <c r="K112" s="110" t="str">
        <f aca="false">IF(K76="","",K76/25.4)</f>
        <v/>
      </c>
      <c r="L112" s="111" t="str">
        <f aca="false">IF(L76="","",L76/25.4)</f>
        <v/>
      </c>
      <c r="M112" s="111" t="str">
        <f aca="false">IF(M76="","",M76/25.4)</f>
        <v/>
      </c>
      <c r="N112" s="21"/>
    </row>
  </sheetData>
  <mergeCells count="23">
    <mergeCell ref="X12:AA12"/>
    <mergeCell ref="X13:AA13"/>
    <mergeCell ref="B24:E24"/>
    <mergeCell ref="O42:AD42"/>
    <mergeCell ref="AE42:AT42"/>
    <mergeCell ref="B43:D43"/>
    <mergeCell ref="E43:G43"/>
    <mergeCell ref="H43:J43"/>
    <mergeCell ref="P44:R44"/>
    <mergeCell ref="U44:W44"/>
    <mergeCell ref="Z44:AB44"/>
    <mergeCell ref="AE44:AG44"/>
    <mergeCell ref="AJ44:AL44"/>
    <mergeCell ref="AO44:AQ44"/>
    <mergeCell ref="B61:D61"/>
    <mergeCell ref="E61:G61"/>
    <mergeCell ref="H61:J61"/>
    <mergeCell ref="B79:D79"/>
    <mergeCell ref="E79:G79"/>
    <mergeCell ref="H79:J79"/>
    <mergeCell ref="B97:D97"/>
    <mergeCell ref="E97:G97"/>
    <mergeCell ref="H97:J97"/>
  </mergeCells>
  <printOptions headings="false" gridLines="false" gridLinesSet="true" horizontalCentered="true" verticalCentered="false"/>
  <pageMargins left="0.25" right="0.25" top="0.5" bottom="0.5" header="0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&amp;P&amp;R&amp;D</oddFooter>
  </headerFooter>
  <rowBreaks count="2" manualBreakCount="2">
    <brk id="40" man="true" max="16383" min="0"/>
    <brk id="76" man="true" max="16383" min="0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1.99"/>
  </cols>
  <sheetData>
    <row r="1" customFormat="false" ht="13.2" hidden="false" customHeight="false" outlineLevel="0" collapsed="false">
      <c r="A1" s="342" t="s">
        <v>355</v>
      </c>
    </row>
    <row r="2" customFormat="false" ht="13.2" hidden="false" customHeight="false" outlineLevel="0" collapsed="false">
      <c r="A2" s="342" t="s">
        <v>356</v>
      </c>
    </row>
    <row r="3" customFormat="false" ht="24" hidden="false" customHeight="true" outlineLevel="0" collapsed="false">
      <c r="C3" s="347" t="s">
        <v>357</v>
      </c>
      <c r="D3" s="347"/>
      <c r="E3" s="347" t="s">
        <v>358</v>
      </c>
      <c r="F3" s="347"/>
    </row>
    <row r="4" s="343" customFormat="true" ht="23.25" hidden="false" customHeight="true" outlineLevel="0" collapsed="false">
      <c r="A4" s="344" t="s">
        <v>359</v>
      </c>
      <c r="B4" s="344" t="s">
        <v>360</v>
      </c>
      <c r="C4" s="344" t="s">
        <v>361</v>
      </c>
      <c r="D4" s="344" t="s">
        <v>362</v>
      </c>
      <c r="E4" s="344" t="s">
        <v>361</v>
      </c>
      <c r="F4" s="344" t="s">
        <v>362</v>
      </c>
    </row>
    <row r="5" customFormat="false" ht="13.2" hidden="false" customHeight="false" outlineLevel="0" collapsed="false">
      <c r="A5" s="0" t="s">
        <v>363</v>
      </c>
      <c r="B5" s="72" t="n">
        <f aca="false">'NCRP147_4.2'!C29</f>
        <v>0.60091</v>
      </c>
      <c r="C5" s="0" t="n">
        <v>120</v>
      </c>
      <c r="D5" s="0" t="n">
        <v>160</v>
      </c>
      <c r="E5" s="348" t="n">
        <f aca="false">B5*C5</f>
        <v>72.1092</v>
      </c>
      <c r="F5" s="348" t="n">
        <f aca="false">B5*D5</f>
        <v>96.1456</v>
      </c>
    </row>
    <row r="6" customFormat="false" ht="13.2" hidden="false" customHeight="false" outlineLevel="0" collapsed="false">
      <c r="A6" s="0" t="s">
        <v>346</v>
      </c>
      <c r="B6" s="72" t="n">
        <f aca="false">'NCRP147_4.2'!D29</f>
        <v>1.850771</v>
      </c>
      <c r="C6" s="0" t="n">
        <v>120</v>
      </c>
      <c r="D6" s="0" t="n">
        <v>160</v>
      </c>
      <c r="E6" s="348" t="n">
        <f aca="false">B6*C6</f>
        <v>222.09252</v>
      </c>
      <c r="F6" s="348" t="n">
        <f aca="false">B6*D6</f>
        <v>296.12336</v>
      </c>
    </row>
    <row r="7" customFormat="false" ht="13.2" hidden="false" customHeight="false" outlineLevel="0" collapsed="false">
      <c r="A7" s="0" t="s">
        <v>349</v>
      </c>
      <c r="B7" s="72" t="n">
        <f aca="false">'NCRP147_4.2'!G29</f>
        <v>0.215843</v>
      </c>
      <c r="C7" s="0" t="n">
        <v>200</v>
      </c>
      <c r="D7" s="0" t="n">
        <v>400</v>
      </c>
      <c r="E7" s="348" t="n">
        <f aca="false">B7*C7</f>
        <v>43.1686</v>
      </c>
      <c r="F7" s="348" t="n">
        <f aca="false">B7*D7</f>
        <v>86.3372</v>
      </c>
    </row>
    <row r="8" customFormat="false" ht="13.2" hidden="false" customHeight="false" outlineLevel="0" collapsed="false">
      <c r="A8" s="0" t="s">
        <v>347</v>
      </c>
      <c r="B8" s="72" t="n">
        <f aca="false">'NCRP147_4.2'!E29</f>
        <v>12.8934</v>
      </c>
      <c r="C8" s="0" t="n">
        <v>20</v>
      </c>
      <c r="D8" s="0" t="n">
        <v>30</v>
      </c>
      <c r="E8" s="348" t="n">
        <f aca="false">B8*C8</f>
        <v>257.868</v>
      </c>
      <c r="F8" s="348" t="n">
        <f aca="false">B8*D8</f>
        <v>386.802</v>
      </c>
    </row>
    <row r="9" customFormat="false" ht="13.2" hidden="false" customHeight="false" outlineLevel="0" collapsed="false">
      <c r="A9" s="0" t="s">
        <v>348</v>
      </c>
      <c r="B9" s="72" t="n">
        <f aca="false">'NCRP147_4.2'!F29</f>
        <v>1.509999</v>
      </c>
      <c r="C9" s="0" t="n">
        <v>25</v>
      </c>
      <c r="D9" s="0" t="n">
        <v>40</v>
      </c>
      <c r="E9" s="348" t="n">
        <f aca="false">B9*C9</f>
        <v>37.749975</v>
      </c>
      <c r="F9" s="348" t="n">
        <f aca="false">B9*D9</f>
        <v>60.39996</v>
      </c>
    </row>
    <row r="10" customFormat="false" ht="13.2" hidden="false" customHeight="false" outlineLevel="0" collapsed="false">
      <c r="A10" s="0" t="s">
        <v>364</v>
      </c>
      <c r="B10" s="72" t="n">
        <f aca="false">'NCRP147_4.2'!H29</f>
        <v>6.695</v>
      </c>
      <c r="C10" s="0" t="n">
        <v>80</v>
      </c>
      <c r="D10" s="0" t="n">
        <v>160</v>
      </c>
      <c r="E10" s="348" t="n">
        <f aca="false">B10*C10</f>
        <v>535.6</v>
      </c>
      <c r="F10" s="348" t="n">
        <f aca="false">B10*D10</f>
        <v>1071.2</v>
      </c>
    </row>
    <row r="11" customFormat="false" ht="13.2" hidden="false" customHeight="false" outlineLevel="0" collapsed="false">
      <c r="A11" s="0" t="s">
        <v>351</v>
      </c>
      <c r="B11" s="72" t="n">
        <f aca="false">'NCRP147_4.2'!I29</f>
        <v>159.561</v>
      </c>
      <c r="C11" s="0" t="n">
        <v>20</v>
      </c>
      <c r="D11" s="0" t="n">
        <v>30</v>
      </c>
      <c r="E11" s="348" t="n">
        <f aca="false">B11*C11</f>
        <v>3191.22</v>
      </c>
      <c r="F11" s="348" t="n">
        <f aca="false">B11*D11</f>
        <v>4786.83</v>
      </c>
    </row>
    <row r="12" customFormat="false" ht="13.2" hidden="false" customHeight="false" outlineLevel="0" collapsed="false">
      <c r="A12" s="0" t="s">
        <v>352</v>
      </c>
      <c r="B12" s="72" t="n">
        <f aca="false">'NCRP147_4.2'!J29</f>
        <v>64.1744</v>
      </c>
      <c r="C12" s="0" t="n">
        <v>20</v>
      </c>
      <c r="D12" s="0" t="n">
        <v>30</v>
      </c>
      <c r="E12" s="348" t="n">
        <f aca="false">B12*C12</f>
        <v>1283.488</v>
      </c>
      <c r="F12" s="348" t="n">
        <f aca="false">B12*D12</f>
        <v>1925.232</v>
      </c>
    </row>
  </sheetData>
  <mergeCells count="2">
    <mergeCell ref="C3:D3"/>
    <mergeCell ref="E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0.31"/>
    <col collapsed="false" customWidth="true" hidden="false" outlineLevel="0" max="2" min="2" style="0" width="12.78"/>
  </cols>
  <sheetData>
    <row r="1" customFormat="false" ht="13.2" hidden="false" customHeight="false" outlineLevel="0" collapsed="false">
      <c r="A1" s="342" t="s">
        <v>365</v>
      </c>
    </row>
    <row r="3" customFormat="false" ht="13.2" hidden="false" customHeight="false" outlineLevel="0" collapsed="false">
      <c r="A3" s="0" t="s">
        <v>68</v>
      </c>
      <c r="B3" s="0" t="s">
        <v>366</v>
      </c>
    </row>
    <row r="4" customFormat="false" ht="13.2" hidden="false" customHeight="false" outlineLevel="0" collapsed="false">
      <c r="A4" s="0" t="s">
        <v>147</v>
      </c>
      <c r="B4" s="0" t="n">
        <v>0.89</v>
      </c>
    </row>
    <row r="5" customFormat="false" ht="13.2" hidden="false" customHeight="false" outlineLevel="0" collapsed="false">
      <c r="A5" s="0" t="s">
        <v>367</v>
      </c>
      <c r="B5" s="0" t="n">
        <v>0.09</v>
      </c>
    </row>
    <row r="6" customFormat="false" ht="13.2" hidden="false" customHeight="false" outlineLevel="0" collapsed="false">
      <c r="A6" s="0" t="s">
        <v>368</v>
      </c>
      <c r="B6" s="0" t="n">
        <v>0.02</v>
      </c>
    </row>
    <row r="7" customFormat="false" ht="13.2" hidden="false" customHeight="false" outlineLevel="0" collapsed="false">
      <c r="A7" s="0" t="s">
        <v>369</v>
      </c>
      <c r="B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6.78"/>
    <col collapsed="false" customWidth="true" hidden="false" outlineLevel="0" max="2" min="2" style="0" width="12.33"/>
  </cols>
  <sheetData>
    <row r="1" customFormat="false" ht="13.2" hidden="false" customHeight="false" outlineLevel="0" collapsed="false">
      <c r="A1" s="67" t="s">
        <v>370</v>
      </c>
    </row>
    <row r="3" customFormat="false" ht="26.4" hidden="false" customHeight="false" outlineLevel="0" collapsed="false">
      <c r="A3" s="344" t="s">
        <v>371</v>
      </c>
      <c r="B3" s="344" t="s">
        <v>372</v>
      </c>
      <c r="C3" s="344" t="s">
        <v>373</v>
      </c>
    </row>
    <row r="4" customFormat="false" ht="13.2" hidden="false" customHeight="false" outlineLevel="0" collapsed="false">
      <c r="A4" s="0" t="s">
        <v>363</v>
      </c>
      <c r="B4" s="0" t="n">
        <v>0.6</v>
      </c>
      <c r="C4" s="0" t="n">
        <v>2.3</v>
      </c>
    </row>
    <row r="5" customFormat="false" ht="13.2" hidden="false" customHeight="false" outlineLevel="0" collapsed="false">
      <c r="A5" s="0" t="s">
        <v>346</v>
      </c>
      <c r="B5" s="0" t="n">
        <v>1.9</v>
      </c>
      <c r="C5" s="0" t="n">
        <v>5.2</v>
      </c>
    </row>
    <row r="6" customFormat="false" ht="13.2" hidden="false" customHeight="false" outlineLevel="0" collapsed="false">
      <c r="A6" s="0" t="s">
        <v>348</v>
      </c>
      <c r="B6" s="0" t="n">
        <v>1.5</v>
      </c>
      <c r="C6" s="0" t="n">
        <v>5.9</v>
      </c>
    </row>
    <row r="7" customFormat="false" ht="13.2" hidden="false" customHeight="false" outlineLevel="0" collapsed="false">
      <c r="A7" s="0" t="s">
        <v>349</v>
      </c>
      <c r="B7" s="0" t="n">
        <v>0.22</v>
      </c>
      <c r="C7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6.44"/>
    <col collapsed="false" customWidth="true" hidden="false" outlineLevel="0" max="9" min="9" style="0" width="13"/>
  </cols>
  <sheetData>
    <row r="1" customFormat="false" ht="13.2" hidden="false" customHeight="false" outlineLevel="0" collapsed="false">
      <c r="A1" s="342" t="s">
        <v>374</v>
      </c>
    </row>
    <row r="2" customFormat="false" ht="13.2" hidden="false" customHeight="false" outlineLevel="0" collapsed="false">
      <c r="A2" s="342" t="s">
        <v>375</v>
      </c>
    </row>
    <row r="3" customFormat="false" ht="13.2" hidden="false" customHeight="false" outlineLevel="0" collapsed="false">
      <c r="A3" s="342" t="s">
        <v>376</v>
      </c>
    </row>
    <row r="4" customFormat="false" ht="13.2" hidden="false" customHeight="false" outlineLevel="0" collapsed="false">
      <c r="A4" s="342" t="s">
        <v>377</v>
      </c>
    </row>
    <row r="5" customFormat="false" ht="13.2" hidden="false" customHeight="false" outlineLevel="0" collapsed="false">
      <c r="A5" s="342" t="s">
        <v>378</v>
      </c>
    </row>
    <row r="6" customFormat="false" ht="13.2" hidden="false" customHeight="false" outlineLevel="0" collapsed="false">
      <c r="E6" s="29" t="s">
        <v>379</v>
      </c>
      <c r="F6" s="29"/>
      <c r="G6" s="29"/>
      <c r="H6" s="29"/>
      <c r="I6" s="29"/>
    </row>
    <row r="7" s="343" customFormat="true" ht="37.5" hidden="false" customHeight="true" outlineLevel="0" collapsed="false">
      <c r="A7" s="344" t="s">
        <v>371</v>
      </c>
      <c r="B7" s="344" t="s">
        <v>380</v>
      </c>
      <c r="C7" s="344" t="s">
        <v>381</v>
      </c>
      <c r="D7" s="344" t="s">
        <v>382</v>
      </c>
      <c r="E7" s="344" t="s">
        <v>91</v>
      </c>
      <c r="F7" s="344" t="s">
        <v>383</v>
      </c>
      <c r="G7" s="344" t="s">
        <v>384</v>
      </c>
      <c r="H7" s="344" t="s">
        <v>385</v>
      </c>
      <c r="I7" s="344" t="s">
        <v>386</v>
      </c>
    </row>
    <row r="8" customFormat="false" ht="13.2" hidden="false" customHeight="false" outlineLevel="0" collapsed="false">
      <c r="A8" s="0" t="s">
        <v>344</v>
      </c>
      <c r="B8" s="72" t="n">
        <f aca="false">'NCRP147_4.2'!B29</f>
        <v>2.452478</v>
      </c>
      <c r="C8" s="0" t="n">
        <v>1000</v>
      </c>
      <c r="D8" s="0" t="n">
        <v>1</v>
      </c>
      <c r="E8" s="0" t="n">
        <v>0.00053</v>
      </c>
      <c r="F8" s="0" t="n">
        <v>0.034</v>
      </c>
      <c r="G8" s="0" t="n">
        <f aca="false">SUM(E8:F8)</f>
        <v>0.03453</v>
      </c>
      <c r="H8" s="0" t="n">
        <v>0.048</v>
      </c>
      <c r="I8" s="0" t="n">
        <f aca="false">E8+H8</f>
        <v>0.04853</v>
      </c>
    </row>
    <row r="9" customFormat="false" ht="13.2" hidden="false" customHeight="false" outlineLevel="0" collapsed="false">
      <c r="A9" s="0" t="s">
        <v>345</v>
      </c>
      <c r="B9" s="72" t="n">
        <f aca="false">'NCRP147_4.2'!C29</f>
        <v>0.60091</v>
      </c>
      <c r="C9" s="0" t="n">
        <v>1535</v>
      </c>
      <c r="D9" s="0" t="n">
        <v>1.83</v>
      </c>
      <c r="E9" s="0" t="n">
        <v>0.00039</v>
      </c>
      <c r="F9" s="0" t="n">
        <v>0.0049</v>
      </c>
      <c r="G9" s="0" t="n">
        <f aca="false">SUM(E9:F9)</f>
        <v>0.00529</v>
      </c>
      <c r="H9" s="0" t="n">
        <v>0.0069</v>
      </c>
      <c r="I9" s="0" t="n">
        <f aca="false">E9+H9</f>
        <v>0.00729</v>
      </c>
    </row>
    <row r="10" customFormat="false" ht="13.2" hidden="false" customHeight="false" outlineLevel="0" collapsed="false">
      <c r="A10" s="0" t="s">
        <v>346</v>
      </c>
      <c r="B10" s="72" t="n">
        <f aca="false">'NCRP147_4.2'!D29</f>
        <v>1.850771</v>
      </c>
      <c r="C10" s="0" t="n">
        <v>1000</v>
      </c>
      <c r="D10" s="0" t="n">
        <v>1</v>
      </c>
      <c r="E10" s="0" t="n">
        <v>0.00014</v>
      </c>
      <c r="F10" s="0" t="n">
        <v>0.023</v>
      </c>
      <c r="G10" s="0" t="n">
        <f aca="false">SUM(E10:F10)</f>
        <v>0.02314</v>
      </c>
      <c r="H10" s="0" t="n">
        <v>0.033</v>
      </c>
      <c r="I10" s="0" t="n">
        <f aca="false">E10+H10</f>
        <v>0.03314</v>
      </c>
    </row>
    <row r="11" customFormat="false" ht="13.2" hidden="false" customHeight="false" outlineLevel="0" collapsed="false">
      <c r="A11" s="0" t="s">
        <v>347</v>
      </c>
      <c r="B11" s="72" t="n">
        <f aca="false">'NCRP147_4.2'!E29</f>
        <v>12.8934</v>
      </c>
      <c r="C11" s="0" t="n">
        <v>730</v>
      </c>
      <c r="D11" s="0" t="n">
        <v>0.8</v>
      </c>
      <c r="E11" s="0" t="n">
        <v>0.012</v>
      </c>
      <c r="F11" s="0" t="n">
        <v>0.31</v>
      </c>
      <c r="G11" s="0" t="n">
        <f aca="false">SUM(E11:F11)</f>
        <v>0.322</v>
      </c>
      <c r="H11" s="0" t="n">
        <v>0.44</v>
      </c>
      <c r="I11" s="0" t="n">
        <f aca="false">E11+H11</f>
        <v>0.452</v>
      </c>
    </row>
    <row r="12" customFormat="false" ht="13.2" hidden="false" customHeight="false" outlineLevel="0" collapsed="false">
      <c r="A12" s="0" t="s">
        <v>348</v>
      </c>
      <c r="B12" s="72" t="n">
        <f aca="false">'NCRP147_4.2'!F29</f>
        <v>1.509999</v>
      </c>
      <c r="C12" s="0" t="n">
        <v>1000</v>
      </c>
      <c r="D12" s="0" t="n">
        <v>1</v>
      </c>
      <c r="E12" s="0" t="n">
        <v>0.00094</v>
      </c>
      <c r="F12" s="0" t="n">
        <v>0.028</v>
      </c>
      <c r="G12" s="0" t="n">
        <f aca="false">SUM(E12:F12)</f>
        <v>0.02894</v>
      </c>
      <c r="H12" s="0" t="n">
        <v>0.039</v>
      </c>
      <c r="I12" s="0" t="n">
        <f aca="false">E12+H12</f>
        <v>0.03994</v>
      </c>
    </row>
    <row r="13" customFormat="false" ht="13.2" hidden="false" customHeight="false" outlineLevel="0" collapsed="false">
      <c r="A13" s="0" t="s">
        <v>349</v>
      </c>
      <c r="B13" s="72" t="n">
        <f aca="false">'NCRP147_4.2'!G29</f>
        <v>0.215843</v>
      </c>
      <c r="C13" s="0" t="n">
        <v>1535</v>
      </c>
      <c r="D13" s="0" t="n">
        <v>2</v>
      </c>
      <c r="E13" s="0" t="n">
        <v>0.00038</v>
      </c>
      <c r="F13" s="0" t="n">
        <v>0.0023</v>
      </c>
      <c r="G13" s="0" t="n">
        <f aca="false">SUM(E13:F13)</f>
        <v>0.00268</v>
      </c>
      <c r="H13" s="0" t="n">
        <v>0.0032</v>
      </c>
      <c r="I13" s="0" t="n">
        <f aca="false">E13+H13</f>
        <v>0.00358</v>
      </c>
    </row>
    <row r="14" customFormat="false" ht="13.2" hidden="false" customHeight="false" outlineLevel="0" collapsed="false">
      <c r="A14" s="0" t="s">
        <v>350</v>
      </c>
      <c r="B14" s="72" t="n">
        <f aca="false">'NCRP147_4.2'!H29</f>
        <v>6.695</v>
      </c>
      <c r="C14" s="0" t="n">
        <v>720</v>
      </c>
      <c r="D14" s="0" t="n">
        <v>0.58</v>
      </c>
      <c r="E14" s="0" t="n">
        <v>1.1E-005</v>
      </c>
      <c r="F14" s="0" t="n">
        <v>0.011</v>
      </c>
      <c r="G14" s="0" t="n">
        <f aca="false">SUM(E14:F14)</f>
        <v>0.011011</v>
      </c>
      <c r="H14" s="0" t="n">
        <v>0.049</v>
      </c>
      <c r="I14" s="0" t="n">
        <f aca="false">E14+H14</f>
        <v>0.049011</v>
      </c>
    </row>
    <row r="15" customFormat="false" ht="13.2" hidden="false" customHeight="false" outlineLevel="0" collapsed="false">
      <c r="A15" s="0" t="s">
        <v>351</v>
      </c>
      <c r="B15" s="72" t="n">
        <f aca="false">'NCRP147_4.2'!I29</f>
        <v>159.561</v>
      </c>
      <c r="C15" s="0" t="n">
        <v>730</v>
      </c>
      <c r="D15" s="0" t="n">
        <v>0.9</v>
      </c>
      <c r="E15" s="0" t="n">
        <v>0.088</v>
      </c>
      <c r="F15" s="0" t="n">
        <v>2.6</v>
      </c>
      <c r="G15" s="0" t="n">
        <f aca="false">SUM(E15:F15)</f>
        <v>2.688</v>
      </c>
      <c r="H15" s="0" t="n">
        <v>3.7</v>
      </c>
      <c r="I15" s="0" t="n">
        <f aca="false">E15+H15</f>
        <v>3.788</v>
      </c>
    </row>
    <row r="16" customFormat="false" ht="13.2" hidden="false" customHeight="false" outlineLevel="0" collapsed="false">
      <c r="A16" s="0" t="s">
        <v>352</v>
      </c>
      <c r="B16" s="72" t="n">
        <f aca="false">'NCRP147_4.2'!J29</f>
        <v>64.1744</v>
      </c>
      <c r="C16" s="0" t="n">
        <v>730</v>
      </c>
      <c r="D16" s="0" t="n">
        <v>0.9</v>
      </c>
      <c r="E16" s="0" t="n">
        <v>0.0034</v>
      </c>
      <c r="F16" s="0" t="n">
        <v>0.66</v>
      </c>
      <c r="G16" s="0" t="n">
        <f aca="false">SUM(E16:F16)</f>
        <v>0.6634</v>
      </c>
      <c r="H16" s="0" t="n">
        <v>0.95</v>
      </c>
      <c r="I16" s="0" t="n">
        <f aca="false">E16+H16</f>
        <v>0.9534</v>
      </c>
    </row>
  </sheetData>
  <mergeCells count="1">
    <mergeCell ref="E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12.45"/>
  </cols>
  <sheetData>
    <row r="1" customFormat="false" ht="13.2" hidden="false" customHeight="false" outlineLevel="0" collapsed="false">
      <c r="A1" s="342" t="s">
        <v>387</v>
      </c>
    </row>
    <row r="2" customFormat="false" ht="13.2" hidden="false" customHeight="false" outlineLevel="0" collapsed="false">
      <c r="A2" s="342" t="s">
        <v>388</v>
      </c>
    </row>
    <row r="4" customFormat="false" ht="13.2" hidden="false" customHeight="false" outlineLevel="0" collapsed="false">
      <c r="A4" s="0" t="s">
        <v>389</v>
      </c>
      <c r="B4" s="0" t="s">
        <v>390</v>
      </c>
      <c r="C4" s="0" t="s">
        <v>391</v>
      </c>
      <c r="D4" s="0" t="s">
        <v>392</v>
      </c>
    </row>
    <row r="5" customFormat="false" ht="13.2" hidden="false" customHeight="false" outlineLevel="0" collapsed="false">
      <c r="A5" s="0" t="s">
        <v>393</v>
      </c>
      <c r="B5" s="0" t="n">
        <v>60</v>
      </c>
      <c r="C5" s="0" t="n">
        <v>20</v>
      </c>
      <c r="D5" s="0" t="n">
        <v>1200</v>
      </c>
    </row>
    <row r="6" customFormat="false" ht="13.2" hidden="false" customHeight="false" outlineLevel="0" collapsed="false">
      <c r="A6" s="0" t="s">
        <v>394</v>
      </c>
      <c r="B6" s="0" t="n">
        <v>15</v>
      </c>
      <c r="C6" s="0" t="n">
        <v>35</v>
      </c>
      <c r="D6" s="0" t="n">
        <v>525</v>
      </c>
    </row>
    <row r="7" customFormat="false" ht="13.2" hidden="false" customHeight="false" outlineLevel="0" collapsed="false">
      <c r="A7" s="0" t="s">
        <v>395</v>
      </c>
      <c r="B7" s="0" t="n">
        <v>25</v>
      </c>
      <c r="C7" s="0" t="n">
        <v>25</v>
      </c>
      <c r="D7" s="0" t="n">
        <v>625</v>
      </c>
    </row>
    <row r="8" customFormat="false" ht="13.2" hidden="false" customHeight="false" outlineLevel="0" collapsed="false">
      <c r="A8" s="0" t="s">
        <v>396</v>
      </c>
      <c r="B8" s="0" t="n">
        <v>25</v>
      </c>
      <c r="C8" s="0" t="n">
        <v>20</v>
      </c>
      <c r="D8" s="0" t="n">
        <v>500</v>
      </c>
    </row>
    <row r="9" customFormat="false" ht="13.2" hidden="false" customHeight="false" outlineLevel="0" collapsed="false">
      <c r="A9" s="0" t="s">
        <v>397</v>
      </c>
      <c r="D9" s="0" t="n"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sheetData>
    <row r="1" customFormat="false" ht="13.2" hidden="false" customHeight="false" outlineLevel="0" collapsed="false">
      <c r="A1" s="342" t="s">
        <v>398</v>
      </c>
    </row>
    <row r="4" customFormat="false" ht="13.2" hidden="false" customHeight="false" outlineLevel="0" collapsed="false">
      <c r="B4" s="29" t="s">
        <v>95</v>
      </c>
      <c r="C4" s="29"/>
      <c r="D4" s="29"/>
      <c r="E4" s="29"/>
      <c r="F4" s="29"/>
      <c r="G4" s="29"/>
      <c r="H4" s="29"/>
      <c r="I4" s="29" t="s">
        <v>96</v>
      </c>
      <c r="J4" s="29"/>
      <c r="K4" s="29"/>
      <c r="L4" s="29"/>
      <c r="M4" s="29"/>
      <c r="N4" s="29"/>
      <c r="O4" s="29"/>
      <c r="P4" s="29" t="s">
        <v>53</v>
      </c>
      <c r="Q4" s="29"/>
      <c r="R4" s="29"/>
      <c r="S4" s="29"/>
      <c r="T4" s="29"/>
      <c r="U4" s="29"/>
      <c r="V4" s="29"/>
      <c r="W4" s="29" t="s">
        <v>55</v>
      </c>
      <c r="X4" s="29"/>
      <c r="Y4" s="29"/>
      <c r="Z4" s="29"/>
      <c r="AA4" s="29"/>
      <c r="AB4" s="29"/>
      <c r="AC4" s="29"/>
      <c r="AD4" s="29" t="s">
        <v>97</v>
      </c>
      <c r="AE4" s="29"/>
      <c r="AF4" s="29"/>
      <c r="AG4" s="29"/>
      <c r="AH4" s="29"/>
      <c r="AI4" s="29"/>
      <c r="AJ4" s="29"/>
      <c r="AK4" s="29" t="s">
        <v>59</v>
      </c>
      <c r="AL4" s="29"/>
      <c r="AM4" s="29"/>
      <c r="AN4" s="29"/>
      <c r="AO4" s="29"/>
      <c r="AP4" s="29"/>
      <c r="AQ4" s="29"/>
    </row>
    <row r="5" customFormat="false" ht="13.2" hidden="false" customHeight="false" outlineLevel="0" collapsed="false">
      <c r="A5" s="0" t="s">
        <v>38</v>
      </c>
      <c r="B5" s="178" t="s">
        <v>41</v>
      </c>
      <c r="C5" s="178" t="s">
        <v>42</v>
      </c>
      <c r="D5" s="178" t="s">
        <v>43</v>
      </c>
      <c r="E5" s="139" t="s">
        <v>117</v>
      </c>
      <c r="F5" s="139" t="s">
        <v>118</v>
      </c>
      <c r="G5" s="0" t="s">
        <v>45</v>
      </c>
      <c r="H5" s="0" t="s">
        <v>46</v>
      </c>
      <c r="I5" s="178" t="s">
        <v>41</v>
      </c>
      <c r="J5" s="178" t="s">
        <v>42</v>
      </c>
      <c r="K5" s="178" t="s">
        <v>43</v>
      </c>
      <c r="L5" s="139" t="s">
        <v>117</v>
      </c>
      <c r="M5" s="139" t="s">
        <v>118</v>
      </c>
      <c r="N5" s="0" t="s">
        <v>45</v>
      </c>
      <c r="O5" s="0" t="s">
        <v>46</v>
      </c>
      <c r="P5" s="178" t="s">
        <v>41</v>
      </c>
      <c r="Q5" s="178" t="s">
        <v>42</v>
      </c>
      <c r="R5" s="178" t="s">
        <v>43</v>
      </c>
      <c r="S5" s="139" t="s">
        <v>117</v>
      </c>
      <c r="T5" s="139" t="s">
        <v>118</v>
      </c>
      <c r="U5" s="0" t="s">
        <v>45</v>
      </c>
      <c r="V5" s="0" t="s">
        <v>46</v>
      </c>
      <c r="W5" s="178" t="s">
        <v>41</v>
      </c>
      <c r="X5" s="178" t="s">
        <v>42</v>
      </c>
      <c r="Y5" s="178" t="s">
        <v>43</v>
      </c>
      <c r="Z5" s="139" t="s">
        <v>117</v>
      </c>
      <c r="AA5" s="139" t="s">
        <v>118</v>
      </c>
      <c r="AB5" s="0" t="s">
        <v>45</v>
      </c>
      <c r="AC5" s="0" t="s">
        <v>46</v>
      </c>
      <c r="AD5" s="178" t="s">
        <v>41</v>
      </c>
      <c r="AE5" s="178" t="s">
        <v>42</v>
      </c>
      <c r="AF5" s="178" t="s">
        <v>43</v>
      </c>
      <c r="AG5" s="139" t="s">
        <v>117</v>
      </c>
      <c r="AH5" s="139" t="s">
        <v>118</v>
      </c>
      <c r="AI5" s="0" t="s">
        <v>45</v>
      </c>
      <c r="AJ5" s="0" t="s">
        <v>46</v>
      </c>
      <c r="AK5" s="178" t="s">
        <v>41</v>
      </c>
      <c r="AL5" s="178" t="s">
        <v>42</v>
      </c>
      <c r="AM5" s="178" t="s">
        <v>43</v>
      </c>
      <c r="AN5" s="139" t="s">
        <v>117</v>
      </c>
      <c r="AO5" s="139" t="s">
        <v>118</v>
      </c>
      <c r="AP5" s="0" t="s">
        <v>45</v>
      </c>
      <c r="AQ5" s="0" t="s">
        <v>46</v>
      </c>
    </row>
    <row r="6" customFormat="false" ht="13.2" hidden="false" customHeight="false" outlineLevel="0" collapsed="false">
      <c r="A6" s="0" t="n">
        <v>25</v>
      </c>
      <c r="B6" s="0" t="n">
        <v>49.52</v>
      </c>
      <c r="C6" s="0" t="n">
        <v>194</v>
      </c>
      <c r="D6" s="0" t="n">
        <v>0.3037</v>
      </c>
      <c r="E6" s="0" t="n">
        <f aca="false">C6/B6</f>
        <v>3.91760904684976</v>
      </c>
      <c r="F6" s="0" t="n">
        <f aca="false">B6*D6</f>
        <v>15.039224</v>
      </c>
      <c r="G6" s="0" t="n">
        <v>0.0139973178626806</v>
      </c>
      <c r="H6" s="0" t="n">
        <v>0.0464980834611075</v>
      </c>
      <c r="I6" s="0" t="n">
        <v>0.3904</v>
      </c>
      <c r="J6" s="0" t="n">
        <v>1.645</v>
      </c>
      <c r="K6" s="0" t="n">
        <v>0.2757</v>
      </c>
      <c r="L6" s="0" t="n">
        <f aca="false">J6/I6</f>
        <v>4.21362704918033</v>
      </c>
      <c r="M6" s="0" t="n">
        <f aca="false">I6*K6</f>
        <v>0.10763328</v>
      </c>
      <c r="N6" s="0" t="n">
        <v>1.7754794584015</v>
      </c>
      <c r="O6" s="0" t="n">
        <v>5.89801509475934</v>
      </c>
      <c r="P6" s="0" t="n">
        <v>0.1576</v>
      </c>
      <c r="Q6" s="0" t="n">
        <v>0.7175</v>
      </c>
      <c r="R6" s="0" t="n">
        <v>0.3048</v>
      </c>
      <c r="S6" s="0" t="n">
        <f aca="false">Q6/P6</f>
        <v>4.55266497461929</v>
      </c>
      <c r="T6" s="0" t="n">
        <f aca="false">P6*R6</f>
        <v>0.04803648</v>
      </c>
      <c r="U6" s="0" t="n">
        <v>4.39814200862909</v>
      </c>
      <c r="V6" s="0" t="n">
        <v>14.6103115037693</v>
      </c>
      <c r="W6" s="0" t="n">
        <v>9.364</v>
      </c>
      <c r="X6" s="0" t="n">
        <v>41.25</v>
      </c>
      <c r="Y6" s="0" t="n">
        <v>0.3202</v>
      </c>
      <c r="Z6" s="0" t="n">
        <f aca="false">X6/W6</f>
        <v>4.40516873131141</v>
      </c>
      <c r="AA6" s="0" t="n">
        <f aca="false">W6*Y6</f>
        <v>2.9983528</v>
      </c>
      <c r="AB6" s="0" t="n">
        <v>0.0740225523878626</v>
      </c>
      <c r="AC6" s="0" t="n">
        <v>0.245897596432512</v>
      </c>
      <c r="AD6" s="0" t="n">
        <v>0.3804</v>
      </c>
      <c r="AE6" s="0" t="n">
        <v>1.543</v>
      </c>
      <c r="AF6" s="0" t="n">
        <v>0.2869</v>
      </c>
      <c r="AG6" s="0" t="n">
        <f aca="false">AE6/AD6</f>
        <v>4.05625657202944</v>
      </c>
      <c r="AH6" s="0" t="n">
        <f aca="false">AD6*AF6</f>
        <v>0.10913676</v>
      </c>
      <c r="AI6" s="0" t="n">
        <v>1.82215347150354</v>
      </c>
      <c r="AJ6" s="0" t="n">
        <v>6.05306281018414</v>
      </c>
      <c r="AK6" s="0" t="n">
        <v>0.0223</v>
      </c>
      <c r="AL6" s="0" t="n">
        <v>0.0434</v>
      </c>
      <c r="AM6" s="0" t="n">
        <v>0.1937</v>
      </c>
      <c r="AN6" s="0" t="n">
        <f aca="false">AL6/AK6</f>
        <v>1.94618834080718</v>
      </c>
      <c r="AO6" s="0" t="n">
        <f aca="false">AK6*AM6</f>
        <v>0.00431951</v>
      </c>
      <c r="AP6" s="0" t="n">
        <v>31.0828332089662</v>
      </c>
      <c r="AQ6" s="0" t="n">
        <v>103.254936905563</v>
      </c>
    </row>
    <row r="7" customFormat="false" ht="13.2" hidden="false" customHeight="false" outlineLevel="0" collapsed="false">
      <c r="A7" s="0" t="n">
        <v>30</v>
      </c>
      <c r="B7" s="0" t="n">
        <v>38.8</v>
      </c>
      <c r="C7" s="0" t="n">
        <v>178</v>
      </c>
      <c r="D7" s="0" t="n">
        <v>0.3473</v>
      </c>
      <c r="E7" s="0" t="n">
        <f aca="false">C7/B7</f>
        <v>4.58762886597938</v>
      </c>
      <c r="F7" s="0" t="n">
        <f aca="false">B7*D7</f>
        <v>13.47524</v>
      </c>
      <c r="G7" s="0" t="n">
        <v>0.0178646180556687</v>
      </c>
      <c r="H7" s="0" t="n">
        <v>0.0593449766235579</v>
      </c>
      <c r="I7" s="0" t="n">
        <v>0.3173</v>
      </c>
      <c r="J7" s="0" t="n">
        <v>1.698</v>
      </c>
      <c r="K7" s="0" t="n">
        <v>0.3593</v>
      </c>
      <c r="L7" s="0" t="n">
        <f aca="false">J7/I7</f>
        <v>5.35140245824141</v>
      </c>
      <c r="M7" s="0" t="n">
        <f aca="false">I7*K7</f>
        <v>0.11400589</v>
      </c>
      <c r="N7" s="0" t="n">
        <v>2.1845167997477</v>
      </c>
      <c r="O7" s="0" t="n">
        <v>7.25680773083532</v>
      </c>
      <c r="P7" s="0" t="n">
        <v>0.1208</v>
      </c>
      <c r="Q7" s="0" t="n">
        <v>0.7043</v>
      </c>
      <c r="R7" s="0" t="n">
        <v>0.3613</v>
      </c>
      <c r="S7" s="0" t="n">
        <f aca="false">Q7/P7</f>
        <v>5.83029801324503</v>
      </c>
      <c r="T7" s="0" t="n">
        <f aca="false">P7*R7</f>
        <v>0.04364504</v>
      </c>
      <c r="U7" s="0" t="n">
        <v>5.73797334900617</v>
      </c>
      <c r="V7" s="0" t="n">
        <v>19.0611348757785</v>
      </c>
      <c r="W7" s="0" t="n">
        <v>7.406</v>
      </c>
      <c r="X7" s="0" t="n">
        <v>41.93</v>
      </c>
      <c r="Y7" s="0" t="n">
        <v>0.3959</v>
      </c>
      <c r="Z7" s="0" t="n">
        <f aca="false">X7/W7</f>
        <v>5.66162570888469</v>
      </c>
      <c r="AA7" s="0" t="n">
        <f aca="false">W7*Y7</f>
        <v>2.9320354</v>
      </c>
      <c r="AB7" s="0" t="n">
        <v>0.0935926519794687</v>
      </c>
      <c r="AC7" s="0" t="n">
        <v>0.310908060085612</v>
      </c>
      <c r="AD7" s="0" t="n">
        <v>0.3061</v>
      </c>
      <c r="AE7" s="0" t="n">
        <v>1.599</v>
      </c>
      <c r="AF7" s="0" t="n">
        <v>0.3693</v>
      </c>
      <c r="AG7" s="0" t="n">
        <f aca="false">AE7/AD7</f>
        <v>5.22378307742568</v>
      </c>
      <c r="AH7" s="0" t="n">
        <f aca="false">AD7*AF7</f>
        <v>0.11304273</v>
      </c>
      <c r="AI7" s="0" t="n">
        <v>2.26444684926477</v>
      </c>
      <c r="AJ7" s="0" t="n">
        <v>7.5223296079518</v>
      </c>
      <c r="AK7" s="0" t="n">
        <v>0.02166</v>
      </c>
      <c r="AL7" s="0" t="n">
        <v>0.03966</v>
      </c>
      <c r="AM7" s="0" t="n">
        <v>0.2843</v>
      </c>
      <c r="AN7" s="0" t="n">
        <f aca="false">AL7/AK7</f>
        <v>1.83102493074792</v>
      </c>
      <c r="AO7" s="0" t="n">
        <f aca="false">AK7*AM7</f>
        <v>0.006157938</v>
      </c>
      <c r="AP7" s="0" t="n">
        <v>32.001254873497</v>
      </c>
      <c r="AQ7" s="0" t="n">
        <v>106.305867635921</v>
      </c>
    </row>
    <row r="8" customFormat="false" ht="13.2" hidden="false" customHeight="false" outlineLevel="0" collapsed="false">
      <c r="A8" s="0" t="n">
        <v>35</v>
      </c>
      <c r="B8" s="0" t="n">
        <v>29.55</v>
      </c>
      <c r="C8" s="0" t="n">
        <v>164.7</v>
      </c>
      <c r="D8" s="0" t="n">
        <v>0.3948</v>
      </c>
      <c r="E8" s="0" t="n">
        <f aca="false">C8/B8</f>
        <v>5.57360406091371</v>
      </c>
      <c r="F8" s="0" t="n">
        <f aca="false">B8*D8</f>
        <v>11.66634</v>
      </c>
      <c r="G8" s="0" t="n">
        <v>0.0234567573793552</v>
      </c>
      <c r="H8" s="0" t="n">
        <v>0.0779216613534364</v>
      </c>
      <c r="I8" s="0" t="n">
        <v>0.2528</v>
      </c>
      <c r="J8" s="0" t="n">
        <v>1.807</v>
      </c>
      <c r="K8" s="0" t="n">
        <v>0.4648</v>
      </c>
      <c r="L8" s="0" t="n">
        <f aca="false">J8/I8</f>
        <v>7.14794303797468</v>
      </c>
      <c r="M8" s="0" t="n">
        <f aca="false">I8*K8</f>
        <v>0.11750144</v>
      </c>
      <c r="N8" s="0" t="n">
        <v>2.74187966993649</v>
      </c>
      <c r="O8" s="0" t="n">
        <v>9.10832710836252</v>
      </c>
      <c r="P8" s="0" t="n">
        <v>0.08878</v>
      </c>
      <c r="Q8" s="0" t="n">
        <v>0.6988</v>
      </c>
      <c r="R8" s="0" t="n">
        <v>0.4245</v>
      </c>
      <c r="S8" s="0" t="n">
        <f aca="false">Q8/P8</f>
        <v>7.87114214913269</v>
      </c>
      <c r="T8" s="0" t="n">
        <f aca="false">P8*R8</f>
        <v>0.03768711</v>
      </c>
      <c r="U8" s="0" t="n">
        <v>7.80746993196604</v>
      </c>
      <c r="V8" s="0" t="n">
        <v>25.9358537169863</v>
      </c>
      <c r="W8" s="0" t="n">
        <v>5.716</v>
      </c>
      <c r="X8" s="0" t="n">
        <v>43.41</v>
      </c>
      <c r="Y8" s="0" t="n">
        <v>0.4857</v>
      </c>
      <c r="Z8" s="0" t="n">
        <f aca="false">X8/W8</f>
        <v>7.59447165850245</v>
      </c>
      <c r="AA8" s="0" t="n">
        <f aca="false">W8*Y8</f>
        <v>2.7762612</v>
      </c>
      <c r="AB8" s="0" t="n">
        <v>0.121264377284805</v>
      </c>
      <c r="AC8" s="0" t="n">
        <v>0.402831541811415</v>
      </c>
      <c r="AD8" s="0" t="n">
        <v>0.2396</v>
      </c>
      <c r="AE8" s="0" t="n">
        <v>1.694</v>
      </c>
      <c r="AF8" s="0" t="n">
        <v>0.4683</v>
      </c>
      <c r="AG8" s="0" t="n">
        <f aca="false">AE8/AD8</f>
        <v>7.07011686143573</v>
      </c>
      <c r="AH8" s="0" t="n">
        <f aca="false">AD8*AF8</f>
        <v>0.11220468</v>
      </c>
      <c r="AI8" s="0" t="n">
        <v>2.89293481035036</v>
      </c>
      <c r="AJ8" s="0" t="n">
        <v>9.61012142318049</v>
      </c>
      <c r="AK8" s="0" t="n">
        <v>0.01901</v>
      </c>
      <c r="AL8" s="0" t="n">
        <v>0.03873</v>
      </c>
      <c r="AM8" s="0" t="n">
        <v>0.3732</v>
      </c>
      <c r="AN8" s="0" t="n">
        <f aca="false">AL8/AK8</f>
        <v>2.03734876380852</v>
      </c>
      <c r="AO8" s="0" t="n">
        <f aca="false">AK8*AM8</f>
        <v>0.007094532</v>
      </c>
      <c r="AP8" s="0" t="n">
        <v>36.462239903206</v>
      </c>
      <c r="AQ8" s="0" t="n">
        <v>121.124939136983</v>
      </c>
    </row>
    <row r="9" customFormat="false" ht="13.2" hidden="false" customHeight="false" outlineLevel="0" collapsed="false">
      <c r="A9" s="0" t="n">
        <v>40</v>
      </c>
      <c r="I9" s="0" t="n">
        <v>0.1297</v>
      </c>
      <c r="J9" s="0" t="n">
        <v>0.178</v>
      </c>
      <c r="K9" s="0" t="n">
        <v>0.2189</v>
      </c>
      <c r="L9" s="0" t="n">
        <f aca="false">J9/I9</f>
        <v>1.37239784117194</v>
      </c>
      <c r="M9" s="0" t="n">
        <f aca="false">I9*K9</f>
        <v>0.02839133</v>
      </c>
      <c r="N9" s="0" t="n">
        <v>5.34423423716226</v>
      </c>
      <c r="O9" s="0" t="n">
        <v>17.7531618580882</v>
      </c>
    </row>
    <row r="10" customFormat="false" ht="13.2" hidden="false" customHeight="false" outlineLevel="0" collapsed="false">
      <c r="A10" s="0" t="n">
        <v>45</v>
      </c>
      <c r="I10" s="0" t="n">
        <v>0.1095</v>
      </c>
      <c r="J10" s="0" t="n">
        <v>0.1741</v>
      </c>
      <c r="K10" s="0" t="n">
        <v>0.2269</v>
      </c>
      <c r="L10" s="0" t="n">
        <f aca="false">J10/I10</f>
        <v>1.58995433789954</v>
      </c>
      <c r="M10" s="0" t="n">
        <f aca="false">I10*K10</f>
        <v>0.02484555</v>
      </c>
      <c r="N10" s="0" t="n">
        <v>6.33011123799037</v>
      </c>
      <c r="O10" s="0" t="n">
        <v>21.0281743652424</v>
      </c>
    </row>
    <row r="11" customFormat="false" ht="13.2" hidden="false" customHeight="false" outlineLevel="0" collapsed="false">
      <c r="A11" s="0" t="n">
        <v>50</v>
      </c>
      <c r="B11" s="0" t="n">
        <v>8.801</v>
      </c>
      <c r="C11" s="0" t="n">
        <v>27.28</v>
      </c>
      <c r="D11" s="0" t="n">
        <v>0.2957</v>
      </c>
      <c r="E11" s="0" t="n">
        <f aca="false">C11/B11</f>
        <v>3.09964776729917</v>
      </c>
      <c r="F11" s="0" t="n">
        <f aca="false">B11*D11</f>
        <v>2.6024557</v>
      </c>
      <c r="G11" s="0" t="n">
        <v>0.0787577753164351</v>
      </c>
      <c r="H11" s="0" t="n">
        <v>0.261627666514492</v>
      </c>
      <c r="I11" s="0" t="n">
        <v>0.0932</v>
      </c>
      <c r="J11" s="0" t="n">
        <v>0.1712</v>
      </c>
      <c r="K11" s="0" t="n">
        <v>0.2324</v>
      </c>
      <c r="L11" s="0" t="n">
        <f aca="false">J11/I11</f>
        <v>1.83690987124464</v>
      </c>
      <c r="M11" s="0" t="n">
        <f aca="false">I11*K11</f>
        <v>0.02165968</v>
      </c>
      <c r="N11" s="0" t="n">
        <v>7.43720150815392</v>
      </c>
      <c r="O11" s="0" t="n">
        <v>24.7058486372752</v>
      </c>
      <c r="P11" s="0" t="n">
        <v>0.03883</v>
      </c>
      <c r="Q11" s="0" t="n">
        <v>0.0873</v>
      </c>
      <c r="R11" s="0" t="n">
        <v>0.5105</v>
      </c>
      <c r="S11" s="0" t="n">
        <f aca="false">Q11/P11</f>
        <v>2.2482616533608</v>
      </c>
      <c r="T11" s="0" t="n">
        <f aca="false">P11*R11</f>
        <v>0.019822715</v>
      </c>
      <c r="U11" s="0" t="n">
        <v>17.8508158784431</v>
      </c>
      <c r="V11" s="0" t="n">
        <v>59.2991267832615</v>
      </c>
      <c r="W11" s="0" t="n">
        <v>1.817</v>
      </c>
      <c r="X11" s="0" t="n">
        <v>4.84</v>
      </c>
      <c r="Y11" s="0" t="n">
        <v>0.4021</v>
      </c>
      <c r="Z11" s="0" t="n">
        <f aca="false">X11/W11</f>
        <v>2.66373142542653</v>
      </c>
      <c r="AA11" s="0" t="n">
        <f aca="false">W11*Y11</f>
        <v>0.7306157</v>
      </c>
      <c r="AB11" s="0" t="n">
        <v>0.38147891059986</v>
      </c>
      <c r="AC11" s="0" t="n">
        <v>1.2672455107287</v>
      </c>
      <c r="AD11" s="0" t="n">
        <v>0.09721</v>
      </c>
      <c r="AE11" s="0" t="n">
        <v>0.1799</v>
      </c>
      <c r="AF11" s="0" t="n">
        <v>0.4912</v>
      </c>
      <c r="AG11" s="0" t="n">
        <f aca="false">AE11/AD11</f>
        <v>1.85063265096184</v>
      </c>
      <c r="AH11" s="0" t="n">
        <f aca="false">AD11*AF11</f>
        <v>0.047749552</v>
      </c>
      <c r="AI11" s="0" t="n">
        <v>7.13041025161964</v>
      </c>
      <c r="AJ11" s="0" t="n">
        <v>23.6867101429282</v>
      </c>
      <c r="AK11" s="0" t="n">
        <v>0.01076</v>
      </c>
      <c r="AL11" s="0" t="n">
        <v>0.001862</v>
      </c>
      <c r="AM11" s="0" t="n">
        <v>1.17</v>
      </c>
      <c r="AN11" s="0" t="n">
        <f aca="false">AL11/AK11</f>
        <v>0.173048327137546</v>
      </c>
      <c r="AO11" s="0" t="n">
        <f aca="false">AK11*AM11</f>
        <v>0.0125892</v>
      </c>
      <c r="AP11" s="0" t="n">
        <v>64.4188829516678</v>
      </c>
      <c r="AQ11" s="0" t="n">
        <v>213.994897118406</v>
      </c>
    </row>
    <row r="12" customFormat="false" ht="13.2" hidden="false" customHeight="false" outlineLevel="0" collapsed="false">
      <c r="A12" s="0" t="n">
        <v>55</v>
      </c>
      <c r="B12" s="0" t="n">
        <v>7.839</v>
      </c>
      <c r="C12" s="0" t="n">
        <v>25.92</v>
      </c>
      <c r="D12" s="0" t="n">
        <v>0.3499</v>
      </c>
      <c r="E12" s="0" t="n">
        <f aca="false">C12/B12</f>
        <v>3.30654420206659</v>
      </c>
      <c r="F12" s="0" t="n">
        <f aca="false">B12*D12</f>
        <v>2.7428661</v>
      </c>
      <c r="G12" s="0" t="n">
        <v>0.0884229086056825</v>
      </c>
      <c r="H12" s="0" t="n">
        <v>0.293734544328874</v>
      </c>
      <c r="I12" s="0" t="n">
        <v>0.07422</v>
      </c>
      <c r="J12" s="0" t="n">
        <v>0.1697</v>
      </c>
      <c r="K12" s="0" t="n">
        <v>0.2454</v>
      </c>
      <c r="L12" s="0" t="n">
        <f aca="false">J12/I12</f>
        <v>2.28644570196712</v>
      </c>
      <c r="M12" s="0" t="n">
        <f aca="false">I12*K12</f>
        <v>0.018213588</v>
      </c>
      <c r="N12" s="0" t="n">
        <v>9.33908893236251</v>
      </c>
      <c r="O12" s="0" t="n">
        <v>31.0237819050666</v>
      </c>
      <c r="P12" s="0" t="n">
        <v>0.03419</v>
      </c>
      <c r="Q12" s="0" t="n">
        <v>0.08315</v>
      </c>
      <c r="R12" s="0" t="n">
        <v>0.5606</v>
      </c>
      <c r="S12" s="0" t="n">
        <f aca="false">Q12/P12</f>
        <v>2.43199766013454</v>
      </c>
      <c r="T12" s="0" t="n">
        <f aca="false">P12*R12</f>
        <v>0.019166914</v>
      </c>
      <c r="U12" s="0" t="n">
        <v>20.273389311493</v>
      </c>
      <c r="V12" s="0" t="n">
        <v>67.3467415324377</v>
      </c>
      <c r="W12" s="0" t="n">
        <v>1.493</v>
      </c>
      <c r="X12" s="0" t="n">
        <v>4.515</v>
      </c>
      <c r="Y12" s="0" t="n">
        <v>0.4293</v>
      </c>
      <c r="Z12" s="0" t="n">
        <f aca="false">X12/W12</f>
        <v>3.02411252511721</v>
      </c>
      <c r="AA12" s="0" t="n">
        <f aca="false">W12*Y12</f>
        <v>0.6409449</v>
      </c>
      <c r="AB12" s="0" t="n">
        <v>0.464264688921598</v>
      </c>
      <c r="AC12" s="0" t="n">
        <v>1.5422539135928</v>
      </c>
      <c r="AD12" s="0" t="n">
        <v>0.08552</v>
      </c>
      <c r="AE12" s="0" t="n">
        <v>0.1661</v>
      </c>
      <c r="AF12" s="0" t="n">
        <v>0.5112</v>
      </c>
      <c r="AG12" s="0" t="n">
        <f aca="false">AE12/AD12</f>
        <v>1.94223573433115</v>
      </c>
      <c r="AH12" s="0" t="n">
        <f aca="false">AD12*AF12</f>
        <v>0.043717824</v>
      </c>
      <c r="AI12" s="0" t="n">
        <v>8.10508864078514</v>
      </c>
      <c r="AJ12" s="0" t="n">
        <v>26.9245216673766</v>
      </c>
      <c r="AK12" s="0" t="n">
        <v>0.01012</v>
      </c>
      <c r="AL12" s="0" t="n">
        <v>0.001404</v>
      </c>
      <c r="AM12" s="0" t="n">
        <v>1.269</v>
      </c>
      <c r="AN12" s="0" t="n">
        <f aca="false">AL12/AK12</f>
        <v>0.138735177865613</v>
      </c>
      <c r="AO12" s="0" t="n">
        <f aca="false">AK12*AM12</f>
        <v>0.01284228</v>
      </c>
      <c r="AP12" s="0" t="n">
        <v>68.4928044031566</v>
      </c>
      <c r="AQ12" s="0" t="n">
        <v>227.528171244471</v>
      </c>
    </row>
    <row r="13" customFormat="false" ht="13.2" hidden="false" customHeight="false" outlineLevel="0" collapsed="false">
      <c r="A13" s="0" t="n">
        <v>60</v>
      </c>
      <c r="B13" s="0" t="n">
        <v>6.951</v>
      </c>
      <c r="C13" s="0" t="n">
        <v>24.89</v>
      </c>
      <c r="D13" s="0" t="n">
        <v>0.4198</v>
      </c>
      <c r="E13" s="0" t="n">
        <f aca="false">C13/B13</f>
        <v>3.58077974392174</v>
      </c>
      <c r="F13" s="0" t="n">
        <f aca="false">B13*D13</f>
        <v>2.9180298</v>
      </c>
      <c r="G13" s="0" t="n">
        <v>0.0997190592087391</v>
      </c>
      <c r="H13" s="0" t="n">
        <v>0.331259544381247</v>
      </c>
      <c r="I13" s="0" t="n">
        <v>0.06251</v>
      </c>
      <c r="J13" s="0" t="n">
        <v>0.1692</v>
      </c>
      <c r="K13" s="0" t="n">
        <v>0.2733</v>
      </c>
      <c r="L13" s="0" t="n">
        <f aca="false">J13/I13</f>
        <v>2.70676691729323</v>
      </c>
      <c r="M13" s="0" t="n">
        <f aca="false">I13*K13</f>
        <v>0.017083983</v>
      </c>
      <c r="N13" s="0" t="n">
        <v>11.0885807160446</v>
      </c>
      <c r="O13" s="0" t="n">
        <v>36.8354678130546</v>
      </c>
      <c r="P13" s="0" t="n">
        <v>0.02985</v>
      </c>
      <c r="Q13" s="0" t="n">
        <v>0.07961</v>
      </c>
      <c r="R13" s="0" t="n">
        <v>0.6169</v>
      </c>
      <c r="S13" s="0" t="n">
        <f aca="false">Q13/P13</f>
        <v>2.66700167504188</v>
      </c>
      <c r="T13" s="0" t="n">
        <f aca="false">P13*R13</f>
        <v>0.018414465</v>
      </c>
      <c r="U13" s="0" t="n">
        <v>23.221011074035</v>
      </c>
      <c r="V13" s="0" t="n">
        <v>77.1385290785275</v>
      </c>
      <c r="W13" s="0" t="n">
        <v>1.183</v>
      </c>
      <c r="X13" s="0" t="n">
        <v>4.219</v>
      </c>
      <c r="Y13" s="0" t="n">
        <v>0.4571</v>
      </c>
      <c r="Z13" s="0" t="n">
        <f aca="false">X13/W13</f>
        <v>3.56635672020287</v>
      </c>
      <c r="AA13" s="0" t="n">
        <f aca="false">W13*Y13</f>
        <v>0.5407493</v>
      </c>
      <c r="AB13" s="0" t="n">
        <v>0.58592322955194</v>
      </c>
      <c r="AC13" s="0" t="n">
        <v>1.94639483769573</v>
      </c>
      <c r="AD13" s="0" t="n">
        <v>0.07452</v>
      </c>
      <c r="AE13" s="0" t="n">
        <v>0.1539</v>
      </c>
      <c r="AF13" s="0" t="n">
        <v>0.5304</v>
      </c>
      <c r="AG13" s="0" t="n">
        <f aca="false">AE13/AD13</f>
        <v>2.06521739130435</v>
      </c>
      <c r="AH13" s="0" t="n">
        <f aca="false">AD13*AF13</f>
        <v>0.039525408</v>
      </c>
      <c r="AI13" s="0" t="n">
        <v>9.30149195598424</v>
      </c>
      <c r="AJ13" s="0" t="n">
        <v>30.8988874529528</v>
      </c>
      <c r="AK13" s="0" t="n">
        <v>0.009512</v>
      </c>
      <c r="AL13" s="0" t="n">
        <v>0.0009672</v>
      </c>
      <c r="AM13" s="0" t="n">
        <v>1.333</v>
      </c>
      <c r="AN13" s="0" t="n">
        <f aca="false">AL13/AK13</f>
        <v>0.101682085786375</v>
      </c>
      <c r="AO13" s="0" t="n">
        <f aca="false">AK13*AM13</f>
        <v>0.012679496</v>
      </c>
      <c r="AP13" s="0" t="n">
        <v>72.8708137678664</v>
      </c>
      <c r="AQ13" s="0" t="n">
        <v>242.07160355278</v>
      </c>
    </row>
    <row r="14" customFormat="false" ht="13.2" hidden="false" customHeight="false" outlineLevel="0" collapsed="false">
      <c r="A14" s="0" t="n">
        <v>65</v>
      </c>
      <c r="B14" s="0" t="n">
        <v>6.13</v>
      </c>
      <c r="C14" s="0" t="n">
        <v>24.09</v>
      </c>
      <c r="D14" s="0" t="n">
        <v>0.5019</v>
      </c>
      <c r="E14" s="0" t="n">
        <f aca="false">C14/B14</f>
        <v>3.92985318107667</v>
      </c>
      <c r="F14" s="0" t="n">
        <f aca="false">B14*D14</f>
        <v>3.076647</v>
      </c>
      <c r="G14" s="0" t="n">
        <v>0.113074580841753</v>
      </c>
      <c r="H14" s="0" t="n">
        <v>0.375625626915831</v>
      </c>
      <c r="I14" s="0" t="n">
        <v>0.05528</v>
      </c>
      <c r="J14" s="0" t="n">
        <v>0.1696</v>
      </c>
      <c r="K14" s="0" t="n">
        <v>0.3217</v>
      </c>
      <c r="L14" s="0" t="n">
        <f aca="false">J14/I14</f>
        <v>3.06801736613603</v>
      </c>
      <c r="M14" s="0" t="n">
        <f aca="false">I14*K14</f>
        <v>0.017783576</v>
      </c>
      <c r="N14" s="0" t="n">
        <v>12.5388419059324</v>
      </c>
      <c r="O14" s="0" t="n">
        <v>41.653131204668</v>
      </c>
      <c r="P14" s="0" t="n">
        <v>0.02609</v>
      </c>
      <c r="Q14" s="0" t="n">
        <v>0.07597</v>
      </c>
      <c r="R14" s="0" t="n">
        <v>0.6756</v>
      </c>
      <c r="S14" s="0" t="n">
        <f aca="false">Q14/P14</f>
        <v>2.91184361824454</v>
      </c>
      <c r="T14" s="0" t="n">
        <f aca="false">P14*R14</f>
        <v>0.017626404</v>
      </c>
      <c r="U14" s="0" t="n">
        <v>26.5675423748542</v>
      </c>
      <c r="V14" s="0" t="n">
        <v>88.2554654271386</v>
      </c>
      <c r="W14" s="0" t="n">
        <v>0.9172</v>
      </c>
      <c r="X14" s="0" t="n">
        <v>3.982</v>
      </c>
      <c r="Y14" s="0" t="n">
        <v>0.4922</v>
      </c>
      <c r="Z14" s="0" t="n">
        <f aca="false">X14/W14</f>
        <v>4.34147405146097</v>
      </c>
      <c r="AA14" s="0" t="n">
        <f aca="false">W14*Y14</f>
        <v>0.45144584</v>
      </c>
      <c r="AB14" s="0" t="n">
        <v>0.755720868469195</v>
      </c>
      <c r="AC14" s="0" t="n">
        <v>2.51045038486049</v>
      </c>
      <c r="AD14" s="0" t="n">
        <v>0.06514</v>
      </c>
      <c r="AE14" s="0" t="n">
        <v>0.1443</v>
      </c>
      <c r="AF14" s="0" t="n">
        <v>0.5582</v>
      </c>
      <c r="AG14" s="0" t="n">
        <f aca="false">AE14/AD14</f>
        <v>2.21522873810255</v>
      </c>
      <c r="AH14" s="0" t="n">
        <f aca="false">AD14*AF14</f>
        <v>0.036361148</v>
      </c>
      <c r="AI14" s="0" t="n">
        <v>10.6408839508742</v>
      </c>
      <c r="AJ14" s="0" t="n">
        <v>35.348251350845</v>
      </c>
      <c r="AK14" s="0" t="n">
        <v>0.00899</v>
      </c>
      <c r="AL14" s="0" t="n">
        <v>0.000647</v>
      </c>
      <c r="AM14" s="0" t="n">
        <v>1.353</v>
      </c>
      <c r="AN14" s="0" t="n">
        <f aca="false">AL14/AK14</f>
        <v>0.0719688542825362</v>
      </c>
      <c r="AO14" s="0" t="n">
        <f aca="false">AK14*AM14</f>
        <v>0.01216347</v>
      </c>
      <c r="AP14" s="0" t="n">
        <v>77.1020223092264</v>
      </c>
      <c r="AQ14" s="0" t="n">
        <v>256.127374081651</v>
      </c>
    </row>
    <row r="15" customFormat="false" ht="13.2" hidden="false" customHeight="false" outlineLevel="0" collapsed="false">
      <c r="A15" s="0" t="n">
        <v>70</v>
      </c>
      <c r="B15" s="0" t="n">
        <v>5.369</v>
      </c>
      <c r="C15" s="0" t="n">
        <v>23.49</v>
      </c>
      <c r="D15" s="0" t="n">
        <v>0.5881</v>
      </c>
      <c r="E15" s="0" t="n">
        <f aca="false">C15/B15</f>
        <v>4.37511640901471</v>
      </c>
      <c r="F15" s="0" t="n">
        <f aca="false">B15*D15</f>
        <v>3.1575089</v>
      </c>
      <c r="G15" s="0" t="n">
        <v>0.129101728545343</v>
      </c>
      <c r="H15" s="0" t="n">
        <v>0.428866659153296</v>
      </c>
      <c r="I15" s="0" t="n">
        <v>0.05087</v>
      </c>
      <c r="J15" s="0" t="n">
        <v>0.1696</v>
      </c>
      <c r="K15" s="0" t="n">
        <v>0.3847</v>
      </c>
      <c r="L15" s="0" t="n">
        <f aca="false">J15/I15</f>
        <v>3.33398859838805</v>
      </c>
      <c r="M15" s="0" t="n">
        <f aca="false">I15*K15</f>
        <v>0.019569689</v>
      </c>
      <c r="N15" s="0" t="n">
        <v>13.6258537558472</v>
      </c>
      <c r="O15" s="0" t="n">
        <v>45.2641064083752</v>
      </c>
      <c r="P15" s="0" t="n">
        <v>0.02302</v>
      </c>
      <c r="Q15" s="0" t="n">
        <v>0.07163</v>
      </c>
      <c r="R15" s="0" t="n">
        <v>0.7299</v>
      </c>
      <c r="S15" s="0" t="n">
        <f aca="false">Q15/P15</f>
        <v>3.11164205039096</v>
      </c>
      <c r="T15" s="0" t="n">
        <f aca="false">P15*R15</f>
        <v>0.016802298</v>
      </c>
      <c r="U15" s="0" t="n">
        <v>30.1106507628126</v>
      </c>
      <c r="V15" s="0" t="n">
        <v>100.025416724329</v>
      </c>
      <c r="W15" s="0" t="n">
        <v>0.7149</v>
      </c>
      <c r="X15" s="0" t="n">
        <v>3.798</v>
      </c>
      <c r="Y15" s="0" t="n">
        <v>0.5378</v>
      </c>
      <c r="Z15" s="0" t="n">
        <f aca="false">X15/W15</f>
        <v>5.31263113722199</v>
      </c>
      <c r="AA15" s="0" t="n">
        <f aca="false">W15*Y15</f>
        <v>0.38447322</v>
      </c>
      <c r="AB15" s="0" t="n">
        <v>0.969572220674144</v>
      </c>
      <c r="AC15" s="0" t="n">
        <v>3.22084919987977</v>
      </c>
      <c r="AD15" s="0" t="n">
        <v>0.05791</v>
      </c>
      <c r="AE15" s="0" t="n">
        <v>0.1357</v>
      </c>
      <c r="AF15" s="0" t="n">
        <v>0.5967</v>
      </c>
      <c r="AG15" s="0" t="n">
        <f aca="false">AE15/AD15</f>
        <v>2.3432913141081</v>
      </c>
      <c r="AH15" s="0" t="n">
        <f aca="false">AD15*AF15</f>
        <v>0.034554897</v>
      </c>
      <c r="AI15" s="0" t="n">
        <v>11.969386644102</v>
      </c>
      <c r="AJ15" s="0" t="n">
        <v>39.7614417716119</v>
      </c>
      <c r="AK15" s="0" t="n">
        <v>0.00855</v>
      </c>
      <c r="AL15" s="0" t="n">
        <v>0.000539</v>
      </c>
      <c r="AM15" s="0" t="n">
        <v>1.194</v>
      </c>
      <c r="AN15" s="0" t="n">
        <f aca="false">AL15/AK15</f>
        <v>0.0630409356725146</v>
      </c>
      <c r="AO15" s="0" t="n">
        <f aca="false">AK15*AM15</f>
        <v>0.0102087</v>
      </c>
      <c r="AP15" s="0" t="n">
        <v>81.0698456795258</v>
      </c>
      <c r="AQ15" s="0" t="n">
        <v>269.308198010999</v>
      </c>
    </row>
    <row r="16" customFormat="false" ht="13.2" hidden="false" customHeight="false" outlineLevel="0" collapsed="false">
      <c r="A16" s="0" t="n">
        <v>75</v>
      </c>
      <c r="B16" s="0" t="n">
        <v>4.666</v>
      </c>
      <c r="C16" s="0" t="n">
        <v>22.69</v>
      </c>
      <c r="D16" s="0" t="n">
        <v>0.6618</v>
      </c>
      <c r="E16" s="0" t="n">
        <f aca="false">C16/B16</f>
        <v>4.86283754822117</v>
      </c>
      <c r="F16" s="0" t="n">
        <f aca="false">B16*D16</f>
        <v>3.0879588</v>
      </c>
      <c r="G16" s="0" t="n">
        <v>0.148552760514347</v>
      </c>
      <c r="H16" s="0" t="n">
        <v>0.493481588725685</v>
      </c>
      <c r="I16" s="0" t="n">
        <v>0.04797</v>
      </c>
      <c r="J16" s="0" t="n">
        <v>0.1663</v>
      </c>
      <c r="K16" s="0" t="n">
        <v>0.4492</v>
      </c>
      <c r="L16" s="0" t="n">
        <f aca="false">J16/I16</f>
        <v>3.46675005211591</v>
      </c>
      <c r="M16" s="0" t="n">
        <f aca="false">I16*K16</f>
        <v>0.021548124</v>
      </c>
      <c r="N16" s="0" t="n">
        <v>14.449597259953</v>
      </c>
      <c r="O16" s="0" t="n">
        <v>48.0005230976453</v>
      </c>
      <c r="P16" s="0" t="n">
        <v>0.02066</v>
      </c>
      <c r="Q16" s="0" t="n">
        <v>0.06649</v>
      </c>
      <c r="R16" s="0" t="n">
        <v>0.775</v>
      </c>
      <c r="S16" s="0" t="n">
        <f aca="false">Q16/P16</f>
        <v>3.21829622458858</v>
      </c>
      <c r="T16" s="0" t="n">
        <f aca="false">P16*R16</f>
        <v>0.0160115</v>
      </c>
      <c r="U16" s="0" t="n">
        <v>33.550202350433</v>
      </c>
      <c r="V16" s="0" t="n">
        <v>111.451359777059</v>
      </c>
      <c r="W16" s="0" t="n">
        <v>0.5793</v>
      </c>
      <c r="X16" s="0" t="n">
        <v>3.629</v>
      </c>
      <c r="Y16" s="0" t="n">
        <v>0.5908</v>
      </c>
      <c r="Z16" s="0" t="n">
        <f aca="false">X16/W16</f>
        <v>6.26445710340066</v>
      </c>
      <c r="AA16" s="0" t="n">
        <f aca="false">W16*Y16</f>
        <v>0.34225044</v>
      </c>
      <c r="AB16" s="0" t="n">
        <v>1.19652542820636</v>
      </c>
      <c r="AC16" s="0" t="n">
        <v>3.97477143620584</v>
      </c>
      <c r="AD16" s="0" t="n">
        <v>0.05291</v>
      </c>
      <c r="AE16" s="0" t="n">
        <v>0.128</v>
      </c>
      <c r="AF16" s="0" t="n">
        <v>0.6478</v>
      </c>
      <c r="AG16" s="0" t="n">
        <f aca="false">AE16/AD16</f>
        <v>2.41920241920242</v>
      </c>
      <c r="AH16" s="0" t="n">
        <f aca="false">AD16*AF16</f>
        <v>0.034275098</v>
      </c>
      <c r="AI16" s="0" t="n">
        <v>13.1004948130778</v>
      </c>
      <c r="AJ16" s="0" t="n">
        <v>43.5189017764892</v>
      </c>
      <c r="AK16" s="0" t="n">
        <v>0.005203</v>
      </c>
      <c r="AL16" s="0" t="n">
        <v>0.0006421</v>
      </c>
      <c r="AM16" s="0" t="n">
        <v>1.062</v>
      </c>
      <c r="AN16" s="0" t="n">
        <f aca="false">AL16/AK16</f>
        <v>0.123409571401115</v>
      </c>
      <c r="AO16" s="0" t="n">
        <f aca="false">AK16*AM16</f>
        <v>0.005525586</v>
      </c>
      <c r="AP16" s="0" t="n">
        <v>133.220676640389</v>
      </c>
      <c r="AQ16" s="0" t="n">
        <v>442.549508551614</v>
      </c>
    </row>
    <row r="17" customFormat="false" ht="13.2" hidden="false" customHeight="false" outlineLevel="0" collapsed="false">
      <c r="A17" s="0" t="n">
        <v>80</v>
      </c>
      <c r="B17" s="0" t="n">
        <v>4.04</v>
      </c>
      <c r="C17" s="0" t="n">
        <v>21.69</v>
      </c>
      <c r="D17" s="0" t="n">
        <v>0.7187</v>
      </c>
      <c r="E17" s="0" t="n">
        <f aca="false">C17/B17</f>
        <v>5.36881188118812</v>
      </c>
      <c r="F17" s="0" t="n">
        <f aca="false">B17*D17</f>
        <v>2.903548</v>
      </c>
      <c r="G17" s="0" t="n">
        <v>0.171571084297016</v>
      </c>
      <c r="H17" s="0" t="n">
        <v>0.569946805196546</v>
      </c>
      <c r="I17" s="0" t="n">
        <v>0.04583</v>
      </c>
      <c r="J17" s="0" t="n">
        <v>0.1549</v>
      </c>
      <c r="K17" s="0" t="n">
        <v>0.4926</v>
      </c>
      <c r="L17" s="0" t="n">
        <f aca="false">J17/I17</f>
        <v>3.37988217324896</v>
      </c>
      <c r="M17" s="0" t="n">
        <f aca="false">I17*K17</f>
        <v>0.022575858</v>
      </c>
      <c r="N17" s="0" t="n">
        <v>15.1243111621197</v>
      </c>
      <c r="O17" s="0" t="n">
        <v>50.2418741652639</v>
      </c>
      <c r="P17" s="0" t="n">
        <v>0.01886</v>
      </c>
      <c r="Q17" s="0" t="n">
        <v>0.06093</v>
      </c>
      <c r="R17" s="0" t="n">
        <v>0.8103</v>
      </c>
      <c r="S17" s="0" t="n">
        <f aca="false">Q17/P17</f>
        <v>3.23064687168611</v>
      </c>
      <c r="T17" s="0" t="n">
        <f aca="false">P17*R17</f>
        <v>0.015282258</v>
      </c>
      <c r="U17" s="0" t="n">
        <v>36.7522365090109</v>
      </c>
      <c r="V17" s="0" t="n">
        <v>122.088287009228</v>
      </c>
      <c r="W17" s="0" t="n">
        <v>0.4921</v>
      </c>
      <c r="X17" s="0" t="n">
        <v>3.428</v>
      </c>
      <c r="Y17" s="0" t="n">
        <v>0.6427</v>
      </c>
      <c r="Z17" s="0" t="n">
        <f aca="false">X17/W17</f>
        <v>6.96606380816907</v>
      </c>
      <c r="AA17" s="0" t="n">
        <f aca="false">W17*Y17</f>
        <v>0.31627267</v>
      </c>
      <c r="AB17" s="0" t="n">
        <v>1.40854944230836</v>
      </c>
      <c r="AC17" s="0" t="n">
        <v>4.67909996544208</v>
      </c>
      <c r="AD17" s="0" t="n">
        <v>0.04955</v>
      </c>
      <c r="AE17" s="0" t="n">
        <v>0.1208</v>
      </c>
      <c r="AF17" s="0" t="n">
        <v>0.7097</v>
      </c>
      <c r="AG17" s="0" t="n">
        <f aca="false">AE17/AD17</f>
        <v>2.43794147325933</v>
      </c>
      <c r="AH17" s="0" t="n">
        <f aca="false">AD17*AF17</f>
        <v>0.035165635</v>
      </c>
      <c r="AI17" s="0" t="n">
        <v>13.9888431999989</v>
      </c>
      <c r="AJ17" s="0" t="n">
        <v>46.4699312410504</v>
      </c>
      <c r="AK17" s="0" t="n">
        <v>0.007903</v>
      </c>
      <c r="AL17" s="0" t="n">
        <v>0.000864</v>
      </c>
      <c r="AM17" s="0" t="n">
        <v>0.9703</v>
      </c>
      <c r="AN17" s="0" t="n">
        <f aca="false">AL17/AK17</f>
        <v>0.109325572567379</v>
      </c>
      <c r="AO17" s="0" t="n">
        <f aca="false">AK17*AM17</f>
        <v>0.0076682809</v>
      </c>
      <c r="AP17" s="0" t="n">
        <v>87.7068430418759</v>
      </c>
      <c r="AQ17" s="0" t="n">
        <v>291.355826014684</v>
      </c>
    </row>
    <row r="18" customFormat="false" ht="13.2" hidden="false" customHeight="false" outlineLevel="0" collapsed="false">
      <c r="A18" s="0" t="n">
        <v>85</v>
      </c>
      <c r="B18" s="0" t="n">
        <v>3.504</v>
      </c>
      <c r="C18" s="0" t="n">
        <v>20.37</v>
      </c>
      <c r="D18" s="0" t="n">
        <v>0.755</v>
      </c>
      <c r="E18" s="0" t="n">
        <f aca="false">C18/B18</f>
        <v>5.81335616438356</v>
      </c>
      <c r="F18" s="0" t="n">
        <f aca="false">B18*D18</f>
        <v>2.64552</v>
      </c>
      <c r="G18" s="0" t="n">
        <v>0.197815976187199</v>
      </c>
      <c r="H18" s="0" t="n">
        <v>0.657130448913826</v>
      </c>
      <c r="I18" s="0" t="n">
        <v>0.04398</v>
      </c>
      <c r="J18" s="0" t="n">
        <v>0.1348</v>
      </c>
      <c r="K18" s="0" t="n">
        <v>0.4943</v>
      </c>
      <c r="L18" s="0" t="n">
        <f aca="false">J18/I18</f>
        <v>3.0650295588904</v>
      </c>
      <c r="M18" s="0" t="n">
        <f aca="false">I18*K18</f>
        <v>0.021739314</v>
      </c>
      <c r="N18" s="0" t="n">
        <v>15.7605088803989</v>
      </c>
      <c r="O18" s="0" t="n">
        <v>52.355277239519</v>
      </c>
      <c r="P18" s="0" t="n">
        <v>0.01746</v>
      </c>
      <c r="Q18" s="0" t="n">
        <v>0.05558</v>
      </c>
      <c r="R18" s="0" t="n">
        <v>0.8392</v>
      </c>
      <c r="S18" s="0" t="n">
        <f aca="false">Q18/P18</f>
        <v>3.18327605956472</v>
      </c>
      <c r="T18" s="0" t="n">
        <f aca="false">P18*R18</f>
        <v>0.014652432</v>
      </c>
      <c r="U18" s="0" t="n">
        <v>39.6991512348193</v>
      </c>
      <c r="V18" s="0" t="n">
        <v>131.877725830129</v>
      </c>
      <c r="W18" s="0" t="n">
        <v>0.4355</v>
      </c>
      <c r="X18" s="0" t="n">
        <v>3.178</v>
      </c>
      <c r="Y18" s="0" t="n">
        <v>0.6861</v>
      </c>
      <c r="Z18" s="0" t="n">
        <f aca="false">X18/W18</f>
        <v>7.29735935706085</v>
      </c>
      <c r="AA18" s="0" t="n">
        <f aca="false">W18*Y18</f>
        <v>0.29879655</v>
      </c>
      <c r="AB18" s="0" t="n">
        <v>1.59161235490229</v>
      </c>
      <c r="AC18" s="0" t="n">
        <v>5.28722179791974</v>
      </c>
      <c r="AD18" s="0" t="n">
        <v>0.04721</v>
      </c>
      <c r="AE18" s="0" t="n">
        <v>0.114</v>
      </c>
      <c r="AF18" s="0" t="n">
        <v>0.7786</v>
      </c>
      <c r="AG18" s="0" t="n">
        <f aca="false">AE18/AD18</f>
        <v>2.41474263927134</v>
      </c>
      <c r="AH18" s="0" t="n">
        <f aca="false">AD18*AF18</f>
        <v>0.036757706</v>
      </c>
      <c r="AI18" s="0" t="n">
        <v>14.6822109841124</v>
      </c>
      <c r="AJ18" s="0" t="n">
        <v>48.7732491631867</v>
      </c>
      <c r="AK18" s="0" t="n">
        <v>0.007686</v>
      </c>
      <c r="AL18" s="0" t="n">
        <v>0.001056</v>
      </c>
      <c r="AM18" s="0" t="n">
        <v>1.015</v>
      </c>
      <c r="AN18" s="0" t="n">
        <f aca="false">AL18/AK18</f>
        <v>0.137392661982826</v>
      </c>
      <c r="AO18" s="0" t="n">
        <f aca="false">AK18*AM18</f>
        <v>0.00780129</v>
      </c>
      <c r="AP18" s="0" t="n">
        <v>90.183083601346</v>
      </c>
      <c r="AQ18" s="0" t="n">
        <v>299.581719098887</v>
      </c>
    </row>
    <row r="19" customFormat="false" ht="13.2" hidden="false" customHeight="false" outlineLevel="0" collapsed="false">
      <c r="A19" s="0" t="n">
        <v>90</v>
      </c>
      <c r="B19" s="0" t="n">
        <v>3.067</v>
      </c>
      <c r="C19" s="0" t="n">
        <v>18.83</v>
      </c>
      <c r="D19" s="0" t="n">
        <v>0.7726</v>
      </c>
      <c r="E19" s="0" t="n">
        <f aca="false">C19/B19</f>
        <v>6.13955004890773</v>
      </c>
      <c r="F19" s="0" t="n">
        <f aca="false">B19*D19</f>
        <v>2.3695642</v>
      </c>
      <c r="G19" s="0" t="n">
        <v>0.226001689129425</v>
      </c>
      <c r="H19" s="0" t="n">
        <v>0.750761360611035</v>
      </c>
      <c r="I19" s="0" t="n">
        <v>0.04228</v>
      </c>
      <c r="J19" s="0" t="n">
        <v>0.1137</v>
      </c>
      <c r="K19" s="0" t="n">
        <v>0.469</v>
      </c>
      <c r="L19" s="0" t="n">
        <f aca="false">J19/I19</f>
        <v>2.68921475875118</v>
      </c>
      <c r="M19" s="0" t="n">
        <f aca="false">I19*K19</f>
        <v>0.01982932</v>
      </c>
      <c r="N19" s="0" t="n">
        <v>16.3942095685891</v>
      </c>
      <c r="O19" s="0" t="n">
        <v>54.4603853593672</v>
      </c>
      <c r="P19" s="0" t="n">
        <v>0.01663</v>
      </c>
      <c r="Q19" s="0" t="n">
        <v>0.05039</v>
      </c>
      <c r="R19" s="0" t="n">
        <v>0.8585</v>
      </c>
      <c r="S19" s="0" t="n">
        <f aca="false">Q19/P19</f>
        <v>3.03006614552014</v>
      </c>
      <c r="T19" s="0" t="n">
        <f aca="false">P19*R19</f>
        <v>0.014276855</v>
      </c>
      <c r="U19" s="0" t="n">
        <v>41.6805279951861</v>
      </c>
      <c r="V19" s="0" t="n">
        <v>138.459716956948</v>
      </c>
      <c r="W19" s="0" t="n">
        <v>0.3971</v>
      </c>
      <c r="X19" s="0" t="n">
        <v>2.913</v>
      </c>
      <c r="Y19" s="0" t="n">
        <v>0.7204</v>
      </c>
      <c r="Z19" s="0" t="n">
        <f aca="false">X19/W19</f>
        <v>7.33568370687484</v>
      </c>
      <c r="AA19" s="0" t="n">
        <f aca="false">W19*Y19</f>
        <v>0.28607084</v>
      </c>
      <c r="AB19" s="0" t="n">
        <v>1.74552299309984</v>
      </c>
      <c r="AC19" s="0" t="n">
        <v>5.79850187105023</v>
      </c>
      <c r="AD19" s="0" t="n">
        <v>0.0455</v>
      </c>
      <c r="AE19" s="0" t="n">
        <v>0.1077</v>
      </c>
      <c r="AF19" s="0" t="n">
        <v>0.8522</v>
      </c>
      <c r="AG19" s="0" t="n">
        <f aca="false">AE19/AD19</f>
        <v>2.36703296703297</v>
      </c>
      <c r="AH19" s="0" t="n">
        <f aca="false">AD19*AF19</f>
        <v>0.0387751</v>
      </c>
      <c r="AI19" s="0" t="n">
        <v>15.2340039683504</v>
      </c>
      <c r="AJ19" s="0" t="n">
        <v>50.6062657800889</v>
      </c>
      <c r="AK19" s="0" t="n">
        <v>0.007511</v>
      </c>
      <c r="AL19" s="0" t="n">
        <v>0.001159</v>
      </c>
      <c r="AM19" s="0" t="n">
        <v>1.081</v>
      </c>
      <c r="AN19" s="0" t="n">
        <f aca="false">AL19/AK19</f>
        <v>0.154307016375982</v>
      </c>
      <c r="AO19" s="0" t="n">
        <f aca="false">AK19*AM19</f>
        <v>0.008119391</v>
      </c>
      <c r="AP19" s="0" t="n">
        <v>92.28427380641</v>
      </c>
      <c r="AQ19" s="0" t="n">
        <v>306.561721873791</v>
      </c>
    </row>
    <row r="20" customFormat="false" ht="13.2" hidden="false" customHeight="false" outlineLevel="0" collapsed="false">
      <c r="A20" s="0" t="n">
        <v>95</v>
      </c>
      <c r="B20" s="0" t="n">
        <v>2.731</v>
      </c>
      <c r="C20" s="0" t="n">
        <v>17.07</v>
      </c>
      <c r="D20" s="0" t="n">
        <v>0.7714</v>
      </c>
      <c r="E20" s="0" t="n">
        <f aca="false">C20/B20</f>
        <v>6.25045770779934</v>
      </c>
      <c r="F20" s="0" t="n">
        <f aca="false">B20*D20</f>
        <v>2.1066934</v>
      </c>
      <c r="G20" s="0" t="n">
        <v>0.253807096506754</v>
      </c>
      <c r="H20" s="0" t="n">
        <v>0.843128924567574</v>
      </c>
      <c r="I20" s="0" t="n">
        <v>0.04068</v>
      </c>
      <c r="J20" s="0" t="n">
        <v>0.09705</v>
      </c>
      <c r="K20" s="0" t="n">
        <v>0.4406</v>
      </c>
      <c r="L20" s="0" t="n">
        <f aca="false">J20/I20</f>
        <v>2.38569321533923</v>
      </c>
      <c r="M20" s="0" t="n">
        <f aca="false">I20*K20</f>
        <v>0.017923608</v>
      </c>
      <c r="N20" s="0" t="n">
        <v>17.0390162379534</v>
      </c>
      <c r="O20" s="0" t="n">
        <v>56.6023867500994</v>
      </c>
      <c r="P20" s="0" t="n">
        <v>0.01543</v>
      </c>
      <c r="Q20" s="0" t="n">
        <v>0.04571</v>
      </c>
      <c r="R20" s="0" t="n">
        <v>0.8763</v>
      </c>
      <c r="S20" s="0" t="n">
        <f aca="false">Q20/P20</f>
        <v>2.96241088788075</v>
      </c>
      <c r="T20" s="0" t="n">
        <f aca="false">P20*R20</f>
        <v>0.013521309</v>
      </c>
      <c r="U20" s="0" t="n">
        <v>44.9220466986355</v>
      </c>
      <c r="V20" s="0" t="n">
        <v>149.227809008039</v>
      </c>
      <c r="W20" s="0" t="n">
        <v>0.3681</v>
      </c>
      <c r="X20" s="0" t="n">
        <v>2.654</v>
      </c>
      <c r="Y20" s="0" t="n">
        <v>0.7461</v>
      </c>
      <c r="Z20" s="0" t="n">
        <f aca="false">X20/W20</f>
        <v>7.20999728334692</v>
      </c>
      <c r="AA20" s="0" t="n">
        <f aca="false">W20*Y20</f>
        <v>0.27463941</v>
      </c>
      <c r="AB20" s="0" t="n">
        <v>1.88304042531906</v>
      </c>
      <c r="AC20" s="0" t="n">
        <v>6.25532489267603</v>
      </c>
      <c r="AD20" s="0" t="n">
        <v>0.0441</v>
      </c>
      <c r="AE20" s="0" t="n">
        <v>0.1013</v>
      </c>
      <c r="AF20" s="0" t="n">
        <v>0.9222</v>
      </c>
      <c r="AG20" s="0" t="n">
        <f aca="false">AE20/AD20</f>
        <v>2.29705215419501</v>
      </c>
      <c r="AH20" s="0" t="n">
        <f aca="false">AD20*AF20</f>
        <v>0.04066902</v>
      </c>
      <c r="AI20" s="0" t="n">
        <v>15.7176231419489</v>
      </c>
      <c r="AJ20" s="0" t="n">
        <v>52.2128139000917</v>
      </c>
      <c r="AK20" s="0" t="n">
        <v>0.007345</v>
      </c>
      <c r="AL20" s="0" t="n">
        <v>0.001133</v>
      </c>
      <c r="AM20" s="0" t="n">
        <v>1.116</v>
      </c>
      <c r="AN20" s="0" t="n">
        <f aca="false">AL20/AK20</f>
        <v>0.15425459496256</v>
      </c>
      <c r="AO20" s="0" t="n">
        <f aca="false">AK20*AM20</f>
        <v>0.00819702</v>
      </c>
      <c r="AP20" s="0" t="n">
        <v>94.3699360871267</v>
      </c>
      <c r="AQ20" s="0" t="n">
        <v>313.490142000551</v>
      </c>
    </row>
    <row r="21" customFormat="false" ht="13.2" hidden="false" customHeight="false" outlineLevel="0" collapsed="false">
      <c r="A21" s="0" t="n">
        <v>100</v>
      </c>
      <c r="B21" s="0" t="n">
        <v>2.5</v>
      </c>
      <c r="C21" s="0" t="n">
        <v>15.28</v>
      </c>
      <c r="D21" s="0" t="n">
        <v>0.7557</v>
      </c>
      <c r="E21" s="0" t="n">
        <f aca="false">C21/B21</f>
        <v>6.112</v>
      </c>
      <c r="F21" s="0" t="n">
        <f aca="false">B21*D21</f>
        <v>1.88925</v>
      </c>
      <c r="G21" s="0" t="n">
        <v>0.277258872223978</v>
      </c>
      <c r="H21" s="0" t="n">
        <v>0.921034037197618</v>
      </c>
      <c r="I21" s="0" t="n">
        <v>0.03925</v>
      </c>
      <c r="J21" s="0" t="n">
        <v>0.08567</v>
      </c>
      <c r="K21" s="0" t="n">
        <v>0.4273</v>
      </c>
      <c r="L21" s="0" t="n">
        <f aca="false">J21/I21</f>
        <v>2.18267515923567</v>
      </c>
      <c r="M21" s="0" t="n">
        <f aca="false">I21*K21</f>
        <v>0.016771525</v>
      </c>
      <c r="N21" s="0" t="n">
        <v>17.6598007785973</v>
      </c>
      <c r="O21" s="0" t="n">
        <v>58.6645883565362</v>
      </c>
      <c r="P21" s="0" t="n">
        <v>0.01466</v>
      </c>
      <c r="Q21" s="0" t="n">
        <v>0.04171</v>
      </c>
      <c r="R21" s="0" t="n">
        <v>0.8939</v>
      </c>
      <c r="S21" s="0" t="n">
        <f aca="false">Q21/P21</f>
        <v>2.84515688949522</v>
      </c>
      <c r="T21" s="0" t="n">
        <f aca="false">P21*R21</f>
        <v>0.013104574</v>
      </c>
      <c r="U21" s="0" t="n">
        <v>47.2815266411968</v>
      </c>
      <c r="V21" s="0" t="n">
        <v>157.065831718557</v>
      </c>
      <c r="W21" s="0" t="n">
        <v>0.3415</v>
      </c>
      <c r="X21" s="0" t="n">
        <v>2.42</v>
      </c>
      <c r="Y21" s="0" t="n">
        <v>0.7645</v>
      </c>
      <c r="Z21" s="0" t="n">
        <f aca="false">X21/W21</f>
        <v>7.08638360175695</v>
      </c>
      <c r="AA21" s="0" t="n">
        <f aca="false">W21*Y21</f>
        <v>0.26107675</v>
      </c>
      <c r="AB21" s="0" t="n">
        <v>2.02971355947275</v>
      </c>
      <c r="AC21" s="0" t="n">
        <v>6.74256249778637</v>
      </c>
      <c r="AD21" s="0" t="n">
        <v>0.04278</v>
      </c>
      <c r="AE21" s="0" t="n">
        <v>0.09466</v>
      </c>
      <c r="AF21" s="0" t="n">
        <v>0.9791</v>
      </c>
      <c r="AG21" s="0" t="n">
        <f aca="false">AE21/AD21</f>
        <v>2.21271622253389</v>
      </c>
      <c r="AH21" s="0" t="n">
        <f aca="false">AD21*AF21</f>
        <v>0.041885898</v>
      </c>
      <c r="AI21" s="0" t="n">
        <v>16.2025988910693</v>
      </c>
      <c r="AJ21" s="0" t="n">
        <v>53.823868466434</v>
      </c>
      <c r="AK21" s="0" t="n">
        <v>0.00723</v>
      </c>
      <c r="AL21" s="0" t="n">
        <v>0.0009343</v>
      </c>
      <c r="AM21" s="0" t="n">
        <v>1.309</v>
      </c>
      <c r="AN21" s="0" t="n">
        <f aca="false">AL21/AK21</f>
        <v>0.129225449515906</v>
      </c>
      <c r="AO21" s="0" t="n">
        <f aca="false">AK21*AM21</f>
        <v>0.00946407</v>
      </c>
      <c r="AP21" s="0" t="n">
        <v>95.8709793305595</v>
      </c>
      <c r="AQ21" s="0" t="n">
        <v>318.476499722551</v>
      </c>
    </row>
    <row r="22" customFormat="false" ht="13.2" hidden="false" customHeight="false" outlineLevel="0" collapsed="false">
      <c r="A22" s="0" t="n">
        <v>105</v>
      </c>
      <c r="B22" s="0" t="n">
        <v>2.364</v>
      </c>
      <c r="C22" s="0" t="n">
        <v>13.41</v>
      </c>
      <c r="D22" s="0" t="n">
        <v>0.7239</v>
      </c>
      <c r="E22" s="0" t="n">
        <f aca="false">C22/B22</f>
        <v>5.67258883248731</v>
      </c>
      <c r="F22" s="0" t="n">
        <f aca="false">B22*D22</f>
        <v>1.7112996</v>
      </c>
      <c r="G22" s="0" t="n">
        <v>0.29320946724194</v>
      </c>
      <c r="H22" s="0" t="n">
        <v>0.974020766917955</v>
      </c>
      <c r="I22" s="0" t="n">
        <v>0.03808</v>
      </c>
      <c r="J22" s="0" t="n">
        <v>0.07862</v>
      </c>
      <c r="K22" s="0" t="n">
        <v>0.4394</v>
      </c>
      <c r="L22" s="0" t="n">
        <f aca="false">J22/I22</f>
        <v>2.06460084033613</v>
      </c>
      <c r="M22" s="0" t="n">
        <f aca="false">I22*K22</f>
        <v>0.016732352</v>
      </c>
      <c r="N22" s="0" t="n">
        <v>18.2023944474776</v>
      </c>
      <c r="O22" s="0" t="n">
        <v>60.4670455092974</v>
      </c>
      <c r="P22" s="0" t="n">
        <v>0.01397</v>
      </c>
      <c r="Q22" s="0" t="n">
        <v>0.03815</v>
      </c>
      <c r="R22" s="0" t="n">
        <v>0.908</v>
      </c>
      <c r="S22" s="0" t="n">
        <f aca="false">Q22/P22</f>
        <v>2.73085182534001</v>
      </c>
      <c r="T22" s="0" t="n">
        <f aca="false">P22*R22</f>
        <v>0.01268476</v>
      </c>
      <c r="U22" s="0" t="n">
        <v>49.6168346857513</v>
      </c>
      <c r="V22" s="0" t="n">
        <v>164.823557121979</v>
      </c>
      <c r="W22" s="0" t="n">
        <v>0.3135</v>
      </c>
      <c r="X22" s="0" t="n">
        <v>2.227</v>
      </c>
      <c r="Y22" s="0" t="n">
        <v>0.7788</v>
      </c>
      <c r="Z22" s="0" t="n">
        <f aca="false">X22/W22</f>
        <v>7.103668261563</v>
      </c>
      <c r="AA22" s="0" t="n">
        <f aca="false">W22*Y22</f>
        <v>0.2441538</v>
      </c>
      <c r="AB22" s="0" t="n">
        <v>2.21099579125979</v>
      </c>
      <c r="AC22" s="0" t="n">
        <v>7.34476903666362</v>
      </c>
      <c r="AD22" s="0" t="n">
        <v>0.04143</v>
      </c>
      <c r="AE22" s="0" t="n">
        <v>0.08751</v>
      </c>
      <c r="AF22" s="0" t="n">
        <v>1.014</v>
      </c>
      <c r="AG22" s="0" t="n">
        <f aca="false">AE22/AD22</f>
        <v>2.11223750905141</v>
      </c>
      <c r="AH22" s="0" t="n">
        <f aca="false">AD22*AF22</f>
        <v>0.04201002</v>
      </c>
      <c r="AI22" s="0" t="n">
        <v>16.7305619251737</v>
      </c>
      <c r="AJ22" s="0" t="n">
        <v>55.5777237024872</v>
      </c>
      <c r="AK22" s="0" t="n">
        <v>0.00705</v>
      </c>
      <c r="AL22" s="0" t="n">
        <v>0.0006199</v>
      </c>
      <c r="AM22" s="0" t="n">
        <v>1.365</v>
      </c>
      <c r="AN22" s="0" t="n">
        <f aca="false">AL22/AK22</f>
        <v>0.0879290780141844</v>
      </c>
      <c r="AO22" s="0" t="n">
        <f aca="false">AK22*AM22</f>
        <v>0.00962325</v>
      </c>
      <c r="AP22" s="0" t="n">
        <v>98.3187490155951</v>
      </c>
      <c r="AQ22" s="0" t="n">
        <v>326.607814609084</v>
      </c>
    </row>
    <row r="23" customFormat="false" ht="13.2" hidden="false" customHeight="false" outlineLevel="0" collapsed="false">
      <c r="A23" s="0" t="n">
        <v>110</v>
      </c>
      <c r="B23" s="0" t="n">
        <v>2.296</v>
      </c>
      <c r="C23" s="0" t="n">
        <v>11.7</v>
      </c>
      <c r="D23" s="0" t="n">
        <v>0.6827</v>
      </c>
      <c r="E23" s="0" t="n">
        <f aca="false">C23/B23</f>
        <v>5.09581881533101</v>
      </c>
      <c r="F23" s="0" t="n">
        <f aca="false">B23*D23</f>
        <v>1.5674792</v>
      </c>
      <c r="G23" s="0" t="n">
        <v>0.301893371324018</v>
      </c>
      <c r="H23" s="0" t="n">
        <v>1.00286807186152</v>
      </c>
      <c r="I23" s="0" t="n">
        <v>0.03715</v>
      </c>
      <c r="J23" s="0" t="n">
        <v>0.07436</v>
      </c>
      <c r="K23" s="0" t="n">
        <v>0.4752</v>
      </c>
      <c r="L23" s="0" t="n">
        <f aca="false">J23/I23</f>
        <v>2.00161507402423</v>
      </c>
      <c r="M23" s="0" t="n">
        <f aca="false">I23*K23</f>
        <v>0.01765368</v>
      </c>
      <c r="N23" s="0" t="n">
        <v>18.6580667714656</v>
      </c>
      <c r="O23" s="0" t="n">
        <v>61.9807562044158</v>
      </c>
      <c r="P23" s="0" t="n">
        <v>0.01336</v>
      </c>
      <c r="Q23" s="0" t="n">
        <v>0.03521</v>
      </c>
      <c r="R23" s="0" t="n">
        <v>0.9244</v>
      </c>
      <c r="S23" s="0" t="n">
        <f aca="false">Q23/P23</f>
        <v>2.63547904191617</v>
      </c>
      <c r="T23" s="0" t="n">
        <f aca="false">P23*R23</f>
        <v>0.012349984</v>
      </c>
      <c r="U23" s="0" t="n">
        <v>51.8822739940079</v>
      </c>
      <c r="V23" s="0" t="n">
        <v>172.349183607339</v>
      </c>
      <c r="W23" s="0" t="n">
        <v>0.2849</v>
      </c>
      <c r="X23" s="0" t="n">
        <v>2.061</v>
      </c>
      <c r="Y23" s="0" t="n">
        <v>0.7897</v>
      </c>
      <c r="Z23" s="0" t="n">
        <f aca="false">X23/W23</f>
        <v>7.23411723411723</v>
      </c>
      <c r="AA23" s="0" t="n">
        <f aca="false">W23*Y23</f>
        <v>0.22498553</v>
      </c>
      <c r="AB23" s="0" t="n">
        <v>2.43294903671444</v>
      </c>
      <c r="AC23" s="0" t="n">
        <v>8.08208175849086</v>
      </c>
      <c r="AD23" s="0" t="n">
        <v>0.04008</v>
      </c>
      <c r="AE23" s="0" t="n">
        <v>0.08047</v>
      </c>
      <c r="AF23" s="0" t="n">
        <v>1.03</v>
      </c>
      <c r="AG23" s="0" t="n">
        <f aca="false">AE23/AD23</f>
        <v>2.00773453093812</v>
      </c>
      <c r="AH23" s="0" t="n">
        <f aca="false">AD23*AF23</f>
        <v>0.0412824</v>
      </c>
      <c r="AI23" s="0" t="n">
        <v>17.294091331336</v>
      </c>
      <c r="AJ23" s="0" t="n">
        <v>57.4497278691129</v>
      </c>
      <c r="AK23" s="0" t="n">
        <v>0.006921</v>
      </c>
      <c r="AL23" s="0" t="n">
        <v>0.0001976</v>
      </c>
      <c r="AM23" s="0" t="n">
        <v>3.309</v>
      </c>
      <c r="AN23" s="0" t="n">
        <f aca="false">AL23/AK23</f>
        <v>0.0285507874584598</v>
      </c>
      <c r="AO23" s="0" t="n">
        <f aca="false">AK23*AM23</f>
        <v>0.022901589</v>
      </c>
      <c r="AP23" s="0" t="n">
        <v>100.151304805656</v>
      </c>
      <c r="AQ23" s="0" t="n">
        <v>332.695433173536</v>
      </c>
    </row>
    <row r="24" customFormat="false" ht="13.2" hidden="false" customHeight="false" outlineLevel="0" collapsed="false">
      <c r="A24" s="0" t="n">
        <v>115</v>
      </c>
      <c r="B24" s="0" t="n">
        <v>2.265</v>
      </c>
      <c r="C24" s="0" t="n">
        <v>10.21</v>
      </c>
      <c r="D24" s="0" t="n">
        <v>0.6363</v>
      </c>
      <c r="E24" s="0" t="n">
        <f aca="false">C24/B24</f>
        <v>4.50772626931567</v>
      </c>
      <c r="F24" s="0" t="n">
        <f aca="false">B24*D24</f>
        <v>1.4412195</v>
      </c>
      <c r="G24" s="0" t="n">
        <v>0.306025245280329</v>
      </c>
      <c r="H24" s="0" t="n">
        <v>1.01659386004152</v>
      </c>
      <c r="I24" s="0" t="n">
        <v>0.03636</v>
      </c>
      <c r="J24" s="0" t="n">
        <v>0.07201</v>
      </c>
      <c r="K24" s="0" t="n">
        <v>0.5319</v>
      </c>
      <c r="L24" s="0" t="n">
        <f aca="false">J24/I24</f>
        <v>1.98047304730473</v>
      </c>
      <c r="M24" s="0" t="n">
        <f aca="false">I24*K24</f>
        <v>0.019339884</v>
      </c>
      <c r="N24" s="0" t="n">
        <v>19.0634538107796</v>
      </c>
      <c r="O24" s="0" t="n">
        <v>63.3274227996162</v>
      </c>
      <c r="P24" s="0" t="n">
        <v>0.01283</v>
      </c>
      <c r="Q24" s="0" t="n">
        <v>0.06271</v>
      </c>
      <c r="R24" s="0" t="n">
        <v>0.9423</v>
      </c>
      <c r="S24" s="0" t="n">
        <f aca="false">Q24/P24</f>
        <v>4.88776305533905</v>
      </c>
      <c r="T24" s="0" t="n">
        <f aca="false">P24*R24</f>
        <v>0.012089709</v>
      </c>
      <c r="U24" s="0" t="n">
        <v>54.0255012127783</v>
      </c>
      <c r="V24" s="0" t="n">
        <v>179.468830319099</v>
      </c>
      <c r="W24" s="0" t="n">
        <v>0.2579</v>
      </c>
      <c r="X24" s="0" t="n">
        <v>1.922</v>
      </c>
      <c r="Y24" s="0" t="n">
        <v>0.8008</v>
      </c>
      <c r="Z24" s="0" t="n">
        <f aca="false">X24/W24</f>
        <v>7.45250096936797</v>
      </c>
      <c r="AA24" s="0" t="n">
        <f aca="false">W24*Y24</f>
        <v>0.20652632</v>
      </c>
      <c r="AB24" s="0" t="n">
        <v>2.68765870709556</v>
      </c>
      <c r="AC24" s="0" t="n">
        <v>8.92820896856939</v>
      </c>
      <c r="AD24" s="0" t="n">
        <v>0.03878</v>
      </c>
      <c r="AE24" s="0" t="n">
        <v>0.07394</v>
      </c>
      <c r="AF24" s="0" t="n">
        <v>1.033</v>
      </c>
      <c r="AG24" s="0" t="n">
        <f aca="false">AE24/AD24</f>
        <v>1.90665291387313</v>
      </c>
      <c r="AH24" s="0" t="n">
        <f aca="false">AD24*AF24</f>
        <v>0.04005974</v>
      </c>
      <c r="AI24" s="0" t="n">
        <v>17.8738313708083</v>
      </c>
      <c r="AJ24" s="0" t="n">
        <v>59.3755825939671</v>
      </c>
      <c r="AK24" s="0" t="n">
        <v>0.006864</v>
      </c>
      <c r="AL24" s="0" t="n">
        <v>-0.0003908</v>
      </c>
      <c r="AM24" s="0" t="n">
        <v>0.6469</v>
      </c>
      <c r="AN24" s="0" t="n">
        <f aca="false">AL24/AK24</f>
        <v>-0.0569347319347319</v>
      </c>
      <c r="AO24" s="0" t="n">
        <f aca="false">AK24*AM24</f>
        <v>0.0044403216</v>
      </c>
      <c r="AP24" s="0" t="n">
        <v>100.982980850808</v>
      </c>
      <c r="AQ24" s="0" t="n">
        <v>335.458201193771</v>
      </c>
    </row>
    <row r="25" customFormat="false" ht="13.2" hidden="false" customHeight="false" outlineLevel="0" collapsed="false">
      <c r="A25" s="0" t="n">
        <v>120</v>
      </c>
      <c r="B25" s="0" t="n">
        <v>2.246</v>
      </c>
      <c r="C25" s="0" t="n">
        <v>8.95</v>
      </c>
      <c r="D25" s="0" t="n">
        <v>0.5873</v>
      </c>
      <c r="E25" s="0" t="n">
        <f aca="false">C25/B25</f>
        <v>3.98486197684773</v>
      </c>
      <c r="F25" s="0" t="n">
        <f aca="false">B25*D25</f>
        <v>1.3190758</v>
      </c>
      <c r="G25" s="0" t="n">
        <v>0.3086140608014</v>
      </c>
      <c r="H25" s="0" t="n">
        <v>1.02519371905345</v>
      </c>
      <c r="I25" s="0" t="n">
        <v>0.03566</v>
      </c>
      <c r="J25" s="0" t="n">
        <v>0.07109</v>
      </c>
      <c r="K25" s="0" t="n">
        <v>0.6073</v>
      </c>
      <c r="L25" s="0" t="n">
        <f aca="false">J25/I25</f>
        <v>1.99355019629837</v>
      </c>
      <c r="M25" s="0" t="n">
        <f aca="false">I25*K25</f>
        <v>0.021656318</v>
      </c>
      <c r="N25" s="0" t="n">
        <v>19.4376663084673</v>
      </c>
      <c r="O25" s="0" t="n">
        <v>64.5705298091432</v>
      </c>
      <c r="P25" s="0" t="n">
        <v>0.01235</v>
      </c>
      <c r="Q25" s="0" t="n">
        <v>0.03047</v>
      </c>
      <c r="R25" s="0" t="n">
        <v>0.9566</v>
      </c>
      <c r="S25" s="0" t="n">
        <f aca="false">Q25/P25</f>
        <v>2.46720647773279</v>
      </c>
      <c r="T25" s="0" t="n">
        <f aca="false">P25*R25</f>
        <v>0.01181401</v>
      </c>
      <c r="U25" s="0" t="n">
        <v>56.1252777781332</v>
      </c>
      <c r="V25" s="0" t="n">
        <v>186.444137084538</v>
      </c>
      <c r="W25" s="0" t="n">
        <v>0.2336</v>
      </c>
      <c r="X25" s="0" t="n">
        <v>1.797</v>
      </c>
      <c r="Y25" s="0" t="n">
        <v>0.8116</v>
      </c>
      <c r="Z25" s="0" t="n">
        <f aca="false">X25/W25</f>
        <v>7.69263698630137</v>
      </c>
      <c r="AA25" s="0" t="n">
        <f aca="false">W25*Y25</f>
        <v>0.18958976</v>
      </c>
      <c r="AB25" s="0" t="n">
        <v>2.96723964280798</v>
      </c>
      <c r="AC25" s="0" t="n">
        <v>9.85695673370739</v>
      </c>
      <c r="AD25" s="0" t="n">
        <v>0.03758</v>
      </c>
      <c r="AE25" s="0" t="n">
        <v>0.06808</v>
      </c>
      <c r="AF25" s="0" t="n">
        <v>1.031</v>
      </c>
      <c r="AG25" s="0" t="n">
        <f aca="false">AE25/AD25</f>
        <v>1.81160191591272</v>
      </c>
      <c r="AH25" s="0" t="n">
        <f aca="false">AD25*AF25</f>
        <v>0.03874498</v>
      </c>
      <c r="AI25" s="0" t="n">
        <v>18.4445763853099</v>
      </c>
      <c r="AJ25" s="0" t="n">
        <v>61.2715564926569</v>
      </c>
      <c r="AK25" s="0" t="n">
        <v>0.006726</v>
      </c>
      <c r="AL25" s="0" t="n">
        <v>-0.0008308</v>
      </c>
      <c r="AM25" s="0" t="n">
        <v>1.006</v>
      </c>
      <c r="AN25" s="0" t="n">
        <f aca="false">AL25/AK25</f>
        <v>-0.12352066607196</v>
      </c>
      <c r="AO25" s="0" t="n">
        <f aca="false">AK25*AM25</f>
        <v>0.006766356</v>
      </c>
      <c r="AP25" s="0" t="n">
        <v>103.054888575668</v>
      </c>
      <c r="AQ25" s="0" t="n">
        <v>342.340929674999</v>
      </c>
    </row>
    <row r="26" customFormat="false" ht="13.2" hidden="false" customHeight="false" outlineLevel="0" collapsed="false">
      <c r="A26" s="0" t="n">
        <v>125</v>
      </c>
      <c r="B26" s="0" t="n">
        <v>2.219</v>
      </c>
      <c r="C26" s="0" t="n">
        <v>7.923</v>
      </c>
      <c r="D26" s="0" t="n">
        <v>0.5386</v>
      </c>
      <c r="E26" s="0" t="n">
        <f aca="false">C26/B26</f>
        <v>3.57052726453357</v>
      </c>
      <c r="F26" s="0" t="n">
        <f aca="false">B26*D26</f>
        <v>1.1951534</v>
      </c>
      <c r="G26" s="0" t="n">
        <v>0.312369166543463</v>
      </c>
      <c r="H26" s="0" t="n">
        <v>1.03766791031728</v>
      </c>
      <c r="I26" s="0" t="n">
        <v>0.03502</v>
      </c>
      <c r="J26" s="0" t="n">
        <v>0.07113</v>
      </c>
      <c r="K26" s="0" t="n">
        <v>0.6974</v>
      </c>
      <c r="L26" s="0" t="n">
        <f aca="false">J26/I26</f>
        <v>2.03112507138778</v>
      </c>
      <c r="M26" s="0" t="n">
        <f aca="false">I26*K26</f>
        <v>0.024422948</v>
      </c>
      <c r="N26" s="0" t="n">
        <v>19.7928949331795</v>
      </c>
      <c r="O26" s="0" t="n">
        <v>65.7505737576826</v>
      </c>
      <c r="P26" s="0" t="n">
        <v>0.01192</v>
      </c>
      <c r="Q26" s="0" t="n">
        <v>0.02863</v>
      </c>
      <c r="R26" s="0" t="n">
        <v>0.9684</v>
      </c>
      <c r="S26" s="0" t="n">
        <f aca="false">Q26/P26</f>
        <v>2.40184563758389</v>
      </c>
      <c r="T26" s="0" t="n">
        <f aca="false">P26*R26</f>
        <v>0.011543328</v>
      </c>
      <c r="U26" s="0" t="n">
        <v>58.149931255029</v>
      </c>
      <c r="V26" s="0" t="n">
        <v>193.169890351849</v>
      </c>
      <c r="W26" s="0" t="n">
        <v>0.213</v>
      </c>
      <c r="X26" s="0" t="n">
        <v>1.677</v>
      </c>
      <c r="Y26" s="0" t="n">
        <v>0.8217</v>
      </c>
      <c r="Z26" s="0" t="n">
        <f aca="false">X26/W26</f>
        <v>7.87323943661972</v>
      </c>
      <c r="AA26" s="0" t="n">
        <f aca="false">W26*Y26</f>
        <v>0.1750221</v>
      </c>
      <c r="AB26" s="0" t="n">
        <v>3.25421211530491</v>
      </c>
      <c r="AC26" s="0" t="n">
        <v>10.8102586525542</v>
      </c>
      <c r="AD26" s="0" t="n">
        <v>0.03652</v>
      </c>
      <c r="AE26" s="0" t="n">
        <v>0.06304</v>
      </c>
      <c r="AF26" s="0" t="n">
        <v>1.031</v>
      </c>
      <c r="AG26" s="0" t="n">
        <f aca="false">AE26/AD26</f>
        <v>1.72617743702081</v>
      </c>
      <c r="AH26" s="0" t="n">
        <f aca="false">AD26*AF26</f>
        <v>0.03765212</v>
      </c>
      <c r="AI26" s="0" t="n">
        <v>18.9799337502723</v>
      </c>
      <c r="AJ26" s="0" t="n">
        <v>63.0499751641305</v>
      </c>
      <c r="AK26" s="0" t="n">
        <v>0.006584</v>
      </c>
      <c r="AL26" s="0" t="n">
        <v>-0.001214</v>
      </c>
      <c r="AM26" s="0" t="n">
        <v>1.192</v>
      </c>
      <c r="AN26" s="0" t="n">
        <f aca="false">AL26/AK26</f>
        <v>-0.184386391251519</v>
      </c>
      <c r="AO26" s="0" t="n">
        <f aca="false">AK26*AM26</f>
        <v>0.007848128</v>
      </c>
      <c r="AP26" s="0" t="n">
        <v>105.277518311049</v>
      </c>
      <c r="AQ26" s="0" t="n">
        <v>349.724345837492</v>
      </c>
    </row>
    <row r="27" customFormat="false" ht="13.2" hidden="false" customHeight="false" outlineLevel="0" collapsed="false">
      <c r="A27" s="0" t="n">
        <v>130</v>
      </c>
      <c r="B27" s="0" t="n">
        <v>2.17</v>
      </c>
      <c r="C27" s="0" t="n">
        <v>7.094</v>
      </c>
      <c r="D27" s="0" t="n">
        <v>0.4909</v>
      </c>
      <c r="E27" s="0" t="n">
        <f aca="false">C27/B27</f>
        <v>3.26912442396313</v>
      </c>
      <c r="F27" s="0" t="n">
        <f aca="false">B27*D27</f>
        <v>1.065253</v>
      </c>
      <c r="G27" s="0" t="n">
        <v>0.319422663852509</v>
      </c>
      <c r="H27" s="0" t="n">
        <v>1.06109912119541</v>
      </c>
      <c r="I27" s="0" t="n">
        <v>0.03445</v>
      </c>
      <c r="J27" s="0" t="n">
        <v>0.0716</v>
      </c>
      <c r="K27" s="0" t="n">
        <v>0.7969</v>
      </c>
      <c r="L27" s="0" t="n">
        <f aca="false">J27/I27</f>
        <v>2.07837445573295</v>
      </c>
      <c r="M27" s="0" t="n">
        <f aca="false">I27*K27</f>
        <v>0.027453205</v>
      </c>
      <c r="N27" s="0" t="n">
        <v>20.1203825997081</v>
      </c>
      <c r="O27" s="0" t="n">
        <v>66.8384642378533</v>
      </c>
      <c r="P27" s="0" t="n">
        <v>0.01155</v>
      </c>
      <c r="Q27" s="0" t="n">
        <v>0.02702</v>
      </c>
      <c r="R27" s="0" t="n">
        <v>0.9802</v>
      </c>
      <c r="S27" s="0" t="n">
        <f aca="false">Q27/P27</f>
        <v>2.33939393939394</v>
      </c>
      <c r="T27" s="0" t="n">
        <f aca="false">P27*R27</f>
        <v>0.01132131</v>
      </c>
      <c r="U27" s="0" t="n">
        <v>60.012742905623</v>
      </c>
      <c r="V27" s="0" t="n">
        <v>199.358016709441</v>
      </c>
      <c r="W27" s="0" t="n">
        <v>0.1969</v>
      </c>
      <c r="X27" s="0" t="n">
        <v>1.557</v>
      </c>
      <c r="Y27" s="0" t="n">
        <v>0.8309</v>
      </c>
      <c r="Z27" s="0" t="n">
        <f aca="false">X27/W27</f>
        <v>7.90756729304215</v>
      </c>
      <c r="AA27" s="0" t="n">
        <f aca="false">W27*Y27</f>
        <v>0.16360421</v>
      </c>
      <c r="AB27" s="0" t="n">
        <v>3.52030056150302</v>
      </c>
      <c r="AC27" s="0" t="n">
        <v>11.6941853377047</v>
      </c>
      <c r="AD27" s="0" t="n">
        <v>0.03561</v>
      </c>
      <c r="AE27" s="0" t="n">
        <v>0.05874</v>
      </c>
      <c r="AF27" s="0" t="n">
        <v>1.037</v>
      </c>
      <c r="AG27" s="0" t="n">
        <f aca="false">AE27/AD27</f>
        <v>1.64953664700927</v>
      </c>
      <c r="AH27" s="0" t="n">
        <f aca="false">AD27*AF27</f>
        <v>0.03692757</v>
      </c>
      <c r="AI27" s="0" t="n">
        <v>19.4649587351852</v>
      </c>
      <c r="AJ27" s="0" t="n">
        <v>64.6611932882349</v>
      </c>
      <c r="AK27" s="0" t="n">
        <v>0.006472</v>
      </c>
      <c r="AL27" s="0" t="n">
        <v>-0.001539</v>
      </c>
      <c r="AM27" s="0" t="n">
        <v>1.285</v>
      </c>
      <c r="AN27" s="0" t="n">
        <f aca="false">AL27/AK27</f>
        <v>-0.237793572311496</v>
      </c>
      <c r="AO27" s="0" t="n">
        <f aca="false">AK27*AM27</f>
        <v>0.00831652</v>
      </c>
      <c r="AP27" s="0" t="n">
        <v>107.099378949312</v>
      </c>
      <c r="AQ27" s="0" t="n">
        <v>355.776435876707</v>
      </c>
    </row>
    <row r="28" customFormat="false" ht="13.2" hidden="false" customHeight="false" outlineLevel="0" collapsed="false">
      <c r="A28" s="0" t="n">
        <v>135</v>
      </c>
      <c r="B28" s="0" t="n">
        <v>2.102</v>
      </c>
      <c r="C28" s="0" t="n">
        <v>6.45</v>
      </c>
      <c r="D28" s="0" t="n">
        <v>0.4469</v>
      </c>
      <c r="E28" s="0" t="n">
        <f aca="false">C28/B28</f>
        <v>3.06850618458611</v>
      </c>
      <c r="F28" s="0" t="n">
        <f aca="false">B28*D28</f>
        <v>0.9393838</v>
      </c>
      <c r="G28" s="0" t="n">
        <v>0.32975603261653</v>
      </c>
      <c r="H28" s="0" t="n">
        <v>1.09542582920744</v>
      </c>
      <c r="I28" s="0" t="n">
        <v>0.03394</v>
      </c>
      <c r="J28" s="0" t="n">
        <v>0.07263</v>
      </c>
      <c r="K28" s="0" t="n">
        <v>0.9099</v>
      </c>
      <c r="L28" s="0" t="n">
        <f aca="false">J28/I28</f>
        <v>2.13995285798468</v>
      </c>
      <c r="M28" s="0" t="n">
        <f aca="false">I28*K28</f>
        <v>0.030882006</v>
      </c>
      <c r="N28" s="0" t="n">
        <v>20.4227218786077</v>
      </c>
      <c r="O28" s="0" t="n">
        <v>67.8428135826177</v>
      </c>
      <c r="P28" s="0" t="n">
        <v>0.01122</v>
      </c>
      <c r="Q28" s="0" t="n">
        <v>0.02561</v>
      </c>
      <c r="R28" s="0" t="n">
        <v>0.9901</v>
      </c>
      <c r="S28" s="0" t="n">
        <f aca="false">Q28/P28</f>
        <v>2.2825311942959</v>
      </c>
      <c r="T28" s="0" t="n">
        <f aca="false">P28*R28</f>
        <v>0.011108922</v>
      </c>
      <c r="U28" s="0" t="n">
        <v>61.7778235793178</v>
      </c>
      <c r="V28" s="0" t="n">
        <v>205.221487789131</v>
      </c>
      <c r="W28" s="0" t="n">
        <v>0.1838</v>
      </c>
      <c r="X28" s="0" t="n">
        <v>1.44</v>
      </c>
      <c r="Y28" s="0" t="n">
        <v>0.8391</v>
      </c>
      <c r="Z28" s="0" t="n">
        <f aca="false">X28/W28</f>
        <v>7.83460282916213</v>
      </c>
      <c r="AA28" s="0" t="n">
        <f aca="false">W28*Y28</f>
        <v>0.15422658</v>
      </c>
      <c r="AB28" s="0" t="n">
        <v>3.77120337627827</v>
      </c>
      <c r="AC28" s="0" t="n">
        <v>12.5276664471929</v>
      </c>
      <c r="AD28" s="0" t="n">
        <v>0.03481</v>
      </c>
      <c r="AE28" s="0" t="n">
        <v>0.05519</v>
      </c>
      <c r="AF28" s="0" t="n">
        <v>1.049</v>
      </c>
      <c r="AG28" s="0" t="n">
        <f aca="false">AE28/AD28</f>
        <v>1.58546394714163</v>
      </c>
      <c r="AH28" s="0" t="n">
        <f aca="false">AD28*AF28</f>
        <v>0.03651569</v>
      </c>
      <c r="AI28" s="0" t="n">
        <v>19.9123005044512</v>
      </c>
      <c r="AJ28" s="0" t="n">
        <v>66.1472304795762</v>
      </c>
      <c r="AK28" s="0" t="n">
        <v>0.006306</v>
      </c>
      <c r="AL28" s="0" t="n">
        <v>-0.001731</v>
      </c>
      <c r="AM28" s="0" t="n">
        <v>1.465</v>
      </c>
      <c r="AN28" s="0" t="n">
        <f aca="false">AL28/AK28</f>
        <v>-0.274500475737393</v>
      </c>
      <c r="AO28" s="0" t="n">
        <f aca="false">AK28*AM28</f>
        <v>0.00923829</v>
      </c>
      <c r="AP28" s="0" t="n">
        <v>109.918677538843</v>
      </c>
      <c r="AQ28" s="0" t="n">
        <v>365.141943069148</v>
      </c>
    </row>
    <row r="29" customFormat="false" ht="13.2" hidden="false" customHeight="false" outlineLevel="0" collapsed="false">
      <c r="A29" s="0" t="n">
        <v>140</v>
      </c>
      <c r="B29" s="0" t="n">
        <v>2.009</v>
      </c>
      <c r="C29" s="0" t="n">
        <v>5.916</v>
      </c>
      <c r="D29" s="0" t="n">
        <v>0.4018</v>
      </c>
      <c r="E29" s="0" t="n">
        <f aca="false">C29/B29</f>
        <v>2.94474863115978</v>
      </c>
      <c r="F29" s="0" t="n">
        <f aca="false">B29*D29</f>
        <v>0.8072162</v>
      </c>
      <c r="G29" s="0" t="n">
        <v>0.345020995798878</v>
      </c>
      <c r="H29" s="0" t="n">
        <v>1.14613493927031</v>
      </c>
      <c r="I29" s="0" t="n">
        <v>0.03345</v>
      </c>
      <c r="J29" s="0" t="n">
        <v>0.07476</v>
      </c>
      <c r="K29" s="0" t="n">
        <v>1.047</v>
      </c>
      <c r="L29" s="0" t="n">
        <f aca="false">J29/I29</f>
        <v>2.23497757847534</v>
      </c>
      <c r="M29" s="0" t="n">
        <f aca="false">I29*K29</f>
        <v>0.03502215</v>
      </c>
      <c r="N29" s="0" t="n">
        <v>20.7218888059774</v>
      </c>
      <c r="O29" s="0" t="n">
        <v>68.8366246037084</v>
      </c>
      <c r="P29" s="0" t="n">
        <v>0.01088</v>
      </c>
      <c r="Q29" s="0" t="n">
        <v>0.02436</v>
      </c>
      <c r="R29" s="0" t="n">
        <v>0.9964</v>
      </c>
      <c r="S29" s="0" t="n">
        <f aca="false">Q29/P29</f>
        <v>2.23897058823529</v>
      </c>
      <c r="T29" s="0" t="n">
        <f aca="false">P29*R29</f>
        <v>0.010840832</v>
      </c>
      <c r="U29" s="0" t="n">
        <v>63.7083805661714</v>
      </c>
      <c r="V29" s="0" t="n">
        <v>211.634659282541</v>
      </c>
      <c r="W29" s="0" t="n">
        <v>0.1724</v>
      </c>
      <c r="X29" s="0" t="n">
        <v>1.328</v>
      </c>
      <c r="Y29" s="0" t="n">
        <v>0.8458</v>
      </c>
      <c r="Z29" s="0" t="n">
        <f aca="false">X29/W29</f>
        <v>7.70301624129931</v>
      </c>
      <c r="AA29" s="0" t="n">
        <f aca="false">W29*Y29</f>
        <v>0.14581592</v>
      </c>
      <c r="AB29" s="0" t="n">
        <v>4.02057529327114</v>
      </c>
      <c r="AC29" s="0" t="n">
        <v>13.3560620243274</v>
      </c>
      <c r="AD29" s="0" t="n">
        <v>0.03407</v>
      </c>
      <c r="AE29" s="0" t="n">
        <v>0.05145</v>
      </c>
      <c r="AF29" s="0" t="n">
        <v>1.057</v>
      </c>
      <c r="AG29" s="0" t="n">
        <f aca="false">AE29/AD29</f>
        <v>1.51012621074259</v>
      </c>
      <c r="AH29" s="0" t="n">
        <f aca="false">AD29*AF29</f>
        <v>0.03601199</v>
      </c>
      <c r="AI29" s="0" t="n">
        <v>20.3447954376268</v>
      </c>
      <c r="AJ29" s="0" t="n">
        <v>67.5839475489887</v>
      </c>
      <c r="AK29" s="0" t="n">
        <v>0.006191</v>
      </c>
      <c r="AL29" s="0" t="n">
        <v>-0.001849</v>
      </c>
      <c r="AM29" s="0" t="n">
        <v>1.53</v>
      </c>
      <c r="AN29" s="0" t="n">
        <f aca="false">AL29/AK29</f>
        <v>-0.298659344209336</v>
      </c>
      <c r="AO29" s="0" t="n">
        <f aca="false">AK29*AM29</f>
        <v>0.00947223</v>
      </c>
      <c r="AP29" s="0" t="n">
        <v>111.960455590364</v>
      </c>
      <c r="AQ29" s="0" t="n">
        <v>371.92458294202</v>
      </c>
    </row>
    <row r="30" customFormat="false" ht="13.2" hidden="false" customHeight="false" outlineLevel="0" collapsed="false">
      <c r="A30" s="0" t="n">
        <v>145</v>
      </c>
      <c r="B30" s="0" t="n">
        <v>1.895</v>
      </c>
      <c r="C30" s="0" t="n">
        <v>5.498</v>
      </c>
      <c r="D30" s="0" t="n">
        <v>0.358</v>
      </c>
      <c r="E30" s="0" t="n">
        <f aca="false">C30/B30</f>
        <v>2.90131926121372</v>
      </c>
      <c r="F30" s="0" t="n">
        <f aca="false">B30*D30</f>
        <v>0.67841</v>
      </c>
      <c r="G30" s="0" t="n">
        <v>0.365776876284932</v>
      </c>
      <c r="H30" s="0" t="n">
        <v>1.21508448179105</v>
      </c>
      <c r="I30" s="0" t="n">
        <v>0.03296</v>
      </c>
      <c r="J30" s="0" t="n">
        <v>0.07875</v>
      </c>
      <c r="K30" s="0" t="n">
        <v>1.224</v>
      </c>
      <c r="L30" s="0" t="n">
        <f aca="false">J30/I30</f>
        <v>2.38925970873786</v>
      </c>
      <c r="M30" s="0" t="n">
        <f aca="false">I30*K30</f>
        <v>0.04034304</v>
      </c>
      <c r="N30" s="0" t="n">
        <v>21.0299508665032</v>
      </c>
      <c r="O30" s="0" t="n">
        <v>69.8599846175378</v>
      </c>
      <c r="P30" s="0" t="n">
        <v>0.01056</v>
      </c>
      <c r="Q30" s="0" t="n">
        <v>0.02313</v>
      </c>
      <c r="R30" s="0" t="n">
        <v>0.9987</v>
      </c>
      <c r="S30" s="0" t="n">
        <f aca="false">Q30/P30</f>
        <v>2.19034090909091</v>
      </c>
      <c r="T30" s="0" t="n">
        <f aca="false">P30*R30</f>
        <v>0.010546272</v>
      </c>
      <c r="U30" s="0" t="n">
        <v>65.6389375530251</v>
      </c>
      <c r="V30" s="0" t="n">
        <v>218.047830775951</v>
      </c>
      <c r="W30" s="0" t="n">
        <v>0.1616</v>
      </c>
      <c r="X30" s="0" t="n">
        <v>1.225</v>
      </c>
      <c r="Y30" s="0" t="n">
        <v>0.8519</v>
      </c>
      <c r="Z30" s="0" t="n">
        <f aca="false">X30/W30</f>
        <v>7.58044554455446</v>
      </c>
      <c r="AA30" s="0" t="n">
        <f aca="false">W30*Y30</f>
        <v>0.13766704</v>
      </c>
      <c r="AB30" s="0" t="n">
        <v>4.2892771074254</v>
      </c>
      <c r="AC30" s="0" t="n">
        <v>14.2486701299136</v>
      </c>
      <c r="AD30" s="0" t="n">
        <v>0.03336</v>
      </c>
      <c r="AE30" s="0" t="n">
        <v>0.04795</v>
      </c>
      <c r="AF30" s="0" t="n">
        <v>1.063</v>
      </c>
      <c r="AG30" s="0" t="n">
        <f aca="false">AE30/AD30</f>
        <v>1.43735011990408</v>
      </c>
      <c r="AH30" s="0" t="n">
        <f aca="false">AD30*AF30</f>
        <v>0.03546168</v>
      </c>
      <c r="AI30" s="0" t="n">
        <v>20.7777931822526</v>
      </c>
      <c r="AJ30" s="0" t="n">
        <v>69.0223349218839</v>
      </c>
      <c r="AK30" s="0" t="n">
        <v>0.006115</v>
      </c>
      <c r="AL30" s="0" t="n">
        <v>-0.001869</v>
      </c>
      <c r="AM30" s="0" t="n">
        <v>1.498</v>
      </c>
      <c r="AN30" s="0" t="n">
        <f aca="false">AL30/AK30</f>
        <v>-0.305641864268193</v>
      </c>
      <c r="AO30" s="0" t="n">
        <f aca="false">AK30*AM30</f>
        <v>0.00916027</v>
      </c>
      <c r="AP30" s="0" t="n">
        <v>113.35195103188</v>
      </c>
      <c r="AQ30" s="0" t="n">
        <v>376.547030743098</v>
      </c>
    </row>
    <row r="31" customFormat="false" ht="13.2" hidden="false" customHeight="false" outlineLevel="0" collapsed="false">
      <c r="A31" s="0" t="n">
        <v>150</v>
      </c>
      <c r="B31" s="0" t="n">
        <v>1.757</v>
      </c>
      <c r="C31" s="0" t="n">
        <v>5.177</v>
      </c>
      <c r="D31" s="0" t="n">
        <v>0.3156</v>
      </c>
      <c r="E31" s="0" t="n">
        <f aca="false">C31/B31</f>
        <v>2.94649971542402</v>
      </c>
      <c r="F31" s="0" t="n">
        <f aca="false">B31*D31</f>
        <v>0.5545092</v>
      </c>
      <c r="G31" s="0" t="n">
        <v>0.394506078861665</v>
      </c>
      <c r="H31" s="0" t="n">
        <v>1.31052082697441</v>
      </c>
      <c r="I31" s="0" t="n">
        <v>0.03243</v>
      </c>
      <c r="J31" s="0" t="n">
        <v>0.08599</v>
      </c>
      <c r="K31" s="0" t="n">
        <v>1.467</v>
      </c>
      <c r="L31" s="0" t="n">
        <f aca="false">J31/I31</f>
        <v>2.65155720012334</v>
      </c>
      <c r="M31" s="0" t="n">
        <f aca="false">I31*K31</f>
        <v>0.04757481</v>
      </c>
      <c r="N31" s="0" t="n">
        <v>21.3736410903468</v>
      </c>
      <c r="O31" s="0" t="n">
        <v>71.0016988280619</v>
      </c>
      <c r="P31" s="0" t="n">
        <v>0.0103</v>
      </c>
      <c r="Q31" s="0" t="n">
        <v>0.02198</v>
      </c>
      <c r="R31" s="0" t="n">
        <v>1.013</v>
      </c>
      <c r="S31" s="0" t="n">
        <f aca="false">Q31/P31</f>
        <v>2.13398058252427</v>
      </c>
      <c r="T31" s="0" t="n">
        <f aca="false">P31*R31</f>
        <v>0.0104339</v>
      </c>
      <c r="U31" s="0" t="n">
        <v>67.2958427728102</v>
      </c>
      <c r="V31" s="0" t="n">
        <v>223.551950776121</v>
      </c>
      <c r="W31" s="0" t="n">
        <v>0.1501</v>
      </c>
      <c r="X31" s="0" t="n">
        <v>1.132</v>
      </c>
      <c r="Y31" s="0" t="n">
        <v>0.8566</v>
      </c>
      <c r="Z31" s="0" t="n">
        <f aca="false">X31/W31</f>
        <v>7.54163890739507</v>
      </c>
      <c r="AA31" s="0" t="n">
        <f aca="false">W31*Y31</f>
        <v>0.12857566</v>
      </c>
      <c r="AB31" s="0" t="n">
        <v>4.6179026019983</v>
      </c>
      <c r="AC31" s="0" t="n">
        <v>15.3403403930316</v>
      </c>
      <c r="AD31" s="0" t="n">
        <v>0.03266</v>
      </c>
      <c r="AE31" s="0" t="n">
        <v>0.04491</v>
      </c>
      <c r="AF31" s="0" t="n">
        <v>1.073</v>
      </c>
      <c r="AG31" s="0" t="n">
        <f aca="false">AE31/AD31</f>
        <v>1.37507654623393</v>
      </c>
      <c r="AH31" s="0" t="n">
        <f aca="false">AD31*AF31</f>
        <v>0.03504418</v>
      </c>
      <c r="AI31" s="0" t="n">
        <v>21.223122491119</v>
      </c>
      <c r="AJ31" s="0" t="n">
        <v>70.5016868644839</v>
      </c>
      <c r="AK31" s="0" t="n">
        <v>0.00602</v>
      </c>
      <c r="AL31" s="0" t="n">
        <v>-0.001752</v>
      </c>
      <c r="AM31" s="0" t="n">
        <v>1.483</v>
      </c>
      <c r="AN31" s="0" t="n">
        <f aca="false">AL31/AK31</f>
        <v>-0.291029900332226</v>
      </c>
      <c r="AO31" s="0" t="n">
        <f aca="false">AK31*AM31</f>
        <v>0.00892766</v>
      </c>
      <c r="AP31" s="0" t="n">
        <v>115.140727667765</v>
      </c>
      <c r="AQ31" s="0" t="n">
        <v>382.489218105323</v>
      </c>
    </row>
    <row r="34" customFormat="false" ht="13.2" hidden="false" customHeight="false" outlineLevel="0" collapsed="false">
      <c r="A34" s="342" t="s">
        <v>399</v>
      </c>
    </row>
    <row r="35" customFormat="false" ht="13.2" hidden="false" customHeight="false" outlineLevel="0" collapsed="false">
      <c r="A35" s="0" t="s">
        <v>38</v>
      </c>
      <c r="B35" s="0" t="s">
        <v>98</v>
      </c>
    </row>
    <row r="36" customFormat="false" ht="13.2" hidden="false" customHeight="false" outlineLevel="0" collapsed="false">
      <c r="A36" s="0" t="n">
        <v>25</v>
      </c>
      <c r="B36" s="131" t="n">
        <f aca="false">0.1965*A36-3.429</f>
        <v>1.4835</v>
      </c>
    </row>
    <row r="37" customFormat="false" ht="13.2" hidden="false" customHeight="false" outlineLevel="0" collapsed="false">
      <c r="A37" s="0" t="n">
        <v>30</v>
      </c>
      <c r="B37" s="131" t="n">
        <f aca="false">0.1965*A37-3.429</f>
        <v>2.466</v>
      </c>
    </row>
    <row r="38" customFormat="false" ht="13.2" hidden="false" customHeight="false" outlineLevel="0" collapsed="false">
      <c r="A38" s="0" t="n">
        <v>35</v>
      </c>
      <c r="B38" s="131" t="n">
        <f aca="false">0.1965*A38-3.429</f>
        <v>3.4485</v>
      </c>
    </row>
    <row r="39" customFormat="false" ht="13.2" hidden="false" customHeight="false" outlineLevel="0" collapsed="false">
      <c r="A39" s="0" t="n">
        <v>40</v>
      </c>
      <c r="B39" s="131" t="n">
        <f aca="false">1.222-0.05664*A39+0.001227*A39^2-0.000003136*A39^3</f>
        <v>0.718896</v>
      </c>
    </row>
    <row r="40" customFormat="false" ht="13.2" hidden="false" customHeight="false" outlineLevel="0" collapsed="false">
      <c r="A40" s="0" t="n">
        <v>45</v>
      </c>
      <c r="B40" s="131" t="n">
        <f aca="false">1.222-0.05664*A40+0.001227*A40^2-0.000003136*A40^3</f>
        <v>0.872107</v>
      </c>
    </row>
    <row r="41" customFormat="false" ht="13.2" hidden="false" customHeight="false" outlineLevel="0" collapsed="false">
      <c r="A41" s="0" t="n">
        <v>50</v>
      </c>
      <c r="B41" s="131" t="n">
        <f aca="false">1.222-0.05664*A41+0.001227*A41^2-0.000003136*A41^3</f>
        <v>1.0655</v>
      </c>
    </row>
    <row r="42" customFormat="false" ht="13.2" hidden="false" customHeight="false" outlineLevel="0" collapsed="false">
      <c r="A42" s="0" t="n">
        <v>55</v>
      </c>
      <c r="B42" s="131" t="n">
        <f aca="false">1.222-0.05664*A42+0.001227*A42^2-0.000003136*A42^3</f>
        <v>1.296723</v>
      </c>
    </row>
    <row r="43" customFormat="false" ht="13.2" hidden="false" customHeight="false" outlineLevel="0" collapsed="false">
      <c r="A43" s="0" t="n">
        <v>60</v>
      </c>
      <c r="B43" s="131" t="n">
        <f aca="false">1.222-0.05664*A43+0.001227*A43^2-0.000003136*A43^3</f>
        <v>1.563424</v>
      </c>
    </row>
    <row r="44" customFormat="false" ht="13.2" hidden="false" customHeight="false" outlineLevel="0" collapsed="false">
      <c r="A44" s="0" t="n">
        <v>65</v>
      </c>
      <c r="B44" s="131" t="n">
        <f aca="false">1.222-0.05664*A44+0.001227*A44^2-0.000003136*A44^3</f>
        <v>1.863251</v>
      </c>
    </row>
    <row r="45" customFormat="false" ht="13.2" hidden="false" customHeight="false" outlineLevel="0" collapsed="false">
      <c r="A45" s="0" t="n">
        <v>70</v>
      </c>
      <c r="B45" s="131" t="n">
        <f aca="false">1.222-0.05664*A45+0.001227*A45^2-0.000003136*A45^3</f>
        <v>2.193852</v>
      </c>
    </row>
    <row r="46" customFormat="false" ht="13.2" hidden="false" customHeight="false" outlineLevel="0" collapsed="false">
      <c r="A46" s="0" t="n">
        <v>75</v>
      </c>
      <c r="B46" s="131" t="n">
        <f aca="false">1.222-0.05664*A46+0.001227*A46^2-0.000003136*A46^3</f>
        <v>2.552875</v>
      </c>
    </row>
    <row r="47" customFormat="false" ht="13.2" hidden="false" customHeight="false" outlineLevel="0" collapsed="false">
      <c r="A47" s="0" t="n">
        <v>80</v>
      </c>
      <c r="B47" s="131" t="n">
        <f aca="false">1.222-0.05664*A47+0.001227*A47^2-0.000003136*A47^3</f>
        <v>2.937968</v>
      </c>
    </row>
    <row r="48" customFormat="false" ht="13.2" hidden="false" customHeight="false" outlineLevel="0" collapsed="false">
      <c r="A48" s="0" t="n">
        <v>85</v>
      </c>
      <c r="B48" s="131" t="n">
        <f aca="false">1.222-0.05664*A48+0.001227*A48^2-0.000003136*A48^3</f>
        <v>3.346779</v>
      </c>
    </row>
    <row r="49" customFormat="false" ht="13.2" hidden="false" customHeight="false" outlineLevel="0" collapsed="false">
      <c r="A49" s="0" t="n">
        <v>90</v>
      </c>
      <c r="B49" s="131" t="n">
        <f aca="false">1.222-0.05664*A49+0.001227*A49^2-0.000003136*A49^3</f>
        <v>3.776956</v>
      </c>
    </row>
    <row r="50" customFormat="false" ht="13.2" hidden="false" customHeight="false" outlineLevel="0" collapsed="false">
      <c r="A50" s="0" t="n">
        <v>95</v>
      </c>
      <c r="B50" s="131" t="n">
        <f aca="false">1.222-0.05664*A50+0.001227*A50^2-0.000003136*A50^3</f>
        <v>4.226147</v>
      </c>
    </row>
    <row r="51" customFormat="false" ht="13.2" hidden="false" customHeight="false" outlineLevel="0" collapsed="false">
      <c r="A51" s="0" t="n">
        <v>100</v>
      </c>
      <c r="B51" s="131" t="n">
        <f aca="false">1.222-0.05664*A51+0.001227*A51^2-0.000003136*A51^3</f>
        <v>4.692</v>
      </c>
    </row>
    <row r="52" customFormat="false" ht="13.2" hidden="false" customHeight="false" outlineLevel="0" collapsed="false">
      <c r="A52" s="0" t="n">
        <v>105</v>
      </c>
      <c r="B52" s="131" t="n">
        <f aca="false">1.222-0.05664*A52+0.001227*A52^2-0.000003136*A52^3</f>
        <v>5.172163</v>
      </c>
    </row>
    <row r="53" customFormat="false" ht="13.2" hidden="false" customHeight="false" outlineLevel="0" collapsed="false">
      <c r="A53" s="0" t="n">
        <v>110</v>
      </c>
      <c r="B53" s="131" t="n">
        <f aca="false">1.222-0.05664*A53+0.001227*A53^2-0.000003136*A53^3</f>
        <v>5.664284</v>
      </c>
    </row>
    <row r="54" customFormat="false" ht="13.2" hidden="false" customHeight="false" outlineLevel="0" collapsed="false">
      <c r="A54" s="0" t="n">
        <v>115</v>
      </c>
      <c r="B54" s="131" t="n">
        <f aca="false">1.222-0.05664*A54+0.001227*A54^2-0.000003136*A54^3</f>
        <v>6.166011</v>
      </c>
    </row>
    <row r="55" customFormat="false" ht="13.2" hidden="false" customHeight="false" outlineLevel="0" collapsed="false">
      <c r="A55" s="0" t="n">
        <v>120</v>
      </c>
      <c r="B55" s="131" t="n">
        <f aca="false">1.222-0.05664*A55+0.001227*A55^2-0.000003136*A55^3</f>
        <v>6.674992</v>
      </c>
    </row>
    <row r="56" customFormat="false" ht="13.2" hidden="false" customHeight="false" outlineLevel="0" collapsed="false">
      <c r="A56" s="0" t="n">
        <v>125</v>
      </c>
      <c r="B56" s="131" t="n">
        <f aca="false">1.222-0.05664*A56+0.001227*A56^2-0.000003136*A56^3</f>
        <v>7.188875</v>
      </c>
    </row>
    <row r="57" customFormat="false" ht="13.2" hidden="false" customHeight="false" outlineLevel="0" collapsed="false">
      <c r="A57" s="0" t="n">
        <v>130</v>
      </c>
      <c r="B57" s="131" t="n">
        <f aca="false">1.222-0.05664*A57+0.001227*A57^2-0.000003136*A57^3</f>
        <v>7.705308</v>
      </c>
    </row>
    <row r="58" customFormat="false" ht="13.2" hidden="false" customHeight="false" outlineLevel="0" collapsed="false">
      <c r="A58" s="0" t="n">
        <v>135</v>
      </c>
      <c r="B58" s="131" t="n">
        <f aca="false">1.222-0.05664*A58+0.001227*A58^2-0.000003136*A58^3</f>
        <v>8.221939</v>
      </c>
    </row>
    <row r="59" customFormat="false" ht="13.2" hidden="false" customHeight="false" outlineLevel="0" collapsed="false">
      <c r="A59" s="0" t="n">
        <v>140</v>
      </c>
      <c r="B59" s="131" t="n">
        <f aca="false">1.222-0.05664*A59+0.001227*A59^2-0.000003136*A59^3</f>
        <v>8.736416</v>
      </c>
    </row>
    <row r="60" customFormat="false" ht="13.2" hidden="false" customHeight="false" outlineLevel="0" collapsed="false">
      <c r="A60" s="0" t="n">
        <v>145</v>
      </c>
      <c r="B60" s="131" t="n">
        <f aca="false">1.222-0.05664*A60+0.001227*A60^2-0.000003136*A60^3</f>
        <v>9.246387</v>
      </c>
    </row>
    <row r="61" customFormat="false" ht="13.2" hidden="false" customHeight="false" outlineLevel="0" collapsed="false">
      <c r="A61" s="0" t="n">
        <v>150</v>
      </c>
      <c r="B61" s="131" t="n">
        <f aca="false">1.222-0.05664*A61+0.001227*A61^2-0.000003136*A61^3</f>
        <v>9.7495</v>
      </c>
    </row>
  </sheetData>
  <mergeCells count="6">
    <mergeCell ref="B4:H4"/>
    <mergeCell ref="I4:O4"/>
    <mergeCell ref="P4:V4"/>
    <mergeCell ref="W4:AC4"/>
    <mergeCell ref="AD4:AJ4"/>
    <mergeCell ref="AK4:A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7.11"/>
  </cols>
  <sheetData>
    <row r="1" customFormat="false" ht="13.2" hidden="false" customHeight="false" outlineLevel="0" collapsed="false">
      <c r="A1" s="342" t="s">
        <v>400</v>
      </c>
    </row>
    <row r="3" customFormat="false" ht="13.2" hidden="false" customHeight="false" outlineLevel="0" collapsed="false">
      <c r="A3" s="168" t="s">
        <v>371</v>
      </c>
      <c r="B3" s="29" t="s">
        <v>95</v>
      </c>
      <c r="C3" s="29"/>
      <c r="D3" s="29"/>
      <c r="E3" s="2"/>
      <c r="F3" s="2"/>
      <c r="G3" s="29" t="s">
        <v>96</v>
      </c>
      <c r="H3" s="29"/>
      <c r="I3" s="29"/>
      <c r="J3" s="2"/>
      <c r="K3" s="2"/>
      <c r="L3" s="29" t="s">
        <v>53</v>
      </c>
      <c r="M3" s="29"/>
      <c r="N3" s="29"/>
      <c r="O3" s="2"/>
      <c r="P3" s="2"/>
      <c r="Q3" s="29" t="s">
        <v>55</v>
      </c>
      <c r="R3" s="29"/>
      <c r="S3" s="29"/>
      <c r="T3" s="2"/>
      <c r="U3" s="2"/>
      <c r="V3" s="29" t="s">
        <v>97</v>
      </c>
      <c r="W3" s="29"/>
      <c r="X3" s="29"/>
      <c r="Y3" s="2"/>
      <c r="Z3" s="2"/>
      <c r="AA3" s="29" t="s">
        <v>59</v>
      </c>
      <c r="AB3" s="29"/>
      <c r="AC3" s="29"/>
    </row>
    <row r="4" customFormat="false" ht="13.2" hidden="false" customHeight="false" outlineLevel="0" collapsed="false">
      <c r="A4" s="168"/>
      <c r="B4" s="178" t="s">
        <v>41</v>
      </c>
      <c r="C4" s="178" t="s">
        <v>42</v>
      </c>
      <c r="D4" s="178" t="s">
        <v>43</v>
      </c>
      <c r="E4" s="139" t="s">
        <v>117</v>
      </c>
      <c r="F4" s="139" t="s">
        <v>118</v>
      </c>
      <c r="G4" s="178" t="s">
        <v>41</v>
      </c>
      <c r="H4" s="178" t="s">
        <v>42</v>
      </c>
      <c r="I4" s="178" t="s">
        <v>43</v>
      </c>
      <c r="J4" s="139" t="s">
        <v>117</v>
      </c>
      <c r="K4" s="139" t="s">
        <v>118</v>
      </c>
      <c r="L4" s="178" t="s">
        <v>41</v>
      </c>
      <c r="M4" s="178" t="s">
        <v>42</v>
      </c>
      <c r="N4" s="178" t="s">
        <v>43</v>
      </c>
      <c r="O4" s="139" t="s">
        <v>117</v>
      </c>
      <c r="P4" s="139" t="s">
        <v>118</v>
      </c>
      <c r="Q4" s="178" t="s">
        <v>41</v>
      </c>
      <c r="R4" s="178" t="s">
        <v>42</v>
      </c>
      <c r="S4" s="178" t="s">
        <v>43</v>
      </c>
      <c r="T4" s="139" t="s">
        <v>117</v>
      </c>
      <c r="U4" s="139" t="s">
        <v>118</v>
      </c>
      <c r="V4" s="178" t="s">
        <v>41</v>
      </c>
      <c r="W4" s="178" t="s">
        <v>42</v>
      </c>
      <c r="X4" s="178" t="s">
        <v>43</v>
      </c>
      <c r="Y4" s="139" t="s">
        <v>117</v>
      </c>
      <c r="Z4" s="139" t="s">
        <v>118</v>
      </c>
      <c r="AA4" s="178" t="s">
        <v>41</v>
      </c>
      <c r="AB4" s="178" t="s">
        <v>42</v>
      </c>
      <c r="AC4" s="178" t="s">
        <v>43</v>
      </c>
      <c r="AD4" s="139" t="s">
        <v>117</v>
      </c>
      <c r="AE4" s="139" t="s">
        <v>118</v>
      </c>
    </row>
    <row r="5" customFormat="false" ht="13.2" hidden="false" customHeight="false" outlineLevel="0" collapsed="false">
      <c r="A5" s="0" t="s">
        <v>401</v>
      </c>
      <c r="B5" s="0" t="n">
        <v>2.346</v>
      </c>
      <c r="C5" s="0" t="n">
        <v>15.9</v>
      </c>
      <c r="D5" s="0" t="n">
        <v>0.4982</v>
      </c>
      <c r="E5" s="0" t="n">
        <f aca="false">C5/B5</f>
        <v>6.77749360613811</v>
      </c>
      <c r="F5" s="0" t="n">
        <f aca="false">B5*D5</f>
        <v>1.1687772</v>
      </c>
      <c r="G5" s="0" t="n">
        <v>0.03626</v>
      </c>
      <c r="H5" s="0" t="n">
        <v>0.1429</v>
      </c>
      <c r="I5" s="0" t="n">
        <v>0.4932</v>
      </c>
      <c r="J5" s="0" t="n">
        <f aca="false">H5/G5</f>
        <v>3.94098179812466</v>
      </c>
      <c r="K5" s="0" t="n">
        <f aca="false">G5*I5</f>
        <v>0.017883432</v>
      </c>
      <c r="L5" s="0" t="n">
        <v>0.0142</v>
      </c>
      <c r="M5" s="0" t="n">
        <v>0.05781</v>
      </c>
      <c r="N5" s="0" t="n">
        <v>0.7445</v>
      </c>
      <c r="O5" s="0" t="n">
        <f aca="false">M5/L5</f>
        <v>4.07112676056338</v>
      </c>
      <c r="P5" s="0" t="n">
        <f aca="false">L5*N5</f>
        <v>0.0105719</v>
      </c>
      <c r="Q5" s="0" t="n">
        <v>0.2163</v>
      </c>
      <c r="R5" s="0" t="n">
        <v>3.101</v>
      </c>
      <c r="S5" s="0" t="n">
        <v>0.5745</v>
      </c>
      <c r="T5" s="0" t="n">
        <f aca="false">R5/Q5</f>
        <v>14.336569579288</v>
      </c>
      <c r="U5" s="0" t="n">
        <f aca="false">Q5*S5</f>
        <v>0.12426435</v>
      </c>
      <c r="V5" s="0" t="n">
        <v>0.03907</v>
      </c>
      <c r="W5" s="0" t="n">
        <v>0.1069</v>
      </c>
      <c r="X5" s="0" t="n">
        <v>0.594</v>
      </c>
      <c r="Y5" s="0" t="n">
        <f aca="false">W5/V5</f>
        <v>2.73611466598413</v>
      </c>
      <c r="Z5" s="0" t="n">
        <f aca="false">V5*X5</f>
        <v>0.02320758</v>
      </c>
      <c r="AA5" s="0" t="n">
        <v>0.007616</v>
      </c>
      <c r="AB5" s="0" t="n">
        <v>0.000767</v>
      </c>
      <c r="AC5" s="0" t="n">
        <v>1.027</v>
      </c>
      <c r="AD5" s="0" t="n">
        <f aca="false">AB5/AA5</f>
        <v>0.100709033613445</v>
      </c>
      <c r="AE5" s="0" t="n">
        <f aca="false">AA5*AC5</f>
        <v>0.007821632</v>
      </c>
    </row>
    <row r="6" customFormat="false" ht="13.2" hidden="false" customHeight="false" outlineLevel="0" collapsed="false">
      <c r="A6" s="0" t="s">
        <v>402</v>
      </c>
      <c r="B6" s="0" t="n">
        <v>2.264</v>
      </c>
      <c r="C6" s="0" t="n">
        <v>13.08</v>
      </c>
      <c r="D6" s="0" t="n">
        <v>0.56</v>
      </c>
      <c r="E6" s="0" t="n">
        <f aca="false">C6/B6</f>
        <v>5.7773851590106</v>
      </c>
      <c r="F6" s="0" t="n">
        <f aca="false">B6*D6</f>
        <v>1.26784</v>
      </c>
      <c r="G6" s="0" t="n">
        <v>0.03552</v>
      </c>
      <c r="H6" s="0" t="n">
        <v>0.1177</v>
      </c>
      <c r="I6" s="0" t="n">
        <v>0.6007</v>
      </c>
      <c r="J6" s="0" t="n">
        <f aca="false">H6/G6</f>
        <v>3.31362612612613</v>
      </c>
      <c r="K6" s="0" t="n">
        <f aca="false">G6*I6</f>
        <v>0.021336864</v>
      </c>
      <c r="L6" s="0" t="n">
        <v>0.01278</v>
      </c>
      <c r="M6" s="0" t="n">
        <v>0.04848</v>
      </c>
      <c r="N6" s="0" t="n">
        <v>0.8609</v>
      </c>
      <c r="O6" s="0" t="n">
        <f aca="false">M6/L6</f>
        <v>3.79342723004695</v>
      </c>
      <c r="P6" s="0" t="n">
        <f aca="false">L6*N6</f>
        <v>0.011002302</v>
      </c>
      <c r="Q6" s="0" t="n">
        <v>0.2179</v>
      </c>
      <c r="R6" s="0" t="n">
        <v>2.677</v>
      </c>
      <c r="S6" s="0" t="n">
        <v>0.7209</v>
      </c>
      <c r="T6" s="0" t="n">
        <f aca="false">R6/Q6</f>
        <v>12.2854520422212</v>
      </c>
      <c r="U6" s="0" t="n">
        <f aca="false">Q6*S6</f>
        <v>0.15708411</v>
      </c>
      <c r="V6" s="0" t="n">
        <v>0.03762</v>
      </c>
      <c r="W6" s="0" t="n">
        <v>0.09751</v>
      </c>
      <c r="X6" s="0" t="n">
        <v>0.7867</v>
      </c>
      <c r="Y6" s="0" t="n">
        <f aca="false">W6/V6</f>
        <v>2.59197235513025</v>
      </c>
      <c r="Z6" s="0" t="n">
        <f aca="false">V6*X6</f>
        <v>0.029595654</v>
      </c>
      <c r="AA6" s="0" t="n">
        <v>0.007142</v>
      </c>
      <c r="AB6" s="0" t="n">
        <v>0.000308</v>
      </c>
      <c r="AC6" s="0" t="n">
        <v>1.617</v>
      </c>
      <c r="AD6" s="0" t="n">
        <f aca="false">AB6/AA6</f>
        <v>0.0431251750210025</v>
      </c>
      <c r="AE6" s="0" t="n">
        <f aca="false">AA6*AC6</f>
        <v>0.011548614</v>
      </c>
    </row>
    <row r="7" customFormat="false" ht="13.2" hidden="false" customHeight="false" outlineLevel="0" collapsed="false">
      <c r="A7" s="0" t="s">
        <v>403</v>
      </c>
      <c r="B7" s="0" t="n">
        <v>2.651</v>
      </c>
      <c r="C7" s="0" t="n">
        <v>16.56</v>
      </c>
      <c r="D7" s="0" t="n">
        <v>0.4585</v>
      </c>
      <c r="E7" s="0" t="n">
        <f aca="false">C7/B7</f>
        <v>6.24669935873255</v>
      </c>
      <c r="F7" s="0" t="n">
        <f aca="false">B7*D7</f>
        <v>1.2154835</v>
      </c>
      <c r="G7" s="0" t="n">
        <v>0.03994</v>
      </c>
      <c r="H7" s="0" t="n">
        <v>0.1448</v>
      </c>
      <c r="I7" s="0" t="n">
        <v>0.4231</v>
      </c>
      <c r="J7" s="0" t="n">
        <f aca="false">H7/G7</f>
        <v>3.62543815723585</v>
      </c>
      <c r="K7" s="0" t="n">
        <f aca="false">G7*I7</f>
        <v>0.016898614</v>
      </c>
      <c r="L7" s="0" t="n">
        <v>0.01679</v>
      </c>
      <c r="M7" s="0" t="n">
        <v>0.06124</v>
      </c>
      <c r="N7" s="0" t="n">
        <v>0.7356</v>
      </c>
      <c r="O7" s="0" t="n">
        <f aca="false">M7/L7</f>
        <v>3.64740917212627</v>
      </c>
      <c r="P7" s="0" t="n">
        <f aca="false">L7*N7</f>
        <v>0.012350724</v>
      </c>
      <c r="Q7" s="0" t="n">
        <v>2535</v>
      </c>
      <c r="R7" s="0" t="n">
        <v>2.74</v>
      </c>
      <c r="S7" s="0" t="n">
        <v>0.4297</v>
      </c>
      <c r="T7" s="0" t="n">
        <f aca="false">R7/Q7</f>
        <v>0.00108086785009862</v>
      </c>
      <c r="U7" s="0" t="n">
        <f aca="false">Q7*S7</f>
        <v>1089.2895</v>
      </c>
      <c r="V7" s="0" t="n">
        <v>0.04361</v>
      </c>
      <c r="W7" s="0" t="n">
        <v>0.1082</v>
      </c>
      <c r="X7" s="0" t="n">
        <v>0.5463</v>
      </c>
      <c r="Y7" s="0" t="n">
        <f aca="false">W7/V7</f>
        <v>2.48108232056868</v>
      </c>
      <c r="Z7" s="0" t="n">
        <f aca="false">V7*X7</f>
        <v>0.023824143</v>
      </c>
      <c r="AA7" s="0" t="n">
        <v>0.007915</v>
      </c>
      <c r="AB7" s="0" t="n">
        <v>0.00088</v>
      </c>
      <c r="AC7" s="0" t="n">
        <v>0.979</v>
      </c>
      <c r="AD7" s="0" t="n">
        <f aca="false">AB7/AA7</f>
        <v>0.111181301326595</v>
      </c>
      <c r="AE7" s="0" t="n">
        <f aca="false">AA7*AC7</f>
        <v>0.007748785</v>
      </c>
    </row>
    <row r="8" customFormat="false" ht="13.2" hidden="false" customHeight="false" outlineLevel="0" collapsed="false">
      <c r="A8" s="0" t="s">
        <v>404</v>
      </c>
      <c r="B8" s="0" t="n">
        <v>2.347</v>
      </c>
      <c r="C8" s="0" t="n">
        <v>12.67</v>
      </c>
      <c r="D8" s="0" t="n">
        <v>0.6149</v>
      </c>
      <c r="E8" s="0" t="n">
        <f aca="false">C8/B8</f>
        <v>5.3983809118023</v>
      </c>
      <c r="F8" s="0" t="n">
        <f aca="false">B8*D8</f>
        <v>1.4431703</v>
      </c>
      <c r="G8" s="0" t="n">
        <v>0.03616</v>
      </c>
      <c r="H8" s="0" t="n">
        <v>0.09721</v>
      </c>
      <c r="I8" s="0" t="n">
        <v>0.5186</v>
      </c>
      <c r="J8" s="0" t="n">
        <f aca="false">H8/G8</f>
        <v>2.6883296460177</v>
      </c>
      <c r="K8" s="0" t="n">
        <f aca="false">G8*I8</f>
        <v>0.018752576</v>
      </c>
      <c r="L8" s="0" t="n">
        <v>0.0134</v>
      </c>
      <c r="M8" s="0" t="n">
        <v>0.04283</v>
      </c>
      <c r="N8" s="0" t="n">
        <v>0.8796</v>
      </c>
      <c r="O8" s="0" t="n">
        <f aca="false">M8/L8</f>
        <v>3.19626865671642</v>
      </c>
      <c r="P8" s="0" t="n">
        <f aca="false">L8*N8</f>
        <v>0.01178664</v>
      </c>
      <c r="Q8" s="0" t="n">
        <v>0.2323</v>
      </c>
      <c r="R8" s="0" t="n">
        <v>2.19</v>
      </c>
      <c r="S8" s="0" t="n">
        <v>0.6509</v>
      </c>
      <c r="T8" s="0" t="n">
        <f aca="false">R8/Q8</f>
        <v>9.42746448557899</v>
      </c>
      <c r="U8" s="0" t="n">
        <f aca="false">Q8*S8</f>
        <v>0.15120407</v>
      </c>
      <c r="V8" s="0" t="n">
        <v>0.03901</v>
      </c>
      <c r="W8" s="0" t="n">
        <v>0.08588</v>
      </c>
      <c r="X8" s="0" t="n">
        <v>0.8081</v>
      </c>
      <c r="Y8" s="0" t="n">
        <f aca="false">W8/V8</f>
        <v>2.20148679825686</v>
      </c>
      <c r="Z8" s="0" t="n">
        <f aca="false">V8*X8</f>
        <v>0.031523981</v>
      </c>
      <c r="AA8" s="0" t="n">
        <v>0.007089</v>
      </c>
      <c r="AB8" s="0" t="n">
        <v>0.000474</v>
      </c>
      <c r="AC8" s="0" t="n">
        <v>1.58</v>
      </c>
      <c r="AD8" s="0" t="n">
        <f aca="false">AB8/AA8</f>
        <v>0.0668641557342361</v>
      </c>
      <c r="AE8" s="0" t="n">
        <f aca="false">AA8*AC8</f>
        <v>0.01120062</v>
      </c>
    </row>
    <row r="9" customFormat="false" ht="13.2" hidden="false" customHeight="false" outlineLevel="0" collapsed="false">
      <c r="A9" s="0" t="s">
        <v>348</v>
      </c>
      <c r="B9" s="0" t="n">
        <v>2.295</v>
      </c>
      <c r="C9" s="0" t="n">
        <v>13</v>
      </c>
      <c r="D9" s="0" t="n">
        <v>0.5573</v>
      </c>
      <c r="E9" s="0" t="n">
        <f aca="false">C9/B9</f>
        <v>5.66448801742919</v>
      </c>
      <c r="F9" s="0" t="n">
        <f aca="false">B9*D9</f>
        <v>1.2790035</v>
      </c>
      <c r="G9" s="0" t="n">
        <v>0.03549</v>
      </c>
      <c r="H9" s="0" t="n">
        <v>0.1164</v>
      </c>
      <c r="I9" s="0" t="n">
        <v>0.5774</v>
      </c>
      <c r="J9" s="0" t="n">
        <f aca="false">H9/G9</f>
        <v>3.27979712595097</v>
      </c>
      <c r="K9" s="0" t="n">
        <f aca="false">G9*I9</f>
        <v>0.020491926</v>
      </c>
      <c r="L9" s="0" t="n">
        <v>0.013</v>
      </c>
      <c r="M9" s="0" t="n">
        <v>0.04778</v>
      </c>
      <c r="N9" s="0" t="n">
        <v>0.8485</v>
      </c>
      <c r="O9" s="0" t="n">
        <f aca="false">M9/L9</f>
        <v>3.67538461538462</v>
      </c>
      <c r="P9" s="0" t="n">
        <f aca="false">L9*N9</f>
        <v>0.0110305</v>
      </c>
      <c r="Q9" s="0" t="n">
        <v>0.2126</v>
      </c>
      <c r="R9" s="0" t="n">
        <v>2.568</v>
      </c>
      <c r="S9" s="0" t="n">
        <v>0.6788</v>
      </c>
      <c r="T9" s="0" t="n">
        <f aca="false">R9/Q9</f>
        <v>12.0790216368768</v>
      </c>
      <c r="U9" s="0" t="n">
        <f aca="false">Q9*S9</f>
        <v>0.14431288</v>
      </c>
      <c r="V9" s="0" t="n">
        <v>0.03778</v>
      </c>
      <c r="W9" s="0" t="n">
        <v>0.09365</v>
      </c>
      <c r="X9" s="0" t="n">
        <v>0.7483</v>
      </c>
      <c r="Y9" s="0" t="n">
        <f aca="false">W9/V9</f>
        <v>2.47882477501323</v>
      </c>
      <c r="Z9" s="0" t="n">
        <f aca="false">V9*X9</f>
        <v>0.028270774</v>
      </c>
      <c r="AA9" s="0" t="n">
        <v>0.007162</v>
      </c>
      <c r="AB9" s="0" t="n">
        <v>0.000411</v>
      </c>
      <c r="AC9" s="0" t="n">
        <v>1.541</v>
      </c>
      <c r="AD9" s="0" t="n">
        <f aca="false">AB9/AA9</f>
        <v>0.0573862049706786</v>
      </c>
      <c r="AE9" s="0" t="n">
        <f aca="false">AA9*AC9</f>
        <v>0.011036642</v>
      </c>
    </row>
    <row r="10" customFormat="false" ht="13.2" hidden="false" customHeight="false" outlineLevel="0" collapsed="false">
      <c r="A10" s="0" t="s">
        <v>405</v>
      </c>
      <c r="B10" s="0" t="n">
        <v>2.283</v>
      </c>
      <c r="C10" s="0" t="n">
        <v>10.74</v>
      </c>
      <c r="D10" s="0" t="n">
        <v>0.637</v>
      </c>
      <c r="E10" s="0" t="n">
        <f aca="false">C10/B10</f>
        <v>4.70433639947438</v>
      </c>
      <c r="F10" s="0" t="n">
        <f aca="false">B10*D10</f>
        <v>1.454271</v>
      </c>
      <c r="G10" s="0" t="n">
        <v>0.03622</v>
      </c>
      <c r="H10" s="0" t="n">
        <v>0.07766</v>
      </c>
      <c r="I10" s="0" t="n">
        <v>0.5404</v>
      </c>
      <c r="J10" s="0" t="n">
        <f aca="false">H10/G10</f>
        <v>2.14411927112093</v>
      </c>
      <c r="K10" s="0" t="n">
        <f aca="false">G10*I10</f>
        <v>0.019573288</v>
      </c>
      <c r="L10" s="0" t="n">
        <v>0.01286</v>
      </c>
      <c r="M10" s="0" t="n">
        <v>0.03505</v>
      </c>
      <c r="N10" s="0" t="n">
        <v>0.9356</v>
      </c>
      <c r="O10" s="0" t="n">
        <f aca="false">M10/L10</f>
        <v>2.72550544323484</v>
      </c>
      <c r="P10" s="0" t="n">
        <f aca="false">L10*N10</f>
        <v>0.012031816</v>
      </c>
      <c r="Q10" s="0" t="n">
        <v>0.25</v>
      </c>
      <c r="R10" s="0" t="n">
        <v>1.989</v>
      </c>
      <c r="S10" s="0" t="n">
        <v>0.7721</v>
      </c>
      <c r="T10" s="0" t="n">
        <f aca="false">R10/Q10</f>
        <v>7.956</v>
      </c>
      <c r="U10" s="0" t="n">
        <f aca="false">Q10*S10</f>
        <v>0.193025</v>
      </c>
      <c r="V10" s="0" t="n">
        <v>0.03866</v>
      </c>
      <c r="W10" s="0" t="n">
        <v>0.07721</v>
      </c>
      <c r="X10" s="0" t="n">
        <v>0.9843</v>
      </c>
      <c r="Y10" s="0" t="n">
        <f aca="false">W10/V10</f>
        <v>1.9971546818417</v>
      </c>
      <c r="Z10" s="0" t="n">
        <f aca="false">V10*X10</f>
        <v>0.038053038</v>
      </c>
      <c r="AA10" s="0" t="n">
        <v>0.00765</v>
      </c>
      <c r="AB10" s="0" t="n">
        <v>-0.00098</v>
      </c>
      <c r="AC10" s="0" t="n">
        <v>0.08083</v>
      </c>
      <c r="AD10" s="0" t="n">
        <f aca="false">AB10/AA10</f>
        <v>-0.128104575163399</v>
      </c>
      <c r="AE10" s="0" t="n">
        <f aca="false">AA10*AC10</f>
        <v>0.0006183495</v>
      </c>
    </row>
    <row r="11" customFormat="false" ht="13.2" hidden="false" customHeight="false" outlineLevel="0" collapsed="false">
      <c r="A11" s="0" t="s">
        <v>406</v>
      </c>
      <c r="B11" s="0" t="n">
        <v>30.6</v>
      </c>
      <c r="C11" s="0" t="n">
        <v>177.6</v>
      </c>
      <c r="D11" s="0" t="n">
        <v>0.3308</v>
      </c>
      <c r="E11" s="0" t="n">
        <f aca="false">C11/B11</f>
        <v>5.80392156862745</v>
      </c>
      <c r="F11" s="0" t="n">
        <f aca="false">B11*D11</f>
        <v>10.12248</v>
      </c>
      <c r="G11" s="0" t="n">
        <v>0.2577</v>
      </c>
      <c r="H11" s="0" t="n">
        <v>1.765</v>
      </c>
      <c r="I11" s="0" t="n">
        <v>0.3644</v>
      </c>
      <c r="J11" s="0" t="n">
        <f aca="false">H11/G11</f>
        <v>6.84904928211098</v>
      </c>
      <c r="K11" s="0" t="n">
        <f aca="false">G11*I11</f>
        <v>0.09390588</v>
      </c>
      <c r="L11" s="0" t="n">
        <v>0.09148</v>
      </c>
      <c r="M11" s="0" t="n">
        <v>0.709</v>
      </c>
      <c r="N11" s="0" t="n">
        <v>0.3459</v>
      </c>
      <c r="O11" s="0" t="n">
        <f aca="false">M11/L11</f>
        <v>7.75032794053345</v>
      </c>
      <c r="P11" s="0" t="n">
        <f aca="false">L11*N11</f>
        <v>0.031642932</v>
      </c>
      <c r="Q11" s="0" t="n">
        <v>5.998</v>
      </c>
      <c r="R11" s="0" t="n">
        <v>42.91</v>
      </c>
      <c r="S11" s="0" t="n">
        <v>0.3927</v>
      </c>
      <c r="T11" s="0" t="n">
        <f aca="false">R11/Q11</f>
        <v>7.15405135045015</v>
      </c>
      <c r="U11" s="0" t="n">
        <f aca="false">Q11*S11</f>
        <v>2.3554146</v>
      </c>
      <c r="V11" s="0" t="n">
        <v>0.2467</v>
      </c>
      <c r="W11" s="0" t="n">
        <v>1.654</v>
      </c>
      <c r="X11" s="0" t="n">
        <v>0.3694</v>
      </c>
      <c r="Y11" s="0" t="n">
        <f aca="false">W11/V11</f>
        <v>6.70449939197406</v>
      </c>
      <c r="Z11" s="0" t="n">
        <f aca="false">V11*X11</f>
        <v>0.09113098</v>
      </c>
      <c r="AA11" s="0" t="n">
        <v>0.01914</v>
      </c>
      <c r="AB11" s="0" t="n">
        <v>0.04166</v>
      </c>
      <c r="AC11" s="0" t="n">
        <v>0.2858</v>
      </c>
      <c r="AD11" s="0" t="n">
        <f aca="false">AB11/AA11</f>
        <v>2.17659352142111</v>
      </c>
      <c r="AE11" s="0" t="n">
        <f aca="false">AA11*AC11</f>
        <v>0.005470212</v>
      </c>
    </row>
    <row r="12" customFormat="false" ht="13.2" hidden="false" customHeight="false" outlineLevel="0" collapsed="false">
      <c r="A12" s="0" t="s">
        <v>407</v>
      </c>
      <c r="B12" s="0" t="n">
        <v>2.389</v>
      </c>
      <c r="C12" s="0" t="n">
        <v>14.26</v>
      </c>
      <c r="D12" s="0" t="n">
        <v>0.5948</v>
      </c>
      <c r="E12" s="0" t="n">
        <f aca="false">C12/B12</f>
        <v>5.96902469652574</v>
      </c>
      <c r="F12" s="0" t="n">
        <f aca="false">B12*D12</f>
        <v>1.4209772</v>
      </c>
      <c r="G12" s="0" t="n">
        <v>0.03717</v>
      </c>
      <c r="H12" s="0" t="n">
        <v>0.1087</v>
      </c>
      <c r="I12" s="0" t="n">
        <v>0.4879</v>
      </c>
      <c r="J12" s="0" t="n">
        <f aca="false">H12/G12</f>
        <v>2.92440139897767</v>
      </c>
      <c r="K12" s="0" t="n">
        <f aca="false">G12*I12</f>
        <v>0.018135243</v>
      </c>
      <c r="L12" s="0" t="n">
        <v>0.01409</v>
      </c>
      <c r="M12" s="0" t="n">
        <v>0.04814</v>
      </c>
      <c r="N12" s="0" t="n">
        <v>0.8419</v>
      </c>
      <c r="O12" s="0" t="n">
        <f aca="false">M12/L12</f>
        <v>3.416607523066</v>
      </c>
      <c r="P12" s="0" t="n">
        <f aca="false">L12*N12</f>
        <v>0.011862371</v>
      </c>
      <c r="Q12" s="0" t="n">
        <v>0.2533</v>
      </c>
      <c r="R12" s="0" t="n">
        <v>2.461</v>
      </c>
      <c r="S12" s="0" t="n">
        <v>0.6243</v>
      </c>
      <c r="T12" s="0" t="n">
        <f aca="false">R12/Q12</f>
        <v>9.71575207264114</v>
      </c>
      <c r="U12" s="0" t="n">
        <f aca="false">Q12*S12</f>
        <v>0.15813519</v>
      </c>
      <c r="V12" s="0" t="n">
        <v>0.04025</v>
      </c>
      <c r="W12" s="0" t="n">
        <v>0.09482</v>
      </c>
      <c r="X12" s="0" t="n">
        <v>0.7523</v>
      </c>
      <c r="Y12" s="0" t="n">
        <f aca="false">W12/V12</f>
        <v>2.35577639751553</v>
      </c>
      <c r="Z12" s="0" t="n">
        <f aca="false">V12*X12</f>
        <v>0.030280075</v>
      </c>
      <c r="AA12" s="0" t="n">
        <v>0.007303</v>
      </c>
      <c r="AB12" s="0" t="n">
        <v>0.000722</v>
      </c>
      <c r="AC12" s="0" t="n">
        <v>1.204</v>
      </c>
      <c r="AD12" s="0" t="n">
        <f aca="false">AB12/AA12</f>
        <v>0.098863480761331</v>
      </c>
      <c r="AE12" s="0" t="n">
        <f aca="false">AA12*AC12</f>
        <v>0.008792812</v>
      </c>
    </row>
    <row r="13" customFormat="false" ht="13.2" hidden="false" customHeight="false" outlineLevel="0" collapsed="false">
      <c r="A13" s="0" t="s">
        <v>186</v>
      </c>
      <c r="B13" s="0" t="n">
        <v>2.728</v>
      </c>
      <c r="C13" s="0" t="n">
        <v>18.52</v>
      </c>
      <c r="D13" s="0" t="n">
        <v>0.4614</v>
      </c>
      <c r="E13" s="0" t="n">
        <f aca="false">C13/B13</f>
        <v>6.78885630498534</v>
      </c>
      <c r="F13" s="0" t="n">
        <f aca="false">B13*D13</f>
        <v>1.2586992</v>
      </c>
      <c r="G13" s="0" t="n">
        <v>0.04292</v>
      </c>
      <c r="H13" s="0" t="n">
        <v>0.1538</v>
      </c>
      <c r="I13" s="0" t="n">
        <v>0.4236</v>
      </c>
      <c r="J13" s="0" t="n">
        <f aca="false">H13/G13</f>
        <v>3.5834109972041</v>
      </c>
      <c r="K13" s="0" t="n">
        <f aca="false">G13*I13</f>
        <v>0.018180912</v>
      </c>
      <c r="L13" s="0" t="n">
        <v>0.01774</v>
      </c>
      <c r="M13" s="0" t="n">
        <v>0.06449</v>
      </c>
      <c r="N13" s="0" t="n">
        <v>0.7158</v>
      </c>
      <c r="O13" s="0" t="n">
        <f aca="false">M13/L13</f>
        <v>3.63528748590755</v>
      </c>
      <c r="P13" s="0" t="n">
        <f aca="false">L13*N13</f>
        <v>0.012698292</v>
      </c>
      <c r="Q13" s="0" t="n">
        <v>0.367</v>
      </c>
      <c r="R13" s="0" t="n">
        <v>3.26</v>
      </c>
      <c r="S13" s="0" t="n">
        <v>0.5036</v>
      </c>
      <c r="T13" s="0" t="n">
        <f aca="false">R13/Q13</f>
        <v>8.88283378746594</v>
      </c>
      <c r="U13" s="0" t="n">
        <f aca="false">Q13*S13</f>
        <v>0.1848212</v>
      </c>
      <c r="V13" s="0" t="n">
        <v>0.04642</v>
      </c>
      <c r="W13" s="0" t="n">
        <v>0.1203</v>
      </c>
      <c r="X13" s="0" t="n">
        <v>0.5763</v>
      </c>
      <c r="Y13" s="0" t="n">
        <f aca="false">W13/V13</f>
        <v>2.59155536406721</v>
      </c>
      <c r="Z13" s="0" t="n">
        <f aca="false">V13*X13</f>
        <v>0.026751846</v>
      </c>
      <c r="AA13" s="0" t="n">
        <v>0.008103</v>
      </c>
      <c r="AB13" s="0" t="n">
        <v>0.000844</v>
      </c>
      <c r="AC13" s="0" t="n">
        <v>0.9754</v>
      </c>
      <c r="AD13" s="0" t="n">
        <f aca="false">AB13/AA13</f>
        <v>0.104158953474022</v>
      </c>
      <c r="AE13" s="0" t="n">
        <f aca="false">AA13*AC13</f>
        <v>0.0079036662</v>
      </c>
    </row>
  </sheetData>
  <mergeCells count="7">
    <mergeCell ref="A3:A4"/>
    <mergeCell ref="B3:D3"/>
    <mergeCell ref="G3:I3"/>
    <mergeCell ref="L3:N3"/>
    <mergeCell ref="Q3:S3"/>
    <mergeCell ref="V3:X3"/>
    <mergeCell ref="AA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27.33"/>
  </cols>
  <sheetData>
    <row r="1" customFormat="false" ht="13.2" hidden="false" customHeight="false" outlineLevel="0" collapsed="false">
      <c r="A1" s="342" t="s">
        <v>408</v>
      </c>
    </row>
    <row r="3" customFormat="false" ht="13.2" hidden="false" customHeight="false" outlineLevel="0" collapsed="false">
      <c r="A3" s="168" t="s">
        <v>371</v>
      </c>
      <c r="B3" s="29" t="s">
        <v>95</v>
      </c>
      <c r="C3" s="29"/>
      <c r="D3" s="29"/>
      <c r="E3" s="2"/>
      <c r="F3" s="2"/>
      <c r="G3" s="29" t="s">
        <v>96</v>
      </c>
      <c r="H3" s="29"/>
      <c r="I3" s="29"/>
      <c r="J3" s="2"/>
      <c r="K3" s="2"/>
      <c r="L3" s="29" t="s">
        <v>53</v>
      </c>
      <c r="M3" s="29"/>
      <c r="N3" s="29"/>
      <c r="O3" s="2"/>
      <c r="P3" s="2"/>
      <c r="Q3" s="29" t="s">
        <v>55</v>
      </c>
      <c r="R3" s="29"/>
      <c r="S3" s="29"/>
      <c r="T3" s="2"/>
      <c r="U3" s="2"/>
      <c r="V3" s="29" t="s">
        <v>97</v>
      </c>
      <c r="W3" s="29"/>
      <c r="X3" s="29"/>
      <c r="Y3" s="2"/>
      <c r="Z3" s="2"/>
      <c r="AA3" s="29" t="s">
        <v>59</v>
      </c>
      <c r="AB3" s="29"/>
      <c r="AC3" s="29"/>
    </row>
    <row r="4" customFormat="false" ht="13.2" hidden="false" customHeight="false" outlineLevel="0" collapsed="false">
      <c r="A4" s="168"/>
      <c r="B4" s="178" t="s">
        <v>41</v>
      </c>
      <c r="C4" s="178" t="s">
        <v>42</v>
      </c>
      <c r="D4" s="178" t="s">
        <v>43</v>
      </c>
      <c r="E4" s="139" t="s">
        <v>117</v>
      </c>
      <c r="F4" s="139" t="s">
        <v>118</v>
      </c>
      <c r="G4" s="178" t="s">
        <v>41</v>
      </c>
      <c r="H4" s="178" t="s">
        <v>42</v>
      </c>
      <c r="I4" s="178" t="s">
        <v>43</v>
      </c>
      <c r="J4" s="139" t="s">
        <v>117</v>
      </c>
      <c r="K4" s="139" t="s">
        <v>118</v>
      </c>
      <c r="L4" s="178" t="s">
        <v>41</v>
      </c>
      <c r="M4" s="178" t="s">
        <v>42</v>
      </c>
      <c r="N4" s="178" t="s">
        <v>43</v>
      </c>
      <c r="O4" s="139" t="s">
        <v>117</v>
      </c>
      <c r="P4" s="139" t="s">
        <v>118</v>
      </c>
      <c r="Q4" s="178" t="s">
        <v>41</v>
      </c>
      <c r="R4" s="178" t="s">
        <v>42</v>
      </c>
      <c r="S4" s="178" t="s">
        <v>43</v>
      </c>
      <c r="T4" s="139" t="s">
        <v>117</v>
      </c>
      <c r="U4" s="139" t="s">
        <v>118</v>
      </c>
      <c r="V4" s="178" t="s">
        <v>41</v>
      </c>
      <c r="W4" s="178" t="s">
        <v>42</v>
      </c>
      <c r="X4" s="178" t="s">
        <v>43</v>
      </c>
      <c r="Y4" s="139" t="s">
        <v>117</v>
      </c>
      <c r="Z4" s="139" t="s">
        <v>118</v>
      </c>
      <c r="AA4" s="178" t="s">
        <v>41</v>
      </c>
      <c r="AB4" s="178" t="s">
        <v>42</v>
      </c>
      <c r="AC4" s="178" t="s">
        <v>43</v>
      </c>
      <c r="AD4" s="139" t="s">
        <v>117</v>
      </c>
      <c r="AE4" s="139" t="s">
        <v>118</v>
      </c>
    </row>
    <row r="5" customFormat="false" ht="13.2" hidden="false" customHeight="false" outlineLevel="0" collapsed="false">
      <c r="A5" s="0" t="n">
        <v>30</v>
      </c>
      <c r="B5" s="0" t="n">
        <v>38.79</v>
      </c>
      <c r="C5" s="0" t="n">
        <v>180</v>
      </c>
      <c r="D5" s="0" t="n">
        <v>0.356</v>
      </c>
      <c r="E5" s="0" t="n">
        <f aca="false">C5/B5</f>
        <v>4.64037122969838</v>
      </c>
      <c r="F5" s="0" t="n">
        <f aca="false">B5*D5</f>
        <v>13.80924</v>
      </c>
      <c r="G5" s="0" t="n">
        <v>0.3174</v>
      </c>
      <c r="H5" s="0" t="n">
        <v>1.724</v>
      </c>
      <c r="I5" s="0" t="n">
        <v>0.3705</v>
      </c>
      <c r="J5" s="0" t="n">
        <f aca="false">H5/G5</f>
        <v>5.43163201008192</v>
      </c>
      <c r="K5" s="0" t="n">
        <f aca="false">G5*I5</f>
        <v>0.1175967</v>
      </c>
      <c r="L5" s="0" t="n">
        <v>0.1198</v>
      </c>
      <c r="M5" s="0" t="n">
        <v>0.7137</v>
      </c>
      <c r="N5" s="0" t="n">
        <v>0.3703</v>
      </c>
      <c r="O5" s="0" t="n">
        <f aca="false">M5/L5</f>
        <v>5.95742904841402</v>
      </c>
      <c r="P5" s="0" t="n">
        <f aca="false">L5*N5</f>
        <v>0.04436194</v>
      </c>
      <c r="Q5" s="0" t="n">
        <v>7.408</v>
      </c>
      <c r="R5" s="0" t="n">
        <v>42.49</v>
      </c>
      <c r="S5" s="0" t="n">
        <v>0.4061</v>
      </c>
      <c r="T5" s="0" t="n">
        <f aca="false">R5/Q5</f>
        <v>5.73569114470842</v>
      </c>
      <c r="U5" s="0" t="n">
        <f aca="false">Q5*S5</f>
        <v>3.0083888</v>
      </c>
      <c r="V5" s="0" t="n">
        <v>0.306</v>
      </c>
      <c r="W5" s="0" t="n">
        <v>1.62</v>
      </c>
      <c r="X5" s="0" t="n">
        <v>0.3793</v>
      </c>
      <c r="Y5" s="0" t="n">
        <f aca="false">W5/V5</f>
        <v>5.29411764705882</v>
      </c>
      <c r="Z5" s="0" t="n">
        <f aca="false">V5*X5</f>
        <v>0.1160658</v>
      </c>
      <c r="AA5" s="0" t="n">
        <v>0.02158</v>
      </c>
      <c r="AB5" s="0" t="n">
        <v>0.03971</v>
      </c>
      <c r="AC5" s="0" t="n">
        <v>0.2852</v>
      </c>
      <c r="AD5" s="0" t="n">
        <f aca="false">AB5/AA5</f>
        <v>1.8401297497683</v>
      </c>
      <c r="AE5" s="0" t="n">
        <f aca="false">AA5*AC5</f>
        <v>0.006154616</v>
      </c>
    </row>
    <row r="6" customFormat="false" ht="13.2" hidden="false" customHeight="false" outlineLevel="0" collapsed="false">
      <c r="A6" s="0" t="n">
        <v>50</v>
      </c>
      <c r="B6" s="0" t="n">
        <v>8.801</v>
      </c>
      <c r="C6" s="0" t="n">
        <v>27.28</v>
      </c>
      <c r="D6" s="0" t="n">
        <v>0.2957</v>
      </c>
      <c r="E6" s="0" t="n">
        <f aca="false">C6/B6</f>
        <v>3.09964776729917</v>
      </c>
      <c r="F6" s="0" t="n">
        <f aca="false">B6*D6</f>
        <v>2.6024557</v>
      </c>
      <c r="G6" s="0" t="n">
        <v>0.0903</v>
      </c>
      <c r="H6" s="0" t="n">
        <v>0.1712</v>
      </c>
      <c r="I6" s="0" t="n">
        <v>0.2324</v>
      </c>
      <c r="J6" s="0" t="n">
        <f aca="false">H6/G6</f>
        <v>1.89590254706534</v>
      </c>
      <c r="K6" s="0" t="n">
        <f aca="false">G6*I6</f>
        <v>0.02098572</v>
      </c>
      <c r="L6" s="0" t="n">
        <v>0.0388</v>
      </c>
      <c r="M6" s="0" t="n">
        <v>0.0873</v>
      </c>
      <c r="N6" s="0" t="n">
        <v>0.5105</v>
      </c>
      <c r="O6" s="0" t="n">
        <f aca="false">M6/L6</f>
        <v>2.25</v>
      </c>
      <c r="P6" s="0" t="n">
        <f aca="false">L6*N6</f>
        <v>0.0198074</v>
      </c>
      <c r="Q6" s="0" t="n">
        <v>1.817</v>
      </c>
      <c r="R6" s="0" t="n">
        <v>4.84</v>
      </c>
      <c r="S6" s="0" t="n">
        <v>0.4021</v>
      </c>
      <c r="T6" s="0" t="n">
        <f aca="false">R6/Q6</f>
        <v>2.66373142542653</v>
      </c>
      <c r="U6" s="0" t="n">
        <f aca="false">Q6*S6</f>
        <v>0.7306157</v>
      </c>
      <c r="V6" s="0" t="n">
        <v>0.09721</v>
      </c>
      <c r="W6" s="0" t="n">
        <v>0.1799</v>
      </c>
      <c r="X6" s="0" t="n">
        <v>0.4912</v>
      </c>
      <c r="Y6" s="0" t="n">
        <f aca="false">W6/V6</f>
        <v>1.85063265096184</v>
      </c>
      <c r="Z6" s="0" t="n">
        <f aca="false">V6*X6</f>
        <v>0.047749552</v>
      </c>
      <c r="AA6" s="0" t="n">
        <v>0.01076</v>
      </c>
      <c r="AB6" s="0" t="n">
        <v>0.001862</v>
      </c>
      <c r="AC6" s="0" t="n">
        <v>1.17</v>
      </c>
      <c r="AD6" s="0" t="n">
        <f aca="false">AB6/AA6</f>
        <v>0.173048327137546</v>
      </c>
      <c r="AE6" s="0" t="n">
        <f aca="false">AA6*AC6</f>
        <v>0.0125892</v>
      </c>
    </row>
    <row r="7" customFormat="false" ht="13.2" hidden="false" customHeight="false" outlineLevel="0" collapsed="false">
      <c r="A7" s="0" t="n">
        <v>70</v>
      </c>
      <c r="B7" s="0" t="n">
        <v>5.369</v>
      </c>
      <c r="C7" s="0" t="n">
        <v>23.49</v>
      </c>
      <c r="D7" s="0" t="n">
        <v>0.5883</v>
      </c>
      <c r="E7" s="0" t="n">
        <f aca="false">C7/B7</f>
        <v>4.37511640901471</v>
      </c>
      <c r="F7" s="0" t="n">
        <f aca="false">B7*D7</f>
        <v>3.1585827</v>
      </c>
      <c r="G7" s="0" t="n">
        <v>0.0509</v>
      </c>
      <c r="H7" s="0" t="n">
        <v>0.1697</v>
      </c>
      <c r="I7" s="0" t="n">
        <v>0.3849</v>
      </c>
      <c r="J7" s="0" t="n">
        <f aca="false">H7/G7</f>
        <v>3.33398821218075</v>
      </c>
      <c r="K7" s="0" t="n">
        <f aca="false">G7*I7</f>
        <v>0.01959141</v>
      </c>
      <c r="L7" s="0" t="n">
        <v>0.023</v>
      </c>
      <c r="M7" s="0" t="n">
        <v>0.0716</v>
      </c>
      <c r="N7" s="0" t="n">
        <v>0.73</v>
      </c>
      <c r="O7" s="0" t="n">
        <f aca="false">M7/L7</f>
        <v>3.11304347826087</v>
      </c>
      <c r="P7" s="0" t="n">
        <f aca="false">L7*N7</f>
        <v>0.01679</v>
      </c>
      <c r="Q7" s="0" t="n">
        <v>0.7149</v>
      </c>
      <c r="R7" s="0" t="n">
        <v>3.789</v>
      </c>
      <c r="S7" s="0" t="n">
        <v>0.5381</v>
      </c>
      <c r="T7" s="0" t="n">
        <f aca="false">R7/Q7</f>
        <v>5.30004196391104</v>
      </c>
      <c r="U7" s="0" t="n">
        <f aca="false">Q7*S7</f>
        <v>0.38468769</v>
      </c>
      <c r="V7" s="0" t="n">
        <v>0.05791</v>
      </c>
      <c r="W7" s="0" t="n">
        <v>0.1357</v>
      </c>
      <c r="X7" s="0" t="n">
        <v>0.5968</v>
      </c>
      <c r="Y7" s="0" t="n">
        <f aca="false">W7/V7</f>
        <v>2.3432913141081</v>
      </c>
      <c r="Z7" s="0" t="n">
        <f aca="false">V7*X7</f>
        <v>0.034560688</v>
      </c>
      <c r="AA7" s="0" t="n">
        <v>0.00855</v>
      </c>
      <c r="AB7" s="0" t="n">
        <v>0.000539</v>
      </c>
      <c r="AC7" s="0" t="n">
        <v>1.194</v>
      </c>
      <c r="AD7" s="0" t="n">
        <f aca="false">AB7/AA7</f>
        <v>0.0630409356725146</v>
      </c>
      <c r="AE7" s="0" t="n">
        <f aca="false">AA7*AC7</f>
        <v>0.0102087</v>
      </c>
    </row>
    <row r="8" customFormat="false" ht="13.2" hidden="false" customHeight="false" outlineLevel="0" collapsed="false">
      <c r="A8" s="0" t="n">
        <v>100</v>
      </c>
      <c r="B8" s="0" t="n">
        <v>2.507</v>
      </c>
      <c r="C8" s="0" t="n">
        <v>15.33</v>
      </c>
      <c r="D8" s="0" t="n">
        <v>0.9124</v>
      </c>
      <c r="E8" s="0" t="n">
        <f aca="false">C8/B8</f>
        <v>6.11487834064619</v>
      </c>
      <c r="F8" s="0" t="n">
        <f aca="false">B8*D8</f>
        <v>2.2873868</v>
      </c>
      <c r="G8" s="0" t="n">
        <v>0.0395</v>
      </c>
      <c r="H8" s="0" t="n">
        <v>0.0844</v>
      </c>
      <c r="I8" s="0" t="n">
        <v>0.5191</v>
      </c>
      <c r="J8" s="0" t="n">
        <f aca="false">H8/G8</f>
        <v>2.13670886075949</v>
      </c>
      <c r="K8" s="0" t="n">
        <f aca="false">G8*I8</f>
        <v>0.02050445</v>
      </c>
      <c r="L8" s="0" t="n">
        <v>0.0147</v>
      </c>
      <c r="M8" s="0" t="n">
        <v>0.04</v>
      </c>
      <c r="N8" s="0" t="n">
        <v>0.9752</v>
      </c>
      <c r="O8" s="0" t="n">
        <f aca="false">M8/L8</f>
        <v>2.72108843537415</v>
      </c>
      <c r="P8" s="0" t="n">
        <f aca="false">L8*N8</f>
        <v>0.01433544</v>
      </c>
      <c r="Q8" s="0" t="n">
        <v>0.3424</v>
      </c>
      <c r="R8" s="0" t="n">
        <v>2.456</v>
      </c>
      <c r="S8" s="0" t="n">
        <v>0.9388</v>
      </c>
      <c r="T8" s="0" t="n">
        <f aca="false">R8/Q8</f>
        <v>7.17289719626168</v>
      </c>
      <c r="U8" s="0" t="n">
        <f aca="false">Q8*S8</f>
        <v>0.32144512</v>
      </c>
      <c r="V8" s="0" t="n">
        <v>0.04279</v>
      </c>
      <c r="W8" s="0" t="n">
        <v>0.08948</v>
      </c>
      <c r="X8" s="0" t="n">
        <v>1.029</v>
      </c>
      <c r="Y8" s="0" t="n">
        <f aca="false">W8/V8</f>
        <v>2.09114279037158</v>
      </c>
      <c r="Z8" s="0" t="n">
        <f aca="false">V8*X8</f>
        <v>0.04403091</v>
      </c>
      <c r="AA8" s="0" t="n">
        <v>0.00723</v>
      </c>
      <c r="AB8" s="0" t="n">
        <v>0.000894</v>
      </c>
      <c r="AC8" s="0" t="n">
        <v>1.316</v>
      </c>
      <c r="AD8" s="0" t="n">
        <f aca="false">AB8/AA8</f>
        <v>0.123651452282158</v>
      </c>
      <c r="AE8" s="0" t="n">
        <f aca="false">AA8*AC8</f>
        <v>0.00951468</v>
      </c>
    </row>
    <row r="9" customFormat="false" ht="13.2" hidden="false" customHeight="false" outlineLevel="0" collapsed="false">
      <c r="A9" s="0" t="n">
        <v>125</v>
      </c>
      <c r="B9" s="0" t="n">
        <v>2.233</v>
      </c>
      <c r="C9" s="0" t="n">
        <v>7.888</v>
      </c>
      <c r="D9" s="0" t="n">
        <v>0.7295</v>
      </c>
      <c r="E9" s="0" t="n">
        <f aca="false">C9/B9</f>
        <v>3.53246753246753</v>
      </c>
      <c r="F9" s="0" t="n">
        <f aca="false">B9*D9</f>
        <v>1.6289735</v>
      </c>
      <c r="G9" s="0" t="n">
        <v>0.0351</v>
      </c>
      <c r="H9" s="0" t="n">
        <v>0.066</v>
      </c>
      <c r="I9" s="0" t="n">
        <v>0.7832</v>
      </c>
      <c r="J9" s="0" t="n">
        <f aca="false">H9/G9</f>
        <v>1.88034188034188</v>
      </c>
      <c r="K9" s="0" t="n">
        <f aca="false">G9*I9</f>
        <v>0.02749032</v>
      </c>
      <c r="L9" s="0" t="n">
        <v>0.012</v>
      </c>
      <c r="M9" s="0" t="n">
        <v>0.0267</v>
      </c>
      <c r="N9" s="0" t="n">
        <v>10.79</v>
      </c>
      <c r="O9" s="0" t="n">
        <f aca="false">M9/L9</f>
        <v>2.225</v>
      </c>
      <c r="P9" s="0" t="n">
        <f aca="false">L9*N9</f>
        <v>0.12948</v>
      </c>
      <c r="Q9" s="0" t="n">
        <v>0.2138</v>
      </c>
      <c r="R9" s="0" t="n">
        <v>1.69</v>
      </c>
      <c r="S9" s="0" t="n">
        <v>1.086</v>
      </c>
      <c r="T9" s="0" t="n">
        <f aca="false">R9/Q9</f>
        <v>7.90458372310571</v>
      </c>
      <c r="U9" s="0" t="n">
        <f aca="false">Q9*S9</f>
        <v>0.2321868</v>
      </c>
      <c r="V9" s="0" t="n">
        <v>0.03654</v>
      </c>
      <c r="W9" s="0" t="n">
        <v>0.0579</v>
      </c>
      <c r="X9" s="0" t="n">
        <v>1.093</v>
      </c>
      <c r="Y9" s="0" t="n">
        <f aca="false">W9/V9</f>
        <v>1.58456486042693</v>
      </c>
      <c r="Z9" s="0" t="n">
        <f aca="false">V9*X9</f>
        <v>0.03993822</v>
      </c>
      <c r="AA9" s="0" t="n">
        <v>0.006587</v>
      </c>
      <c r="AB9" s="0" t="n">
        <v>-0.00114</v>
      </c>
      <c r="AC9" s="0" t="n">
        <v>1.172</v>
      </c>
      <c r="AD9" s="0" t="n">
        <f aca="false">AB9/AA9</f>
        <v>-0.173068164566571</v>
      </c>
      <c r="AE9" s="0" t="n">
        <f aca="false">AA9*AC9</f>
        <v>0.007719964</v>
      </c>
    </row>
    <row r="10" customFormat="false" ht="13.2" hidden="false" customHeight="false" outlineLevel="0" collapsed="false">
      <c r="A10" s="0" t="n">
        <v>150</v>
      </c>
      <c r="B10" s="0" t="n">
        <v>1.791</v>
      </c>
      <c r="C10" s="0" t="n">
        <v>5.478</v>
      </c>
      <c r="D10" s="0" t="n">
        <v>0.5678</v>
      </c>
      <c r="E10" s="0" t="n">
        <f aca="false">C10/B10</f>
        <v>3.05862646566164</v>
      </c>
      <c r="F10" s="0" t="n">
        <f aca="false">B10*D10</f>
        <v>1.0169298</v>
      </c>
      <c r="G10" s="0" t="n">
        <v>0.0324</v>
      </c>
      <c r="H10" s="0" t="n">
        <v>0.0775</v>
      </c>
      <c r="I10" s="0" t="n">
        <v>1.566</v>
      </c>
      <c r="J10" s="0" t="n">
        <f aca="false">H10/G10</f>
        <v>2.39197530864198</v>
      </c>
      <c r="K10" s="0" t="n">
        <f aca="false">G10*I10</f>
        <v>0.0507384</v>
      </c>
      <c r="L10" s="0" t="n">
        <v>0.0104</v>
      </c>
      <c r="M10" s="0" t="n">
        <v>0.0202</v>
      </c>
      <c r="N10" s="0" t="n">
        <v>1.135</v>
      </c>
      <c r="O10" s="0" t="n">
        <f aca="false">M10/L10</f>
        <v>1.94230769230769</v>
      </c>
      <c r="P10" s="0" t="n">
        <f aca="false">L10*N10</f>
        <v>0.011804</v>
      </c>
      <c r="Q10" s="0" t="n">
        <v>0.1511</v>
      </c>
      <c r="R10" s="0" t="n">
        <v>1.124</v>
      </c>
      <c r="S10" s="0" t="n">
        <v>1.151</v>
      </c>
      <c r="T10" s="0" t="n">
        <f aca="false">R10/Q10</f>
        <v>7.43878226340172</v>
      </c>
      <c r="U10" s="0" t="n">
        <f aca="false">Q10*S10</f>
        <v>0.1739161</v>
      </c>
      <c r="V10" s="0" t="n">
        <v>0.03267</v>
      </c>
      <c r="W10" s="0" t="n">
        <v>0.04074</v>
      </c>
      <c r="X10" s="0" t="n">
        <v>1.134</v>
      </c>
      <c r="Y10" s="0" t="n">
        <f aca="false">W10/V10</f>
        <v>1.24701561065197</v>
      </c>
      <c r="Z10" s="0" t="n">
        <f aca="false">V10*X10</f>
        <v>0.03704778</v>
      </c>
      <c r="AA10" s="0" t="n">
        <v>0.006027</v>
      </c>
      <c r="AB10" s="0" t="n">
        <v>-0.00163</v>
      </c>
      <c r="AC10" s="0" t="n">
        <v>1.44</v>
      </c>
      <c r="AD10" s="0" t="n">
        <f aca="false">AB10/AA10</f>
        <v>-0.270449643271943</v>
      </c>
      <c r="AE10" s="0" t="n">
        <f aca="false">AA10*AC10</f>
        <v>0.00867888</v>
      </c>
    </row>
    <row r="11" customFormat="false" ht="13.2" hidden="false" customHeight="false" outlineLevel="0" collapsed="false">
      <c r="A11" s="0" t="s">
        <v>401</v>
      </c>
      <c r="B11" s="0" t="n">
        <v>2.298</v>
      </c>
      <c r="C11" s="0" t="n">
        <v>17.38</v>
      </c>
      <c r="D11" s="0" t="n">
        <v>0.6193</v>
      </c>
      <c r="E11" s="0" t="n">
        <f aca="false">C11/B11</f>
        <v>7.56309834638816</v>
      </c>
      <c r="F11" s="0" t="n">
        <f aca="false">B11*D11</f>
        <v>1.4231514</v>
      </c>
      <c r="G11" s="0" t="n">
        <v>0.0361</v>
      </c>
      <c r="H11" s="0" t="n">
        <v>0.1433</v>
      </c>
      <c r="I11" s="0" t="n">
        <v>0.56</v>
      </c>
      <c r="J11" s="0" t="n">
        <f aca="false">H11/G11</f>
        <v>3.96952908587258</v>
      </c>
      <c r="K11" s="0" t="n">
        <f aca="false">G11*I11</f>
        <v>0.020216</v>
      </c>
      <c r="L11" s="0" t="n">
        <v>0.0138</v>
      </c>
      <c r="M11" s="0" t="n">
        <v>0.057</v>
      </c>
      <c r="N11" s="0" t="n">
        <v>0.7937</v>
      </c>
      <c r="O11" s="0" t="n">
        <f aca="false">M11/L11</f>
        <v>4.1304347826087</v>
      </c>
      <c r="P11" s="0" t="n">
        <f aca="false">L11*N11</f>
        <v>0.01095306</v>
      </c>
      <c r="Q11" s="0" t="n">
        <v>0.2191</v>
      </c>
      <c r="R11" s="0" t="n">
        <v>3.49</v>
      </c>
      <c r="S11" s="0" t="n">
        <v>0.7358</v>
      </c>
      <c r="T11" s="0" t="n">
        <f aca="false">R11/Q11</f>
        <v>15.9287996348699</v>
      </c>
      <c r="U11" s="0" t="n">
        <f aca="false">Q11*S11</f>
        <v>0.16121378</v>
      </c>
      <c r="V11" s="0" t="n">
        <v>0.03873</v>
      </c>
      <c r="W11" s="0" t="n">
        <v>0.1054</v>
      </c>
      <c r="X11" s="0" t="n">
        <v>0.6397</v>
      </c>
      <c r="Y11" s="0" t="n">
        <f aca="false">W11/V11</f>
        <v>2.72140459592047</v>
      </c>
      <c r="Z11" s="0" t="n">
        <f aca="false">V11*X11</f>
        <v>0.024775581</v>
      </c>
      <c r="AA11" s="0" t="n">
        <v>0.007552</v>
      </c>
      <c r="AB11" s="0" t="n">
        <v>0.000737</v>
      </c>
      <c r="AC11" s="0" t="n">
        <v>1.044</v>
      </c>
      <c r="AD11" s="0" t="n">
        <f aca="false">AB11/AA11</f>
        <v>0.0975900423728814</v>
      </c>
      <c r="AE11" s="0" t="n">
        <f aca="false">AA11*AC11</f>
        <v>0.007884288</v>
      </c>
    </row>
    <row r="12" customFormat="false" ht="13.2" hidden="false" customHeight="false" outlineLevel="0" collapsed="false">
      <c r="A12" s="0" t="s">
        <v>402</v>
      </c>
      <c r="B12" s="0" t="n">
        <v>2.256</v>
      </c>
      <c r="C12" s="0" t="n">
        <v>13.8</v>
      </c>
      <c r="D12" s="0" t="n">
        <v>0.8837</v>
      </c>
      <c r="E12" s="0" t="n">
        <f aca="false">C12/B12</f>
        <v>6.11702127659575</v>
      </c>
      <c r="F12" s="0" t="n">
        <f aca="false">B12*D12</f>
        <v>1.9936272</v>
      </c>
      <c r="G12" s="0" t="n">
        <v>0.0356</v>
      </c>
      <c r="H12" s="0" t="n">
        <v>0.1079</v>
      </c>
      <c r="I12" s="0" t="n">
        <v>0.7705</v>
      </c>
      <c r="J12" s="0" t="n">
        <f aca="false">H12/G12</f>
        <v>3.03089887640449</v>
      </c>
      <c r="K12" s="0" t="n">
        <f aca="false">G12*I12</f>
        <v>0.0274298</v>
      </c>
      <c r="L12" s="0" t="n">
        <v>0.0127</v>
      </c>
      <c r="M12" s="0" t="n">
        <v>0.0445</v>
      </c>
      <c r="N12" s="0" t="n">
        <v>1.049</v>
      </c>
      <c r="O12" s="0" t="n">
        <f aca="false">M12/L12</f>
        <v>3.50393700787402</v>
      </c>
      <c r="P12" s="0" t="n">
        <f aca="false">L12*N12</f>
        <v>0.0133223</v>
      </c>
      <c r="Q12" s="0" t="n">
        <v>0.2211</v>
      </c>
      <c r="R12" s="0" t="n">
        <v>2.836</v>
      </c>
      <c r="S12" s="0" t="n">
        <v>1.123</v>
      </c>
      <c r="T12" s="0" t="n">
        <f aca="false">R12/Q12</f>
        <v>12.8267752148349</v>
      </c>
      <c r="U12" s="0" t="n">
        <f aca="false">Q12*S12</f>
        <v>0.2482953</v>
      </c>
      <c r="V12" s="0" t="n">
        <v>0.03749</v>
      </c>
      <c r="W12" s="0" t="n">
        <v>0.0871</v>
      </c>
      <c r="X12" s="0" t="n">
        <v>0.9086</v>
      </c>
      <c r="Y12" s="0" t="n">
        <f aca="false">W12/V12</f>
        <v>2.32328620965591</v>
      </c>
      <c r="Z12" s="0" t="n">
        <f aca="false">V12*X12</f>
        <v>0.034063414</v>
      </c>
      <c r="AA12" s="0" t="n">
        <v>0.007058</v>
      </c>
      <c r="AB12" s="0" t="n">
        <v>0.000229</v>
      </c>
      <c r="AC12" s="0" t="n">
        <v>1.875</v>
      </c>
      <c r="AD12" s="0" t="n">
        <f aca="false">AB12/AA12</f>
        <v>0.0324454519693964</v>
      </c>
      <c r="AE12" s="0" t="n">
        <f aca="false">AA12*AC12</f>
        <v>0.01323375</v>
      </c>
    </row>
    <row r="13" customFormat="false" ht="13.2" hidden="false" customHeight="false" outlineLevel="0" collapsed="false">
      <c r="A13" s="0" t="s">
        <v>403</v>
      </c>
      <c r="B13" s="0" t="n">
        <v>2.513</v>
      </c>
      <c r="C13" s="0" t="n">
        <v>17.34</v>
      </c>
      <c r="D13" s="0" t="n">
        <v>0.4994</v>
      </c>
      <c r="E13" s="0" t="n">
        <f aca="false">C13/B13</f>
        <v>6.90011937922801</v>
      </c>
      <c r="F13" s="0" t="n">
        <f aca="false">B13*D13</f>
        <v>1.2549922</v>
      </c>
      <c r="G13" s="0" t="n">
        <v>0.0392</v>
      </c>
      <c r="H13" s="0" t="n">
        <v>0.1464</v>
      </c>
      <c r="I13" s="0" t="n">
        <v>0.4486</v>
      </c>
      <c r="J13" s="0" t="n">
        <f aca="false">H13/G13</f>
        <v>3.73469387755102</v>
      </c>
      <c r="K13" s="0" t="n">
        <f aca="false">G13*I13</f>
        <v>0.01758512</v>
      </c>
      <c r="L13" s="0" t="n">
        <v>0.0164</v>
      </c>
      <c r="M13" s="0" t="n">
        <v>0.0608</v>
      </c>
      <c r="N13" s="0" t="n">
        <v>0.7472</v>
      </c>
      <c r="O13" s="0" t="n">
        <f aca="false">M13/L13</f>
        <v>3.70731707317073</v>
      </c>
      <c r="P13" s="0" t="n">
        <f aca="false">L13*N13</f>
        <v>0.01225408</v>
      </c>
      <c r="Q13" s="0" t="n">
        <v>0.244</v>
      </c>
      <c r="R13" s="0" t="n">
        <v>3.012</v>
      </c>
      <c r="S13" s="0" t="n">
        <v>0.5019</v>
      </c>
      <c r="T13" s="0" t="n">
        <f aca="false">R13/Q13</f>
        <v>12.344262295082</v>
      </c>
      <c r="U13" s="0" t="n">
        <f aca="false">Q13*S13</f>
        <v>0.1224636</v>
      </c>
      <c r="V13" s="0" t="n">
        <v>0.04299</v>
      </c>
      <c r="W13" s="0" t="n">
        <v>0.107</v>
      </c>
      <c r="X13" s="0" t="n">
        <v>0.5538</v>
      </c>
      <c r="Y13" s="0" t="n">
        <f aca="false">W13/V13</f>
        <v>2.48895091881833</v>
      </c>
      <c r="Z13" s="0" t="n">
        <f aca="false">V13*X13</f>
        <v>0.023807862</v>
      </c>
      <c r="AA13" s="0" t="n">
        <v>0.007887</v>
      </c>
      <c r="AB13" s="0" t="n">
        <v>0.000877</v>
      </c>
      <c r="AC13" s="0" t="n">
        <v>0.98</v>
      </c>
      <c r="AD13" s="0" t="n">
        <f aca="false">AB13/AA13</f>
        <v>0.111195638392291</v>
      </c>
      <c r="AE13" s="0" t="n">
        <f aca="false">AA13*AC13</f>
        <v>0.00772926</v>
      </c>
    </row>
    <row r="14" customFormat="false" ht="13.2" hidden="false" customHeight="false" outlineLevel="0" collapsed="false">
      <c r="A14" s="0" t="s">
        <v>404</v>
      </c>
      <c r="B14" s="0" t="n">
        <v>2.322</v>
      </c>
      <c r="C14" s="0" t="n">
        <v>12.91</v>
      </c>
      <c r="D14" s="0" t="n">
        <v>0.7575</v>
      </c>
      <c r="E14" s="0" t="n">
        <f aca="false">C14/B14</f>
        <v>5.55986218776916</v>
      </c>
      <c r="F14" s="0" t="n">
        <f aca="false">B14*D14</f>
        <v>1.758915</v>
      </c>
      <c r="G14" s="0" t="n">
        <v>0.0363</v>
      </c>
      <c r="H14" s="0" t="n">
        <v>0.0936</v>
      </c>
      <c r="I14" s="0" t="n">
        <v>0.5955</v>
      </c>
      <c r="J14" s="0" t="n">
        <f aca="false">H14/G14</f>
        <v>2.57851239669422</v>
      </c>
      <c r="K14" s="0" t="n">
        <f aca="false">G14*I14</f>
        <v>0.02161665</v>
      </c>
      <c r="L14" s="0" t="n">
        <v>0.0133</v>
      </c>
      <c r="M14" s="0" t="n">
        <v>0.041</v>
      </c>
      <c r="N14" s="0" t="n">
        <v>0.9566</v>
      </c>
      <c r="O14" s="0" t="n">
        <f aca="false">M14/L14</f>
        <v>3.08270676691729</v>
      </c>
      <c r="P14" s="0" t="n">
        <f aca="false">L14*N14</f>
        <v>0.01272278</v>
      </c>
      <c r="Q14" s="0" t="n">
        <v>0.2331</v>
      </c>
      <c r="R14" s="0" t="n">
        <v>2.213</v>
      </c>
      <c r="S14" s="0" t="n">
        <v>0.8051</v>
      </c>
      <c r="T14" s="0" t="n">
        <f aca="false">R14/Q14</f>
        <v>9.49377949377949</v>
      </c>
      <c r="U14" s="0" t="n">
        <f aca="false">Q14*S14</f>
        <v>0.18766881</v>
      </c>
      <c r="V14" s="0" t="n">
        <v>0.03886</v>
      </c>
      <c r="W14" s="0" t="n">
        <v>0.08091</v>
      </c>
      <c r="X14" s="0" t="n">
        <v>0.852</v>
      </c>
      <c r="Y14" s="0" t="n">
        <f aca="false">W14/V14</f>
        <v>2.08208955223881</v>
      </c>
      <c r="Z14" s="0" t="n">
        <f aca="false">V14*X14</f>
        <v>0.03310872</v>
      </c>
      <c r="AA14" s="0" t="n">
        <v>0.007057</v>
      </c>
      <c r="AB14" s="0" t="n">
        <v>0.000422</v>
      </c>
      <c r="AC14" s="0" t="n">
        <v>1.664</v>
      </c>
      <c r="AD14" s="0" t="n">
        <f aca="false">AB14/AA14</f>
        <v>0.0597987813518492</v>
      </c>
      <c r="AE14" s="0" t="n">
        <f aca="false">AA14*AC14</f>
        <v>0.011742848</v>
      </c>
    </row>
    <row r="15" customFormat="false" ht="13.2" hidden="false" customHeight="false" outlineLevel="0" collapsed="false">
      <c r="A15" s="0" t="s">
        <v>348</v>
      </c>
      <c r="B15" s="0" t="n">
        <v>2.272</v>
      </c>
      <c r="C15" s="0" t="n">
        <v>13.6</v>
      </c>
      <c r="D15" s="0" t="n">
        <v>0.7184</v>
      </c>
      <c r="E15" s="0" t="n">
        <f aca="false">C15/B15</f>
        <v>5.98591549295775</v>
      </c>
      <c r="F15" s="0" t="n">
        <f aca="false">B15*D15</f>
        <v>1.6322048</v>
      </c>
      <c r="G15" s="0" t="n">
        <v>0.0356</v>
      </c>
      <c r="H15" s="0" t="n">
        <v>0.1114</v>
      </c>
      <c r="I15" s="0" t="n">
        <v>0.662</v>
      </c>
      <c r="J15" s="0" t="n">
        <f aca="false">H15/G15</f>
        <v>3.12921348314607</v>
      </c>
      <c r="K15" s="0" t="n">
        <f aca="false">G15*I15</f>
        <v>0.0235672</v>
      </c>
      <c r="L15" s="0" t="n">
        <v>0.0129</v>
      </c>
      <c r="M15" s="0" t="n">
        <v>0.0457</v>
      </c>
      <c r="N15" s="0" t="n">
        <v>0.9355</v>
      </c>
      <c r="O15" s="0" t="n">
        <f aca="false">M15/L15</f>
        <v>3.54263565891473</v>
      </c>
      <c r="P15" s="0" t="n">
        <f aca="false">L15*N15</f>
        <v>0.01206795</v>
      </c>
      <c r="Q15" s="0" t="n">
        <v>0.2149</v>
      </c>
      <c r="R15" s="0" t="n">
        <v>2.695</v>
      </c>
      <c r="S15" s="0" t="n">
        <v>0.8768</v>
      </c>
      <c r="T15" s="0" t="n">
        <f aca="false">R15/Q15</f>
        <v>12.5407166123779</v>
      </c>
      <c r="U15" s="0" t="n">
        <f aca="false">Q15*S15</f>
        <v>0.18842432</v>
      </c>
      <c r="V15" s="0" t="n">
        <v>0.03762</v>
      </c>
      <c r="W15" s="0" t="n">
        <v>0.08857</v>
      </c>
      <c r="X15" s="0" t="n">
        <v>0.8087</v>
      </c>
      <c r="Y15" s="0" t="n">
        <f aca="false">W15/V15</f>
        <v>2.35433280170122</v>
      </c>
      <c r="Z15" s="0" t="n">
        <f aca="false">V15*X15</f>
        <v>0.030423294</v>
      </c>
      <c r="AA15" s="0" t="n">
        <v>0.007102</v>
      </c>
      <c r="AB15" s="0" t="n">
        <v>0.000345</v>
      </c>
      <c r="AC15" s="0" t="n">
        <v>1.698</v>
      </c>
      <c r="AD15" s="0" t="n">
        <f aca="false">AB15/AA15</f>
        <v>0.048577865390031</v>
      </c>
      <c r="AE15" s="0" t="n">
        <f aca="false">AA15*AC15</f>
        <v>0.012059196</v>
      </c>
    </row>
    <row r="16" customFormat="false" ht="13.2" hidden="false" customHeight="false" outlineLevel="0" collapsed="false">
      <c r="A16" s="0" t="s">
        <v>405</v>
      </c>
      <c r="B16" s="0" t="n">
        <v>2.288</v>
      </c>
      <c r="C16" s="0" t="n">
        <v>9.848</v>
      </c>
      <c r="D16" s="0" t="n">
        <v>1.054</v>
      </c>
      <c r="E16" s="0" t="n">
        <f aca="false">C16/B16</f>
        <v>4.30419580419581</v>
      </c>
      <c r="F16" s="0" t="n">
        <f aca="false">B16*D16</f>
        <v>2.411552</v>
      </c>
      <c r="G16" s="0" t="n">
        <v>0.0364</v>
      </c>
      <c r="H16" s="0" t="n">
        <v>0.0659</v>
      </c>
      <c r="I16" s="0" t="n">
        <v>0.7543</v>
      </c>
      <c r="J16" s="0" t="n">
        <f aca="false">H16/G16</f>
        <v>1.81043956043956</v>
      </c>
      <c r="K16" s="0" t="n">
        <f aca="false">G16*I16</f>
        <v>0.02745652</v>
      </c>
      <c r="L16" s="0" t="n">
        <v>0.013</v>
      </c>
      <c r="M16" s="0" t="n">
        <v>0.0297</v>
      </c>
      <c r="N16" s="0" t="n">
        <v>1.195</v>
      </c>
      <c r="O16" s="0" t="n">
        <f aca="false">M16/L16</f>
        <v>2.28461538461538</v>
      </c>
      <c r="P16" s="0" t="n">
        <f aca="false">L16*N16</f>
        <v>0.015535</v>
      </c>
      <c r="Q16" s="0" t="n">
        <v>0.2518</v>
      </c>
      <c r="R16" s="0" t="n">
        <v>1.829</v>
      </c>
      <c r="S16" s="0" t="n">
        <v>1.273</v>
      </c>
      <c r="T16" s="0" t="n">
        <f aca="false">R16/Q16</f>
        <v>7.263701350278</v>
      </c>
      <c r="U16" s="0" t="n">
        <f aca="false">Q16*S16</f>
        <v>0.3205414</v>
      </c>
      <c r="V16" s="0" t="n">
        <v>0.03866</v>
      </c>
      <c r="W16" s="0" t="n">
        <v>0.0627</v>
      </c>
      <c r="X16" s="0" t="n">
        <v>1.128</v>
      </c>
      <c r="Y16" s="0" t="n">
        <f aca="false">W16/V16</f>
        <v>1.6218313502328</v>
      </c>
      <c r="Z16" s="0" t="n">
        <f aca="false">V16*X16</f>
        <v>0.04360848</v>
      </c>
      <c r="AA16" s="0" t="n">
        <v>0.007485</v>
      </c>
      <c r="AB16" s="0" t="n">
        <v>-0.00081</v>
      </c>
      <c r="AC16" s="0" t="n">
        <v>0.09459</v>
      </c>
      <c r="AD16" s="0" t="n">
        <f aca="false">AB16/AA16</f>
        <v>-0.108216432865731</v>
      </c>
      <c r="AE16" s="0" t="n">
        <f aca="false">AA16*AC16</f>
        <v>0.00070800615</v>
      </c>
    </row>
    <row r="17" customFormat="false" ht="13.2" hidden="false" customHeight="false" outlineLevel="0" collapsed="false">
      <c r="A17" s="0" t="s">
        <v>406</v>
      </c>
      <c r="B17" s="0" t="n">
        <v>29.91</v>
      </c>
      <c r="C17" s="0" t="n">
        <v>184.4</v>
      </c>
      <c r="D17" s="0" t="n">
        <v>0.355</v>
      </c>
      <c r="E17" s="0" t="n">
        <f aca="false">C17/B17</f>
        <v>6.16516215312605</v>
      </c>
      <c r="F17" s="0" t="n">
        <f aca="false">B17*D17</f>
        <v>10.61805</v>
      </c>
      <c r="G17" s="0" t="n">
        <v>0.2539</v>
      </c>
      <c r="H17" s="0" t="n">
        <v>1.8411</v>
      </c>
      <c r="I17" s="0" t="n">
        <v>0.3924</v>
      </c>
      <c r="J17" s="0" t="n">
        <f aca="false">H17/G17</f>
        <v>7.25128003150847</v>
      </c>
      <c r="K17" s="0" t="n">
        <f aca="false">G17*I17</f>
        <v>0.09963036</v>
      </c>
      <c r="L17" s="0" t="n">
        <v>0.0883</v>
      </c>
      <c r="M17" s="0" t="n">
        <v>0.7526</v>
      </c>
      <c r="N17" s="0" t="n">
        <v>0.3786</v>
      </c>
      <c r="O17" s="0" t="n">
        <f aca="false">M17/L17</f>
        <v>8.52321630804077</v>
      </c>
      <c r="P17" s="0" t="n">
        <f aca="false">L17*N17</f>
        <v>0.03343038</v>
      </c>
      <c r="Q17" s="0" t="n">
        <v>5.789</v>
      </c>
      <c r="R17" s="0" t="n">
        <v>44.12</v>
      </c>
      <c r="S17" s="0" t="n">
        <v>0.4124</v>
      </c>
      <c r="T17" s="0" t="n">
        <f aca="false">R17/Q17</f>
        <v>7.62135083779582</v>
      </c>
      <c r="U17" s="0" t="n">
        <f aca="false">Q17*S17</f>
        <v>2.3873836</v>
      </c>
      <c r="V17" s="0" t="n">
        <v>0.2404</v>
      </c>
      <c r="W17" s="0" t="n">
        <v>1.709</v>
      </c>
      <c r="X17" s="0" t="n">
        <v>0.3918</v>
      </c>
      <c r="Y17" s="0" t="n">
        <f aca="false">W17/V17</f>
        <v>7.1089850249584</v>
      </c>
      <c r="Z17" s="0" t="n">
        <f aca="false">V17*X17</f>
        <v>0.09418872</v>
      </c>
      <c r="AA17" s="0" t="n">
        <v>0.01888</v>
      </c>
      <c r="AB17" s="0" t="n">
        <v>0.04172</v>
      </c>
      <c r="AC17" s="0" t="n">
        <v>0.2903</v>
      </c>
      <c r="AD17" s="0" t="n">
        <f aca="false">AB17/AA17</f>
        <v>2.20974576271186</v>
      </c>
      <c r="AE17" s="0" t="n">
        <f aca="false">AA17*AC17</f>
        <v>0.005480864</v>
      </c>
    </row>
    <row r="18" customFormat="false" ht="13.2" hidden="false" customHeight="false" outlineLevel="0" collapsed="false">
      <c r="A18" s="0" t="s">
        <v>407</v>
      </c>
      <c r="B18" s="0" t="n">
        <v>2.354</v>
      </c>
      <c r="C18" s="0" t="n">
        <v>14.94</v>
      </c>
      <c r="D18" s="0" t="n">
        <v>0.7481</v>
      </c>
      <c r="E18" s="0" t="n">
        <f aca="false">C18/B18</f>
        <v>6.34664401019541</v>
      </c>
      <c r="F18" s="0" t="n">
        <f aca="false">B18*D18</f>
        <v>1.7610274</v>
      </c>
      <c r="G18" s="0" t="n">
        <v>0.0371</v>
      </c>
      <c r="H18" s="0" t="n">
        <v>0.1067</v>
      </c>
      <c r="I18" s="0" t="n">
        <v>0.5733</v>
      </c>
      <c r="J18" s="0" t="n">
        <f aca="false">H18/G18</f>
        <v>2.87601078167116</v>
      </c>
      <c r="K18" s="0" t="n">
        <f aca="false">G18*I18</f>
        <v>0.02126943</v>
      </c>
      <c r="L18" s="0" t="n">
        <v>0.0139</v>
      </c>
      <c r="M18" s="0" t="n">
        <v>0.0464</v>
      </c>
      <c r="N18" s="0" t="n">
        <v>0.9185</v>
      </c>
      <c r="O18" s="0" t="n">
        <f aca="false">M18/L18</f>
        <v>3.33812949640288</v>
      </c>
      <c r="P18" s="0" t="n">
        <f aca="false">L18*N18</f>
        <v>0.01276715</v>
      </c>
      <c r="Q18" s="0" t="n">
        <v>0.253</v>
      </c>
      <c r="R18" s="0" t="n">
        <v>2.592</v>
      </c>
      <c r="S18" s="0" t="n">
        <v>0.7999</v>
      </c>
      <c r="T18" s="0" t="n">
        <f aca="false">R18/Q18</f>
        <v>10.2450592885375</v>
      </c>
      <c r="U18" s="0" t="n">
        <f aca="false">Q18*S18</f>
        <v>0.2023747</v>
      </c>
      <c r="V18" s="0" t="n">
        <v>0.04001</v>
      </c>
      <c r="W18" s="0" t="n">
        <v>0.0903</v>
      </c>
      <c r="X18" s="0" t="n">
        <v>0.8019</v>
      </c>
      <c r="Y18" s="0" t="n">
        <f aca="false">W18/V18</f>
        <v>2.25693576605849</v>
      </c>
      <c r="Z18" s="0" t="n">
        <f aca="false">V18*X18</f>
        <v>0.032084019</v>
      </c>
      <c r="AA18" s="0" t="n">
        <v>0.007266</v>
      </c>
      <c r="AB18" s="0" t="n">
        <v>0.000674</v>
      </c>
      <c r="AC18" s="0" t="n">
        <v>1.2335</v>
      </c>
      <c r="AD18" s="0" t="n">
        <f aca="false">AB18/AA18</f>
        <v>0.0927608037434627</v>
      </c>
      <c r="AE18" s="0" t="n">
        <f aca="false">AA18*AC18</f>
        <v>0.008962611</v>
      </c>
    </row>
    <row r="19" customFormat="false" ht="13.2" hidden="false" customHeight="false" outlineLevel="0" collapsed="false">
      <c r="A19" s="0" t="s">
        <v>186</v>
      </c>
      <c r="B19" s="0" t="n">
        <v>2.661</v>
      </c>
      <c r="C19" s="0" t="n">
        <v>19.54</v>
      </c>
      <c r="D19" s="0" t="n">
        <v>0.5094</v>
      </c>
      <c r="E19" s="0" t="n">
        <f aca="false">C19/B19</f>
        <v>7.34310409620443</v>
      </c>
      <c r="F19" s="0" t="n">
        <f aca="false">B19*D19</f>
        <v>1.3555134</v>
      </c>
      <c r="G19" s="0" t="n">
        <v>0.04219</v>
      </c>
      <c r="H19" s="0" t="n">
        <v>0.1559</v>
      </c>
      <c r="I19" s="0" t="n">
        <v>0.4472</v>
      </c>
      <c r="J19" s="0" t="n">
        <f aca="false">H19/G19</f>
        <v>3.69518843327803</v>
      </c>
      <c r="K19" s="0" t="n">
        <f aca="false">G19*I19</f>
        <v>0.018867368</v>
      </c>
      <c r="L19" s="0" t="n">
        <v>0.01747</v>
      </c>
      <c r="M19" s="0" t="n">
        <v>0.06422</v>
      </c>
      <c r="N19" s="0" t="n">
        <v>0.7299</v>
      </c>
      <c r="O19" s="0" t="n">
        <f aca="false">M19/L19</f>
        <v>3.67601602747567</v>
      </c>
      <c r="P19" s="0" t="n">
        <f aca="false">L19*N19</f>
        <v>0.012751353</v>
      </c>
      <c r="Q19" s="0" t="n">
        <v>0.3579</v>
      </c>
      <c r="R19" s="0" t="n">
        <v>3.466</v>
      </c>
      <c r="S19" s="0" t="n">
        <v>0.56</v>
      </c>
      <c r="T19" s="0" t="n">
        <f aca="false">R19/Q19</f>
        <v>9.68426934898016</v>
      </c>
      <c r="U19" s="0" t="n">
        <f aca="false">Q19*S19</f>
        <v>0.200424</v>
      </c>
      <c r="V19" s="0" t="n">
        <v>0.04612</v>
      </c>
      <c r="W19" s="0" t="n">
        <v>0.1198</v>
      </c>
      <c r="X19" s="0" t="n">
        <v>0.5907</v>
      </c>
      <c r="Y19" s="0" t="n">
        <f aca="false">W19/V19</f>
        <v>2.59757155247181</v>
      </c>
      <c r="Z19" s="0" t="n">
        <f aca="false">V19*X19</f>
        <v>0.027243084</v>
      </c>
      <c r="AA19" s="0" t="n">
        <v>0.008079</v>
      </c>
      <c r="AB19" s="0" t="n">
        <v>0.000847</v>
      </c>
      <c r="AC19" s="0" t="n">
        <v>0.9742</v>
      </c>
      <c r="AD19" s="0" t="n">
        <f aca="false">AB19/AA19</f>
        <v>0.104839707884639</v>
      </c>
      <c r="AE19" s="0" t="n">
        <f aca="false">AA19*AC19</f>
        <v>0.0078705618</v>
      </c>
    </row>
    <row r="21" customFormat="false" ht="13.2" hidden="false" customHeight="false" outlineLevel="0" collapsed="false">
      <c r="A21" s="0" t="n">
        <v>120</v>
      </c>
      <c r="B21" s="0" t="n">
        <f aca="false">SLOPE(B8:B10,A8:A10)*A21+INTERCEPT(B8:B10,A8:A10)</f>
        <v>2.2486</v>
      </c>
      <c r="C21" s="0" t="n">
        <f aca="false">0.004*A21^2-1.2034*A21+95.418</f>
        <v>8.60999999999999</v>
      </c>
      <c r="D21" s="0" t="n">
        <f aca="false">SLOPE(D8:D10,A8:A10)*A21+INTERCEPT(D8:D10,A8:A10)</f>
        <v>0.771026666666667</v>
      </c>
    </row>
  </sheetData>
  <mergeCells count="7">
    <mergeCell ref="A3:A4"/>
    <mergeCell ref="B3:D3"/>
    <mergeCell ref="G3:I3"/>
    <mergeCell ref="L3:N3"/>
    <mergeCell ref="Q3:S3"/>
    <mergeCell ref="V3:X3"/>
    <mergeCell ref="AA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71484375" defaultRowHeight="13.2" zeroHeight="false" outlineLevelRow="0" outlineLevelCol="0"/>
  <sheetData>
    <row r="1" customFormat="false" ht="13.2" hidden="false" customHeight="false" outlineLevel="0" collapsed="false">
      <c r="A1" s="342" t="s">
        <v>409</v>
      </c>
    </row>
    <row r="2" customFormat="false" ht="13.2" hidden="false" customHeight="false" outlineLevel="0" collapsed="false">
      <c r="A2" s="349" t="s">
        <v>410</v>
      </c>
      <c r="B2" s="29" t="s">
        <v>95</v>
      </c>
      <c r="C2" s="29"/>
      <c r="D2" s="29"/>
      <c r="E2" s="2"/>
      <c r="F2" s="2"/>
      <c r="G2" s="29" t="s">
        <v>96</v>
      </c>
      <c r="H2" s="29"/>
      <c r="I2" s="29"/>
      <c r="J2" s="2"/>
      <c r="K2" s="2"/>
      <c r="L2" s="29" t="s">
        <v>53</v>
      </c>
      <c r="M2" s="29"/>
      <c r="N2" s="29"/>
      <c r="O2" s="2"/>
      <c r="P2" s="2"/>
      <c r="Q2" s="29" t="s">
        <v>55</v>
      </c>
      <c r="R2" s="29"/>
      <c r="S2" s="29"/>
      <c r="T2" s="2"/>
      <c r="U2" s="2"/>
      <c r="V2" s="29" t="s">
        <v>97</v>
      </c>
      <c r="W2" s="29"/>
      <c r="X2" s="29"/>
      <c r="Y2" s="2"/>
      <c r="Z2" s="2"/>
      <c r="AA2" s="29" t="s">
        <v>59</v>
      </c>
      <c r="AB2" s="29"/>
      <c r="AC2" s="29"/>
    </row>
    <row r="3" customFormat="false" ht="13.2" hidden="false" customHeight="false" outlineLevel="0" collapsed="false">
      <c r="A3" s="0" t="s">
        <v>38</v>
      </c>
      <c r="B3" s="178" t="s">
        <v>41</v>
      </c>
      <c r="C3" s="178" t="s">
        <v>42</v>
      </c>
      <c r="D3" s="178" t="s">
        <v>43</v>
      </c>
      <c r="E3" s="139" t="s">
        <v>117</v>
      </c>
      <c r="F3" s="139" t="s">
        <v>118</v>
      </c>
      <c r="G3" s="178" t="s">
        <v>41</v>
      </c>
      <c r="H3" s="178" t="s">
        <v>42</v>
      </c>
      <c r="I3" s="178" t="s">
        <v>43</v>
      </c>
      <c r="J3" s="139" t="s">
        <v>117</v>
      </c>
      <c r="K3" s="139" t="s">
        <v>118</v>
      </c>
      <c r="L3" s="178" t="s">
        <v>41</v>
      </c>
      <c r="M3" s="178" t="s">
        <v>42</v>
      </c>
      <c r="N3" s="178" t="s">
        <v>43</v>
      </c>
      <c r="O3" s="139" t="s">
        <v>117</v>
      </c>
      <c r="P3" s="139" t="s">
        <v>118</v>
      </c>
      <c r="Q3" s="178" t="s">
        <v>41</v>
      </c>
      <c r="R3" s="178" t="s">
        <v>42</v>
      </c>
      <c r="S3" s="178" t="s">
        <v>43</v>
      </c>
      <c r="T3" s="139" t="s">
        <v>117</v>
      </c>
      <c r="U3" s="139" t="s">
        <v>118</v>
      </c>
      <c r="V3" s="178" t="s">
        <v>41</v>
      </c>
      <c r="W3" s="178" t="s">
        <v>42</v>
      </c>
      <c r="X3" s="178" t="s">
        <v>43</v>
      </c>
      <c r="Y3" s="139" t="s">
        <v>117</v>
      </c>
      <c r="Z3" s="139" t="s">
        <v>118</v>
      </c>
      <c r="AA3" s="178" t="s">
        <v>41</v>
      </c>
      <c r="AB3" s="178" t="s">
        <v>42</v>
      </c>
      <c r="AC3" s="178" t="s">
        <v>43</v>
      </c>
      <c r="AD3" s="139" t="s">
        <v>117</v>
      </c>
      <c r="AE3" s="139" t="s">
        <v>118</v>
      </c>
    </row>
    <row r="4" customFormat="false" ht="13.2" hidden="false" customHeight="false" outlineLevel="0" collapsed="false">
      <c r="A4" s="0" t="n">
        <v>25</v>
      </c>
      <c r="B4" s="0" t="n">
        <v>67</v>
      </c>
      <c r="C4" s="0" t="n">
        <v>21.26</v>
      </c>
      <c r="D4" s="0" t="n">
        <v>0.2288</v>
      </c>
      <c r="E4" s="0" t="n">
        <f aca="false">C4/B4</f>
        <v>0.317313432835821</v>
      </c>
      <c r="F4" s="0" t="n">
        <f aca="false">B4*D4</f>
        <v>15.3296</v>
      </c>
      <c r="G4" s="0" t="n">
        <v>0.4288</v>
      </c>
      <c r="H4" s="0" t="n">
        <v>0.5526</v>
      </c>
      <c r="I4" s="0" t="n">
        <v>0.4359</v>
      </c>
      <c r="J4" s="0" t="n">
        <f aca="false">H4/G4</f>
        <v>1.28871268656716</v>
      </c>
      <c r="K4" s="0" t="n">
        <f aca="false">G4*I4</f>
        <v>0.18691392</v>
      </c>
      <c r="L4" s="0" t="n">
        <v>0.2174</v>
      </c>
      <c r="M4" s="0" t="n">
        <v>0.2774</v>
      </c>
      <c r="N4" s="0" t="n">
        <v>0.3707</v>
      </c>
      <c r="O4" s="0" t="n">
        <f aca="false">M4/L4</f>
        <v>1.27598896044158</v>
      </c>
      <c r="P4" s="0" t="n">
        <f aca="false">L4*N4</f>
        <v>0.08059018</v>
      </c>
      <c r="Q4" s="0" t="n">
        <v>11.15</v>
      </c>
      <c r="R4" s="0" t="n">
        <v>7.133</v>
      </c>
      <c r="S4" s="0" t="n">
        <v>0.1884</v>
      </c>
      <c r="T4" s="0" t="n">
        <f aca="false">R4/Q4</f>
        <v>0.639730941704036</v>
      </c>
      <c r="U4" s="0" t="n">
        <f aca="false">Q4*S4</f>
        <v>2.10066</v>
      </c>
      <c r="V4" s="0" t="n">
        <v>0.4812</v>
      </c>
      <c r="W4" s="0" t="n">
        <v>0.601</v>
      </c>
      <c r="X4" s="0" t="n">
        <v>0.472</v>
      </c>
      <c r="Y4" s="0" t="n">
        <f aca="false">W4/V4</f>
        <v>1.24896093100582</v>
      </c>
      <c r="Z4" s="0" t="n">
        <f aca="false">V4*X4</f>
        <v>0.2271264</v>
      </c>
      <c r="AA4" s="0" t="n">
        <v>0.02201</v>
      </c>
      <c r="AB4" s="0" t="n">
        <v>0.01011</v>
      </c>
      <c r="AC4" s="0" t="n">
        <v>0.3083</v>
      </c>
      <c r="AD4" s="0" t="n">
        <f aca="false">AB4/AA4</f>
        <v>0.459336665152204</v>
      </c>
      <c r="AE4" s="0" t="n">
        <f aca="false">AA4*AC4</f>
        <v>0.006785683</v>
      </c>
    </row>
    <row r="5" customFormat="false" ht="13.2" hidden="false" customHeight="false" outlineLevel="0" collapsed="false">
      <c r="A5" s="0" t="n">
        <v>30</v>
      </c>
      <c r="B5" s="0" t="n">
        <v>46.95</v>
      </c>
      <c r="C5" s="0" t="n">
        <v>33.73</v>
      </c>
      <c r="D5" s="0" t="n">
        <v>0.1923</v>
      </c>
      <c r="E5" s="0" t="n">
        <f aca="false">C5/B5</f>
        <v>0.718423855165069</v>
      </c>
      <c r="F5" s="0" t="n">
        <f aca="false">B5*D5</f>
        <v>9.028485</v>
      </c>
      <c r="G5" s="0" t="n">
        <v>0.2891</v>
      </c>
      <c r="H5" s="0" t="n">
        <v>0.4375</v>
      </c>
      <c r="I5" s="0" t="n">
        <v>0.2742</v>
      </c>
      <c r="J5" s="0" t="n">
        <f aca="false">H5/G5</f>
        <v>1.51331719128329</v>
      </c>
      <c r="K5" s="0" t="n">
        <f aca="false">G5*I5</f>
        <v>0.07927122</v>
      </c>
      <c r="L5" s="0" t="n">
        <v>0.1384</v>
      </c>
      <c r="M5" s="0" t="n">
        <v>0.2394</v>
      </c>
      <c r="N5" s="0" t="n">
        <v>0.2387</v>
      </c>
      <c r="O5" s="0" t="n">
        <f aca="false">M5/L5</f>
        <v>1.72976878612717</v>
      </c>
      <c r="P5" s="0" t="n">
        <f aca="false">L5*N5</f>
        <v>0.03303608</v>
      </c>
      <c r="Q5" s="0" t="n">
        <v>8.295</v>
      </c>
      <c r="R5" s="0" t="n">
        <v>8.655</v>
      </c>
      <c r="S5" s="0" t="n">
        <v>0.2527</v>
      </c>
      <c r="T5" s="0" t="n">
        <f aca="false">R5/Q5</f>
        <v>1.04339963833635</v>
      </c>
      <c r="U5" s="0" t="n">
        <f aca="false">Q5*S5</f>
        <v>2.0961465</v>
      </c>
      <c r="V5" s="0" t="n">
        <v>0.3197</v>
      </c>
      <c r="W5" s="0" t="n">
        <v>0.5001</v>
      </c>
      <c r="X5" s="0" t="n">
        <v>0.2888</v>
      </c>
      <c r="Y5" s="0" t="n">
        <f aca="false">W5/V5</f>
        <v>1.56427901157335</v>
      </c>
      <c r="Z5" s="0" t="n">
        <f aca="false">V5*X5</f>
        <v>0.09232936</v>
      </c>
      <c r="AA5" s="0" t="n">
        <v>0.01756</v>
      </c>
      <c r="AB5" s="0" t="n">
        <v>0.008786</v>
      </c>
      <c r="AC5" s="0" t="n">
        <v>0.1797</v>
      </c>
      <c r="AD5" s="0" t="n">
        <f aca="false">AB5/AA5</f>
        <v>0.500341685649203</v>
      </c>
      <c r="AE5" s="0" t="n">
        <f aca="false">AA5*AC5</f>
        <v>0.003155532</v>
      </c>
    </row>
    <row r="6" customFormat="false" ht="13.2" hidden="false" customHeight="false" outlineLevel="0" collapsed="false">
      <c r="A6" s="0" t="n">
        <v>35</v>
      </c>
      <c r="B6" s="0" t="n">
        <v>28.41</v>
      </c>
      <c r="C6" s="0" t="n">
        <v>62.94</v>
      </c>
      <c r="D6" s="0" t="n">
        <v>0.3201</v>
      </c>
      <c r="E6" s="0" t="n">
        <f aca="false">C6/B6</f>
        <v>2.21541710665259</v>
      </c>
      <c r="F6" s="0" t="n">
        <f aca="false">B6*D6</f>
        <v>9.094041</v>
      </c>
      <c r="G6" s="0" t="n">
        <v>0.1541</v>
      </c>
      <c r="H6" s="0" t="n">
        <v>0.5974</v>
      </c>
      <c r="I6" s="0" t="n">
        <v>0.309</v>
      </c>
      <c r="J6" s="0" t="n">
        <f aca="false">H6/G6</f>
        <v>3.87670343932511</v>
      </c>
      <c r="K6" s="0" t="n">
        <f aca="false">G6*I6</f>
        <v>0.0476169</v>
      </c>
      <c r="L6" s="0" t="n">
        <v>0.06557</v>
      </c>
      <c r="M6" s="0" t="n">
        <v>0.3031</v>
      </c>
      <c r="N6" s="0" t="n">
        <v>0.2593</v>
      </c>
      <c r="O6" s="0" t="n">
        <f aca="false">M6/L6</f>
        <v>4.62254079609578</v>
      </c>
      <c r="P6" s="0" t="n">
        <f aca="false">L6*N6</f>
        <v>0.017002301</v>
      </c>
      <c r="Q6" s="0" t="n">
        <v>5.402</v>
      </c>
      <c r="R6" s="0" t="n">
        <v>16.81</v>
      </c>
      <c r="S6" s="0" t="n">
        <v>0.5086</v>
      </c>
      <c r="T6" s="0" t="n">
        <f aca="false">R6/Q6</f>
        <v>3.11181044057756</v>
      </c>
      <c r="U6" s="0" t="n">
        <f aca="false">Q6*S6</f>
        <v>2.7474572</v>
      </c>
      <c r="V6" s="0" t="n">
        <v>0.1514</v>
      </c>
      <c r="W6" s="0" t="n">
        <v>0.6343</v>
      </c>
      <c r="X6" s="0" t="n">
        <v>0.2725</v>
      </c>
      <c r="Y6" s="0" t="n">
        <f aca="false">W6/V6</f>
        <v>4.18956406869221</v>
      </c>
      <c r="Z6" s="0" t="n">
        <f aca="false">V6*X6</f>
        <v>0.0412565</v>
      </c>
      <c r="AA6" s="0" t="n">
        <v>0.01186</v>
      </c>
      <c r="AB6" s="0" t="n">
        <v>0.01312</v>
      </c>
      <c r="AC6" s="0" t="n">
        <v>0.1603</v>
      </c>
      <c r="AD6" s="0" t="n">
        <f aca="false">AB6/AA6</f>
        <v>1.10623946037099</v>
      </c>
      <c r="AE6" s="0" t="n">
        <f aca="false">AA6*AC6</f>
        <v>0.001901158</v>
      </c>
    </row>
    <row r="7" customFormat="false" ht="13.2" hidden="false" customHeight="false" outlineLevel="0" collapsed="false">
      <c r="A7" s="0" t="n">
        <v>39</v>
      </c>
      <c r="B7" s="0" t="n">
        <v>15.44</v>
      </c>
      <c r="C7" s="0" t="n">
        <v>67.38</v>
      </c>
      <c r="D7" s="0" t="n">
        <v>0.2861</v>
      </c>
      <c r="E7" s="0" t="n">
        <f aca="false">C7/B7</f>
        <v>4.3639896373057</v>
      </c>
      <c r="F7" s="0" t="n">
        <f aca="false">B7*D7</f>
        <v>4.417384</v>
      </c>
      <c r="G7" s="0" t="n">
        <v>0.1292</v>
      </c>
      <c r="H7" s="0" t="n">
        <v>0.6718</v>
      </c>
      <c r="I7" s="0" t="n">
        <v>0.4475</v>
      </c>
      <c r="J7" s="0" t="n">
        <f aca="false">H7/G7</f>
        <v>5.19969040247678</v>
      </c>
      <c r="K7" s="0" t="n">
        <f aca="false">G7*I7</f>
        <v>0.057817</v>
      </c>
      <c r="L7" s="0" t="n">
        <v>0.06427</v>
      </c>
      <c r="M7" s="0" t="n">
        <v>0.3709</v>
      </c>
      <c r="N7" s="0" t="n">
        <v>0.4628</v>
      </c>
      <c r="O7" s="0" t="n">
        <f aca="false">M7/L7</f>
        <v>5.77096623619107</v>
      </c>
      <c r="P7" s="0" t="n">
        <f aca="false">L7*N7</f>
        <v>0.029744156</v>
      </c>
      <c r="Q7" s="0" t="n">
        <v>2.956</v>
      </c>
      <c r="R7" s="0" t="n">
        <v>14.31</v>
      </c>
      <c r="S7" s="0" t="n">
        <v>0.3706</v>
      </c>
      <c r="T7" s="0" t="n">
        <f aca="false">R7/Q7</f>
        <v>4.84100135317997</v>
      </c>
      <c r="U7" s="0" t="n">
        <f aca="false">Q7*S7</f>
        <v>1.0954936</v>
      </c>
      <c r="V7" s="0" t="n">
        <v>0.1443</v>
      </c>
      <c r="W7" s="0" t="n">
        <v>0.7505</v>
      </c>
      <c r="X7" s="0" t="n">
        <v>0.4603</v>
      </c>
      <c r="Y7" s="0" t="n">
        <f aca="false">W7/V7</f>
        <v>5.2009702009702</v>
      </c>
      <c r="Z7" s="0" t="n">
        <f aca="false">V7*X7</f>
        <v>0.06642129</v>
      </c>
      <c r="AA7" s="0" t="n">
        <v>0.01071</v>
      </c>
      <c r="AB7" s="0" t="n">
        <v>0.01373</v>
      </c>
      <c r="AC7" s="0" t="n">
        <v>0.2387</v>
      </c>
      <c r="AD7" s="0" t="n">
        <f aca="false">AB7/AA7</f>
        <v>1.28197945845005</v>
      </c>
      <c r="AE7" s="0" t="n">
        <f aca="false">AA7*AC7</f>
        <v>0.002556477</v>
      </c>
    </row>
    <row r="9" customFormat="false" ht="13.2" hidden="false" customHeight="false" outlineLevel="0" collapsed="false">
      <c r="A9" s="349" t="s">
        <v>411</v>
      </c>
      <c r="B9" s="342" t="s">
        <v>412</v>
      </c>
    </row>
    <row r="11" customFormat="false" ht="13.2" hidden="false" customHeight="false" outlineLevel="0" collapsed="false">
      <c r="A11" s="342" t="s">
        <v>413</v>
      </c>
    </row>
    <row r="12" customFormat="false" ht="13.2" hidden="false" customHeight="false" outlineLevel="0" collapsed="false">
      <c r="A12" s="349" t="s">
        <v>414</v>
      </c>
      <c r="B12" s="29" t="s">
        <v>95</v>
      </c>
      <c r="C12" s="29"/>
      <c r="D12" s="29"/>
      <c r="E12" s="2"/>
      <c r="F12" s="2"/>
      <c r="G12" s="29" t="s">
        <v>96</v>
      </c>
      <c r="H12" s="29"/>
      <c r="I12" s="29"/>
      <c r="J12" s="2"/>
      <c r="K12" s="2"/>
      <c r="L12" s="29" t="s">
        <v>53</v>
      </c>
      <c r="M12" s="29"/>
      <c r="N12" s="29"/>
      <c r="O12" s="2"/>
      <c r="P12" s="2"/>
      <c r="Q12" s="29" t="s">
        <v>55</v>
      </c>
      <c r="R12" s="29"/>
      <c r="S12" s="29"/>
      <c r="T12" s="2"/>
      <c r="U12" s="2"/>
      <c r="V12" s="29" t="s">
        <v>97</v>
      </c>
      <c r="W12" s="29"/>
      <c r="X12" s="29"/>
      <c r="Y12" s="2"/>
      <c r="Z12" s="2"/>
      <c r="AA12" s="29" t="s">
        <v>59</v>
      </c>
      <c r="AB12" s="29"/>
      <c r="AC12" s="29"/>
    </row>
    <row r="13" customFormat="false" ht="13.2" hidden="false" customHeight="false" outlineLevel="0" collapsed="false">
      <c r="A13" s="0" t="s">
        <v>38</v>
      </c>
      <c r="B13" s="178" t="s">
        <v>41</v>
      </c>
      <c r="C13" s="178" t="s">
        <v>42</v>
      </c>
      <c r="D13" s="178" t="s">
        <v>43</v>
      </c>
      <c r="E13" s="139" t="s">
        <v>117</v>
      </c>
      <c r="F13" s="139" t="s">
        <v>118</v>
      </c>
      <c r="G13" s="178" t="s">
        <v>41</v>
      </c>
      <c r="H13" s="178" t="s">
        <v>42</v>
      </c>
      <c r="I13" s="178" t="s">
        <v>43</v>
      </c>
      <c r="J13" s="139" t="s">
        <v>117</v>
      </c>
      <c r="K13" s="139" t="s">
        <v>118</v>
      </c>
      <c r="L13" s="178" t="s">
        <v>41</v>
      </c>
      <c r="M13" s="178" t="s">
        <v>42</v>
      </c>
      <c r="N13" s="178" t="s">
        <v>43</v>
      </c>
      <c r="O13" s="139" t="s">
        <v>117</v>
      </c>
      <c r="P13" s="139" t="s">
        <v>118</v>
      </c>
      <c r="Q13" s="178" t="s">
        <v>41</v>
      </c>
      <c r="R13" s="178" t="s">
        <v>42</v>
      </c>
      <c r="S13" s="178" t="s">
        <v>43</v>
      </c>
      <c r="T13" s="139" t="s">
        <v>117</v>
      </c>
      <c r="U13" s="139" t="s">
        <v>118</v>
      </c>
      <c r="V13" s="178" t="s">
        <v>41</v>
      </c>
      <c r="W13" s="178" t="s">
        <v>42</v>
      </c>
      <c r="X13" s="178" t="s">
        <v>43</v>
      </c>
      <c r="Y13" s="139" t="s">
        <v>117</v>
      </c>
      <c r="Z13" s="139" t="s">
        <v>118</v>
      </c>
      <c r="AA13" s="178" t="s">
        <v>41</v>
      </c>
      <c r="AB13" s="178" t="s">
        <v>42</v>
      </c>
      <c r="AC13" s="178" t="s">
        <v>43</v>
      </c>
      <c r="AD13" s="139" t="s">
        <v>117</v>
      </c>
      <c r="AE13" s="139" t="s">
        <v>118</v>
      </c>
    </row>
    <row r="14" customFormat="false" ht="13.2" hidden="false" customHeight="false" outlineLevel="0" collapsed="false">
      <c r="A14" s="0" t="n">
        <v>25</v>
      </c>
      <c r="B14" s="0" t="n">
        <v>63.06</v>
      </c>
      <c r="C14" s="0" t="n">
        <v>27.09</v>
      </c>
      <c r="D14" s="0" t="n">
        <v>0.149</v>
      </c>
      <c r="E14" s="0" t="n">
        <f aca="false">C14/B14</f>
        <v>0.429590865842055</v>
      </c>
      <c r="F14" s="0" t="n">
        <f aca="false">B14*D14</f>
        <v>9.39594</v>
      </c>
      <c r="G14" s="0" t="n">
        <v>0.4283</v>
      </c>
      <c r="H14" s="0" t="n">
        <v>0.645</v>
      </c>
      <c r="I14" s="0" t="n">
        <v>0.434</v>
      </c>
      <c r="J14" s="0" t="n">
        <f aca="false">H14/G14</f>
        <v>1.50595377072146</v>
      </c>
      <c r="K14" s="0" t="n">
        <f aca="false">G14*I14</f>
        <v>0.1858822</v>
      </c>
      <c r="L14" s="0" t="n">
        <v>0.218</v>
      </c>
      <c r="M14" s="0" t="n">
        <v>0.3308</v>
      </c>
      <c r="N14" s="0" t="n">
        <v>0.3798</v>
      </c>
      <c r="O14" s="0" t="n">
        <f aca="false">M14/L14</f>
        <v>1.51743119266055</v>
      </c>
      <c r="P14" s="0" t="n">
        <f aca="false">L14*N14</f>
        <v>0.0827964</v>
      </c>
      <c r="Q14" s="0" t="n">
        <v>11.44</v>
      </c>
      <c r="R14" s="0" t="n">
        <v>8.967</v>
      </c>
      <c r="S14" s="0" t="n">
        <v>0.2344</v>
      </c>
      <c r="T14" s="0" t="n">
        <f aca="false">R14/Q14</f>
        <v>0.783828671328671</v>
      </c>
      <c r="U14" s="0" t="n">
        <f aca="false">Q14*S14</f>
        <v>2.681536</v>
      </c>
      <c r="V14" s="0" t="n">
        <v>0.4733</v>
      </c>
      <c r="W14" s="0" t="n">
        <v>0.7575</v>
      </c>
      <c r="X14" s="0" t="n">
        <v>0.4454</v>
      </c>
      <c r="Y14" s="0" t="n">
        <f aca="false">W14/V14</f>
        <v>1.6004648214663</v>
      </c>
      <c r="Z14" s="0" t="n">
        <f aca="false">V14*X14</f>
        <v>0.21080782</v>
      </c>
      <c r="AA14" s="0" t="n">
        <v>0.0219</v>
      </c>
      <c r="AB14" s="0" t="n">
        <v>0.01372</v>
      </c>
      <c r="AC14" s="0" t="n">
        <v>0.3181</v>
      </c>
      <c r="AD14" s="0" t="n">
        <f aca="false">AB14/AA14</f>
        <v>0.62648401826484</v>
      </c>
      <c r="AE14" s="0" t="n">
        <f aca="false">AA14*AC14</f>
        <v>0.00696639</v>
      </c>
    </row>
    <row r="15" customFormat="false" ht="13.2" hidden="false" customHeight="false" outlineLevel="0" collapsed="false">
      <c r="A15" s="0" t="n">
        <v>30</v>
      </c>
      <c r="B15" s="0" t="n">
        <v>25.72</v>
      </c>
      <c r="C15" s="0" t="n">
        <v>49.12</v>
      </c>
      <c r="D15" s="0" t="n">
        <v>0.1217</v>
      </c>
      <c r="E15" s="0" t="n">
        <f aca="false">C15/B15</f>
        <v>1.90979782270607</v>
      </c>
      <c r="F15" s="0" t="n">
        <f aca="false">B15*D15</f>
        <v>3.130124</v>
      </c>
      <c r="G15" s="0" t="n">
        <v>0.2545</v>
      </c>
      <c r="H15" s="0" t="n">
        <v>0.4988</v>
      </c>
      <c r="I15" s="0" t="n">
        <v>0.3782</v>
      </c>
      <c r="J15" s="0" t="n">
        <f aca="false">H15/G15</f>
        <v>1.95992141453831</v>
      </c>
      <c r="K15" s="0" t="n">
        <f aca="false">G15*I15</f>
        <v>0.0962519</v>
      </c>
      <c r="L15" s="0" t="n">
        <v>0.1391</v>
      </c>
      <c r="M15" s="0" t="n">
        <v>0.2945</v>
      </c>
      <c r="N15" s="0" t="n">
        <v>0.4519</v>
      </c>
      <c r="O15" s="0" t="n">
        <f aca="false">M15/L15</f>
        <v>2.11718188353702</v>
      </c>
      <c r="P15" s="0" t="n">
        <f aca="false">L15*N15</f>
        <v>0.06285929</v>
      </c>
      <c r="Q15" s="0" t="n">
        <v>5.831</v>
      </c>
      <c r="R15" s="0" t="n">
        <v>9.782</v>
      </c>
      <c r="S15" s="0" t="n">
        <v>0.2166</v>
      </c>
      <c r="T15" s="0" t="n">
        <f aca="false">R15/Q15</f>
        <v>1.67758531984222</v>
      </c>
      <c r="U15" s="0" t="n">
        <f aca="false">Q15*S15</f>
        <v>1.2629946</v>
      </c>
      <c r="V15" s="0" t="n">
        <v>0.2919</v>
      </c>
      <c r="W15" s="0" t="n">
        <v>0.6105</v>
      </c>
      <c r="X15" s="0" t="n">
        <v>0.4443</v>
      </c>
      <c r="Y15" s="0" t="n">
        <f aca="false">W15/V15</f>
        <v>2.09146968139774</v>
      </c>
      <c r="Z15" s="0" t="n">
        <f aca="false">V15*X15</f>
        <v>0.12969117</v>
      </c>
      <c r="AA15" s="0" t="n">
        <v>0.01723</v>
      </c>
      <c r="AB15" s="0" t="n">
        <v>0.01196</v>
      </c>
      <c r="AC15" s="0" t="n">
        <v>0.4733</v>
      </c>
      <c r="AD15" s="0" t="n">
        <f aca="false">AB15/AA15</f>
        <v>0.69413813116657</v>
      </c>
      <c r="AE15" s="0" t="n">
        <f aca="false">AA15*AC15</f>
        <v>0.008154959</v>
      </c>
    </row>
    <row r="16" customFormat="false" ht="13.2" hidden="false" customHeight="false" outlineLevel="0" collapsed="false">
      <c r="A16" s="0" t="n">
        <v>35</v>
      </c>
      <c r="B16" s="0" t="n">
        <v>22.2</v>
      </c>
      <c r="C16" s="0" t="n">
        <v>42.34</v>
      </c>
      <c r="D16" s="0" t="n">
        <v>0.2152</v>
      </c>
      <c r="E16" s="0" t="n">
        <f aca="false">C16/B16</f>
        <v>1.90720720720721</v>
      </c>
      <c r="F16" s="0" t="n">
        <f aca="false">B16*D16</f>
        <v>4.77744</v>
      </c>
      <c r="G16" s="0" t="n">
        <v>0.1826</v>
      </c>
      <c r="H16" s="0" t="n">
        <v>0.4967</v>
      </c>
      <c r="I16" s="0" t="n">
        <v>0.4828</v>
      </c>
      <c r="J16" s="0" t="n">
        <f aca="false">H16/G16</f>
        <v>2.72015334063527</v>
      </c>
      <c r="K16" s="0" t="n">
        <f aca="false">G16*I16</f>
        <v>0.08815928</v>
      </c>
      <c r="L16" s="0" t="n">
        <v>0.092</v>
      </c>
      <c r="M16" s="0" t="n">
        <v>0.2694</v>
      </c>
      <c r="N16" s="0" t="n">
        <v>0.4893</v>
      </c>
      <c r="O16" s="0" t="n">
        <f aca="false">M16/L16</f>
        <v>2.92826086956522</v>
      </c>
      <c r="P16" s="0" t="n">
        <f aca="false">L16*N16</f>
        <v>0.0450156</v>
      </c>
      <c r="Q16" s="0" t="n">
        <v>4.344</v>
      </c>
      <c r="R16" s="0" t="n">
        <v>9.436</v>
      </c>
      <c r="S16" s="0" t="n">
        <v>0.331</v>
      </c>
      <c r="T16" s="0" t="n">
        <f aca="false">R16/Q16</f>
        <v>2.17219152854512</v>
      </c>
      <c r="U16" s="0" t="n">
        <f aca="false">Q16*S16</f>
        <v>1.437864</v>
      </c>
      <c r="V16" s="0" t="n">
        <v>0.1975</v>
      </c>
      <c r="W16" s="0" t="n">
        <v>0.5284</v>
      </c>
      <c r="X16" s="0" t="n">
        <v>0.4656</v>
      </c>
      <c r="Y16" s="0" t="n">
        <f aca="false">W16/V16</f>
        <v>2.67544303797468</v>
      </c>
      <c r="Z16" s="0" t="n">
        <f aca="false">V16*X16</f>
        <v>0.091956</v>
      </c>
      <c r="AA16" s="0" t="n">
        <v>0.01417</v>
      </c>
      <c r="AB16" s="0" t="n">
        <v>0.009502</v>
      </c>
      <c r="AC16" s="0" t="n">
        <v>0.463</v>
      </c>
      <c r="AD16" s="0" t="n">
        <f aca="false">AB16/AA16</f>
        <v>0.670571630204658</v>
      </c>
      <c r="AE16" s="0" t="n">
        <f aca="false">AA16*AC16</f>
        <v>0.00656071</v>
      </c>
    </row>
    <row r="17" customFormat="false" ht="13.2" hidden="false" customHeight="false" outlineLevel="0" collapsed="false">
      <c r="A17" s="0" t="n">
        <v>40</v>
      </c>
      <c r="B17" s="0" t="n">
        <v>17.92</v>
      </c>
      <c r="C17" s="0" t="n">
        <v>41.58</v>
      </c>
      <c r="D17" s="0" t="n">
        <v>0.3201</v>
      </c>
      <c r="E17" s="0" t="n">
        <f aca="false">C17/B17</f>
        <v>2.3203125</v>
      </c>
      <c r="F17" s="0" t="n">
        <f aca="false">B17*D17</f>
        <v>5.736192</v>
      </c>
      <c r="G17" s="0" t="n">
        <v>0.1379</v>
      </c>
      <c r="H17" s="0" t="n">
        <v>0.462</v>
      </c>
      <c r="I17" s="0" t="n">
        <v>0.5482</v>
      </c>
      <c r="J17" s="0" t="n">
        <f aca="false">H17/G17</f>
        <v>3.3502538071066</v>
      </c>
      <c r="K17" s="0" t="n">
        <f aca="false">G17*I17</f>
        <v>0.07559678</v>
      </c>
      <c r="L17" s="0" t="n">
        <v>0.06727</v>
      </c>
      <c r="M17" s="0" t="n">
        <v>0.251</v>
      </c>
      <c r="N17" s="0" t="n">
        <v>0.5468</v>
      </c>
      <c r="O17" s="0" t="n">
        <f aca="false">M17/L17</f>
        <v>3.73123234725732</v>
      </c>
      <c r="P17" s="0" t="n">
        <f aca="false">L17*N17</f>
        <v>0.036783236</v>
      </c>
      <c r="Q17" s="0" t="n">
        <v>2.957</v>
      </c>
      <c r="R17" s="0" t="n">
        <v>8.541</v>
      </c>
      <c r="S17" s="0" t="n">
        <v>0.3569</v>
      </c>
      <c r="T17" s="0" t="n">
        <f aca="false">R17/Q17</f>
        <v>2.88840040581671</v>
      </c>
      <c r="U17" s="0" t="n">
        <f aca="false">Q17*S17</f>
        <v>1.0553533</v>
      </c>
      <c r="V17" s="0" t="n">
        <v>0.1492</v>
      </c>
      <c r="W17" s="0" t="n">
        <v>0.4492</v>
      </c>
      <c r="X17" s="0" t="n">
        <v>0.5028</v>
      </c>
      <c r="Y17" s="0" t="n">
        <f aca="false">W17/V17</f>
        <v>3.01072386058981</v>
      </c>
      <c r="Z17" s="0" t="n">
        <f aca="false">V17*X17</f>
        <v>0.07501776</v>
      </c>
      <c r="AA17" s="0" t="n">
        <v>0.01244</v>
      </c>
      <c r="AB17" s="0" t="n">
        <v>0.00844</v>
      </c>
      <c r="AC17" s="0" t="n">
        <v>0.5356</v>
      </c>
      <c r="AD17" s="0" t="n">
        <f aca="false">AB17/AA17</f>
        <v>0.678456591639871</v>
      </c>
      <c r="AE17" s="0" t="n">
        <f aca="false">AA17*AC17</f>
        <v>0.006662864</v>
      </c>
    </row>
    <row r="18" customFormat="false" ht="13.2" hidden="false" customHeight="false" outlineLevel="0" collapsed="false">
      <c r="A18" s="0" t="n">
        <v>45</v>
      </c>
      <c r="B18" s="0" t="n">
        <v>12.97</v>
      </c>
      <c r="C18" s="0" t="n">
        <v>39.85</v>
      </c>
      <c r="D18" s="0" t="n">
        <v>0.3514</v>
      </c>
      <c r="E18" s="0" t="n">
        <f aca="false">C18/B18</f>
        <v>3.07247494217425</v>
      </c>
      <c r="F18" s="0" t="n">
        <f aca="false">B18*D18</f>
        <v>4.557658</v>
      </c>
      <c r="G18" s="0" t="n">
        <v>0.1093</v>
      </c>
      <c r="H18" s="0" t="n">
        <v>0.4065</v>
      </c>
      <c r="I18" s="0" t="n">
        <v>0.5917</v>
      </c>
      <c r="J18" s="0" t="n">
        <f aca="false">H18/G18</f>
        <v>3.71912168344007</v>
      </c>
      <c r="K18" s="0" t="n">
        <f aca="false">G18*I18</f>
        <v>0.06467281</v>
      </c>
      <c r="L18" s="0" t="n">
        <v>0.05115</v>
      </c>
      <c r="M18" s="0" t="n">
        <v>0.221</v>
      </c>
      <c r="N18" s="0" t="n">
        <v>0.583</v>
      </c>
      <c r="O18" s="0" t="n">
        <f aca="false">M18/L18</f>
        <v>4.32062561094819</v>
      </c>
      <c r="P18" s="0" t="n">
        <f aca="false">L18*N18</f>
        <v>0.02982045</v>
      </c>
      <c r="Q18" s="0" t="n">
        <v>2.297</v>
      </c>
      <c r="R18" s="0" t="n">
        <v>8.032</v>
      </c>
      <c r="S18" s="0" t="n">
        <v>0.4421</v>
      </c>
      <c r="T18" s="0" t="n">
        <f aca="false">R18/Q18</f>
        <v>3.49673487157161</v>
      </c>
      <c r="U18" s="0" t="n">
        <f aca="false">Q18*S18</f>
        <v>1.0155037</v>
      </c>
      <c r="V18" s="0" t="n">
        <v>0.1173</v>
      </c>
      <c r="W18" s="0" t="n">
        <v>0.4391</v>
      </c>
      <c r="X18" s="0" t="n">
        <v>0.5791</v>
      </c>
      <c r="Y18" s="0" t="n">
        <f aca="false">W18/V18</f>
        <v>3.74339300937766</v>
      </c>
      <c r="Z18" s="0" t="n">
        <f aca="false">V18*X18</f>
        <v>0.06792843</v>
      </c>
      <c r="AA18" s="0" t="n">
        <v>0.01142</v>
      </c>
      <c r="AB18" s="0" t="n">
        <v>0.008285</v>
      </c>
      <c r="AC18" s="0" t="n">
        <v>0.7651</v>
      </c>
      <c r="AD18" s="0" t="n">
        <f aca="false">AB18/AA18</f>
        <v>0.725481611208406</v>
      </c>
      <c r="AE18" s="0" t="n">
        <f aca="false">AA18*AC18</f>
        <v>0.008737442</v>
      </c>
    </row>
    <row r="19" customFormat="false" ht="13.2" hidden="false" customHeight="false" outlineLevel="0" collapsed="false">
      <c r="A19" s="0" t="n">
        <v>49</v>
      </c>
      <c r="B19" s="0" t="n">
        <v>11.5</v>
      </c>
      <c r="C19" s="0" t="n">
        <v>37.07</v>
      </c>
      <c r="D19" s="0" t="n">
        <v>0.4101</v>
      </c>
      <c r="E19" s="0" t="n">
        <f aca="false">C19/B19</f>
        <v>3.22347826086957</v>
      </c>
      <c r="F19" s="0" t="n">
        <f aca="false">B19*D19</f>
        <v>4.71615</v>
      </c>
      <c r="G19" s="0" t="n">
        <v>0.09267</v>
      </c>
      <c r="H19" s="0" t="n">
        <v>0.4031</v>
      </c>
      <c r="I19" s="0" t="n">
        <v>0.6295</v>
      </c>
      <c r="J19" s="0" t="n">
        <f aca="false">H19/G19</f>
        <v>4.34984353080824</v>
      </c>
      <c r="K19" s="0" t="n">
        <f aca="false">G19*I19</f>
        <v>0.058335765</v>
      </c>
      <c r="L19" s="0" t="n">
        <v>0.04267</v>
      </c>
      <c r="M19" s="0" t="n">
        <v>0.2252</v>
      </c>
      <c r="N19" s="0" t="n">
        <v>0.6361</v>
      </c>
      <c r="O19" s="0" t="n">
        <f aca="false">M19/L19</f>
        <v>5.27771267869698</v>
      </c>
      <c r="P19" s="0" t="n">
        <f aca="false">L19*N19</f>
        <v>0.027142387</v>
      </c>
      <c r="Q19" s="0" t="n">
        <v>1.752</v>
      </c>
      <c r="R19" s="0" t="n">
        <v>8.332</v>
      </c>
      <c r="S19" s="0" t="n">
        <v>0.4704</v>
      </c>
      <c r="T19" s="0" t="n">
        <f aca="false">R19/Q19</f>
        <v>4.75570776255708</v>
      </c>
      <c r="U19" s="0" t="n">
        <f aca="false">Q19*S19</f>
        <v>0.8241408</v>
      </c>
      <c r="V19" s="0" t="n">
        <v>0.1007</v>
      </c>
      <c r="W19" s="0" t="n">
        <v>0.4478</v>
      </c>
      <c r="X19" s="0" t="n">
        <v>0.643</v>
      </c>
      <c r="Y19" s="0" t="n">
        <f aca="false">W19/V19</f>
        <v>4.44687189672294</v>
      </c>
      <c r="Z19" s="0" t="n">
        <f aca="false">V19*X19</f>
        <v>0.0647501</v>
      </c>
      <c r="AA19" s="0" t="n">
        <v>0.01073</v>
      </c>
      <c r="AB19" s="0" t="n">
        <v>0.008158</v>
      </c>
      <c r="AC19" s="0" t="n">
        <v>0.8549</v>
      </c>
      <c r="AD19" s="0" t="n">
        <f aca="false">AB19/AA19</f>
        <v>0.760298229263747</v>
      </c>
      <c r="AE19" s="0" t="n">
        <f aca="false">AA19*AC19</f>
        <v>0.009173077</v>
      </c>
    </row>
    <row r="21" customFormat="false" ht="13.2" hidden="false" customHeight="false" outlineLevel="0" collapsed="false">
      <c r="A21" s="349" t="s">
        <v>411</v>
      </c>
      <c r="B21" s="342" t="s">
        <v>415</v>
      </c>
    </row>
    <row r="23" customFormat="false" ht="13.2" hidden="false" customHeight="false" outlineLevel="0" collapsed="false">
      <c r="A23" s="342" t="s">
        <v>416</v>
      </c>
    </row>
    <row r="24" customFormat="false" ht="13.2" hidden="false" customHeight="false" outlineLevel="0" collapsed="false">
      <c r="A24" s="349" t="s">
        <v>417</v>
      </c>
      <c r="B24" s="29" t="s">
        <v>95</v>
      </c>
      <c r="C24" s="29"/>
      <c r="D24" s="29"/>
      <c r="E24" s="2"/>
      <c r="F24" s="2"/>
      <c r="G24" s="29" t="s">
        <v>96</v>
      </c>
      <c r="H24" s="29"/>
      <c r="I24" s="29"/>
      <c r="J24" s="2"/>
      <c r="K24" s="2"/>
      <c r="L24" s="29" t="s">
        <v>53</v>
      </c>
      <c r="M24" s="29"/>
      <c r="N24" s="29"/>
      <c r="O24" s="2"/>
      <c r="P24" s="2"/>
      <c r="Q24" s="29" t="s">
        <v>55</v>
      </c>
      <c r="R24" s="29"/>
      <c r="S24" s="29"/>
      <c r="T24" s="2"/>
      <c r="U24" s="2"/>
      <c r="V24" s="29" t="s">
        <v>97</v>
      </c>
      <c r="W24" s="29"/>
      <c r="X24" s="29"/>
      <c r="Y24" s="2"/>
      <c r="Z24" s="2"/>
      <c r="AA24" s="29" t="s">
        <v>59</v>
      </c>
      <c r="AB24" s="29"/>
      <c r="AC24" s="29"/>
    </row>
    <row r="25" customFormat="false" ht="13.2" hidden="false" customHeight="false" outlineLevel="0" collapsed="false">
      <c r="A25" s="0" t="s">
        <v>38</v>
      </c>
      <c r="B25" s="178" t="s">
        <v>41</v>
      </c>
      <c r="C25" s="178" t="s">
        <v>42</v>
      </c>
      <c r="D25" s="178" t="s">
        <v>43</v>
      </c>
      <c r="E25" s="139" t="s">
        <v>117</v>
      </c>
      <c r="F25" s="139" t="s">
        <v>118</v>
      </c>
      <c r="G25" s="178" t="s">
        <v>41</v>
      </c>
      <c r="H25" s="178" t="s">
        <v>42</v>
      </c>
      <c r="I25" s="178" t="s">
        <v>43</v>
      </c>
      <c r="J25" s="139" t="s">
        <v>117</v>
      </c>
      <c r="K25" s="139" t="s">
        <v>118</v>
      </c>
      <c r="L25" s="178" t="s">
        <v>41</v>
      </c>
      <c r="M25" s="178" t="s">
        <v>42</v>
      </c>
      <c r="N25" s="178" t="s">
        <v>43</v>
      </c>
      <c r="O25" s="139" t="s">
        <v>117</v>
      </c>
      <c r="P25" s="139" t="s">
        <v>118</v>
      </c>
      <c r="Q25" s="178" t="s">
        <v>41</v>
      </c>
      <c r="R25" s="178" t="s">
        <v>42</v>
      </c>
      <c r="S25" s="178" t="s">
        <v>43</v>
      </c>
      <c r="T25" s="139" t="s">
        <v>117</v>
      </c>
      <c r="U25" s="139" t="s">
        <v>118</v>
      </c>
      <c r="V25" s="178" t="s">
        <v>41</v>
      </c>
      <c r="W25" s="178" t="s">
        <v>42</v>
      </c>
      <c r="X25" s="178" t="s">
        <v>43</v>
      </c>
      <c r="Y25" s="139" t="s">
        <v>117</v>
      </c>
      <c r="Z25" s="139" t="s">
        <v>118</v>
      </c>
      <c r="AA25" s="178" t="s">
        <v>41</v>
      </c>
      <c r="AB25" s="178" t="s">
        <v>42</v>
      </c>
      <c r="AC25" s="178" t="s">
        <v>43</v>
      </c>
      <c r="AD25" s="139" t="s">
        <v>117</v>
      </c>
      <c r="AE25" s="139" t="s">
        <v>118</v>
      </c>
    </row>
    <row r="26" customFormat="false" ht="13.2" hidden="false" customHeight="false" outlineLevel="0" collapsed="false">
      <c r="A26" s="0" t="n">
        <v>25</v>
      </c>
      <c r="B26" s="0" t="n">
        <v>67.94</v>
      </c>
      <c r="C26" s="0" t="n">
        <v>20.96</v>
      </c>
      <c r="D26" s="0" t="n">
        <v>0.08503</v>
      </c>
      <c r="E26" s="0" t="n">
        <f aca="false">C26/B26</f>
        <v>0.308507506623491</v>
      </c>
      <c r="F26" s="0" t="n">
        <f aca="false">B26*D26</f>
        <v>5.7769382</v>
      </c>
      <c r="G26" s="0" t="n">
        <v>0.4906</v>
      </c>
      <c r="H26" s="0" t="n">
        <v>0.4668</v>
      </c>
      <c r="I26" s="0" t="n">
        <v>0.3878</v>
      </c>
      <c r="J26" s="0" t="n">
        <f aca="false">H26/G26</f>
        <v>0.951487973909499</v>
      </c>
      <c r="K26" s="0" t="n">
        <f aca="false">G26*I26</f>
        <v>0.19025468</v>
      </c>
      <c r="L26" s="0" t="n">
        <v>0.2432</v>
      </c>
      <c r="M26" s="0" t="n">
        <v>0.2539</v>
      </c>
      <c r="N26" s="0" t="n">
        <v>0.3153</v>
      </c>
      <c r="O26" s="0" t="n">
        <f aca="false">M26/L26</f>
        <v>1.04399671052632</v>
      </c>
      <c r="P26" s="0" t="n">
        <f aca="false">L26*N26</f>
        <v>0.07668096</v>
      </c>
      <c r="Q26" s="0" t="n">
        <v>13.71</v>
      </c>
      <c r="R26" s="0" t="n">
        <v>4.772</v>
      </c>
      <c r="S26" s="0" t="n">
        <v>0.1771</v>
      </c>
      <c r="T26" s="0" t="n">
        <f aca="false">R26/Q26</f>
        <v>0.348067104303428</v>
      </c>
      <c r="U26" s="0" t="n">
        <f aca="false">Q26*S26</f>
        <v>2.428041</v>
      </c>
      <c r="V26" s="0" t="n">
        <v>0.5308</v>
      </c>
      <c r="W26" s="0" t="n">
        <v>0.5201</v>
      </c>
      <c r="X26" s="0" t="n">
        <v>0.3626</v>
      </c>
      <c r="Y26" s="0" t="n">
        <f aca="false">W26/V26</f>
        <v>0.979841748304446</v>
      </c>
      <c r="Z26" s="0" t="n">
        <f aca="false">V26*X26</f>
        <v>0.19246808</v>
      </c>
      <c r="AA26" s="0" t="n">
        <v>0.02429</v>
      </c>
      <c r="AB26" s="0" t="n">
        <v>0.009839</v>
      </c>
      <c r="AC26" s="0" t="n">
        <v>0.3314</v>
      </c>
      <c r="AD26" s="0" t="n">
        <f aca="false">AB26/AA26</f>
        <v>0.405063812268423</v>
      </c>
      <c r="AE26" s="0" t="n">
        <f aca="false">AA26*AC26</f>
        <v>0.008049706</v>
      </c>
    </row>
    <row r="27" customFormat="false" ht="13.2" hidden="false" customHeight="false" outlineLevel="0" collapsed="false">
      <c r="A27" s="0" t="n">
        <v>30</v>
      </c>
      <c r="B27" s="0" t="n">
        <v>49.72</v>
      </c>
      <c r="C27" s="0" t="n">
        <v>45.85</v>
      </c>
      <c r="D27" s="0" t="n">
        <v>0.2231</v>
      </c>
      <c r="E27" s="0" t="n">
        <f aca="false">C27/B27</f>
        <v>0.922164119066774</v>
      </c>
      <c r="F27" s="0" t="n">
        <f aca="false">B27*D27</f>
        <v>11.092532</v>
      </c>
      <c r="G27" s="0" t="n">
        <v>0.2721</v>
      </c>
      <c r="H27" s="0" t="n">
        <v>0.6599</v>
      </c>
      <c r="I27" s="0" t="n">
        <v>0.2827</v>
      </c>
      <c r="J27" s="0" t="n">
        <f aca="false">H27/G27</f>
        <v>2.42521131936788</v>
      </c>
      <c r="K27" s="0" t="n">
        <f aca="false">G27*I27</f>
        <v>0.07692267</v>
      </c>
      <c r="L27" s="0" t="n">
        <v>0.1538</v>
      </c>
      <c r="M27" s="0" t="n">
        <v>0.3565</v>
      </c>
      <c r="N27" s="0" t="n">
        <v>0.3216</v>
      </c>
      <c r="O27" s="0" t="n">
        <f aca="false">M27/L27</f>
        <v>2.31794538361508</v>
      </c>
      <c r="P27" s="0" t="n">
        <f aca="false">L27*N27</f>
        <v>0.04946208</v>
      </c>
      <c r="Q27" s="0" t="n">
        <v>7.87</v>
      </c>
      <c r="R27" s="0" t="n">
        <v>12.8</v>
      </c>
      <c r="S27" s="0" t="n">
        <v>0.2533</v>
      </c>
      <c r="T27" s="0" t="n">
        <f aca="false">R27/Q27</f>
        <v>1.62642947903431</v>
      </c>
      <c r="U27" s="0" t="n">
        <f aca="false">Q27*S27</f>
        <v>1.993471</v>
      </c>
      <c r="V27" s="0" t="n">
        <v>0.3101</v>
      </c>
      <c r="W27" s="0" t="n">
        <v>0.7473</v>
      </c>
      <c r="X27" s="0" t="n">
        <v>0.3029</v>
      </c>
      <c r="Y27" s="0" t="n">
        <f aca="false">W27/V27</f>
        <v>2.40986778458562</v>
      </c>
      <c r="Z27" s="0" t="n">
        <f aca="false">V27*X27</f>
        <v>0.09392929</v>
      </c>
      <c r="AA27" s="0" t="n">
        <v>0.01855</v>
      </c>
      <c r="AB27" s="0" t="n">
        <v>0.01307</v>
      </c>
      <c r="AC27" s="0" t="n">
        <v>0.2267</v>
      </c>
      <c r="AD27" s="0" t="n">
        <f aca="false">AB27/AA27</f>
        <v>0.704582210242588</v>
      </c>
      <c r="AE27" s="0" t="n">
        <f aca="false">AA27*AC27</f>
        <v>0.004205285</v>
      </c>
    </row>
    <row r="28" customFormat="false" ht="13.2" hidden="false" customHeight="false" outlineLevel="0" collapsed="false">
      <c r="A28" s="0" t="n">
        <v>35</v>
      </c>
      <c r="B28" s="0" t="n">
        <v>25.61</v>
      </c>
      <c r="C28" s="0" t="n">
        <v>82.42</v>
      </c>
      <c r="D28" s="0" t="n">
        <v>0.3307</v>
      </c>
      <c r="E28" s="0" t="n">
        <f aca="false">C28/B28</f>
        <v>3.21827411167513</v>
      </c>
      <c r="F28" s="0" t="n">
        <f aca="false">B28*D28</f>
        <v>8.469227</v>
      </c>
      <c r="G28" s="0" t="n">
        <v>0.158</v>
      </c>
      <c r="H28" s="0" t="n">
        <v>0.8254</v>
      </c>
      <c r="I28" s="0" t="n">
        <v>0.3908</v>
      </c>
      <c r="J28" s="0" t="n">
        <f aca="false">H28/G28</f>
        <v>5.22405063291139</v>
      </c>
      <c r="K28" s="0" t="n">
        <f aca="false">G28*I28</f>
        <v>0.0617464</v>
      </c>
      <c r="L28" s="0" t="n">
        <v>0.07447</v>
      </c>
      <c r="M28" s="0" t="n">
        <v>0.4409</v>
      </c>
      <c r="N28" s="0" t="n">
        <v>0.3739</v>
      </c>
      <c r="O28" s="0" t="n">
        <f aca="false">M28/L28</f>
        <v>5.92050490130254</v>
      </c>
      <c r="P28" s="0" t="n">
        <f aca="false">L28*N28</f>
        <v>0.027844333</v>
      </c>
      <c r="Q28" s="0" t="n">
        <v>3.199</v>
      </c>
      <c r="R28" s="0" t="n">
        <v>17.11</v>
      </c>
      <c r="S28" s="0" t="n">
        <v>0.2814</v>
      </c>
      <c r="T28" s="0" t="n">
        <f aca="false">R28/Q28</f>
        <v>5.34854642075649</v>
      </c>
      <c r="U28" s="0" t="n">
        <f aca="false">Q28*S28</f>
        <v>0.9001986</v>
      </c>
      <c r="V28" s="0" t="n">
        <v>0.1702</v>
      </c>
      <c r="W28" s="0" t="n">
        <v>0.9212</v>
      </c>
      <c r="X28" s="0" t="n">
        <v>0.3908</v>
      </c>
      <c r="Y28" s="0" t="n">
        <f aca="false">W28/V28</f>
        <v>5.41245593419507</v>
      </c>
      <c r="Z28" s="0" t="n">
        <f aca="false">V28*X28</f>
        <v>0.06651416</v>
      </c>
      <c r="AA28" s="0" t="n">
        <v>0.01378</v>
      </c>
      <c r="AB28" s="0" t="n">
        <v>0.02024</v>
      </c>
      <c r="AC28" s="0" t="n">
        <v>0.3624</v>
      </c>
      <c r="AD28" s="0" t="n">
        <f aca="false">AB28/AA28</f>
        <v>1.46879535558781</v>
      </c>
      <c r="AE28" s="0" t="n">
        <f aca="false">AA28*AC28</f>
        <v>0.004993872</v>
      </c>
    </row>
    <row r="29" customFormat="false" ht="13.2" hidden="false" customHeight="false" outlineLevel="0" collapsed="false">
      <c r="A29" s="0" t="n">
        <v>39</v>
      </c>
      <c r="B29" s="0" t="n">
        <v>17.96</v>
      </c>
      <c r="C29" s="0" t="n">
        <v>81.68</v>
      </c>
      <c r="D29" s="0" t="n">
        <v>0.3821</v>
      </c>
      <c r="E29" s="0" t="n">
        <f aca="false">C29/B29</f>
        <v>4.54788418708241</v>
      </c>
      <c r="F29" s="0" t="n">
        <f aca="false">B29*D29</f>
        <v>6.862516</v>
      </c>
      <c r="G29" s="0" t="n">
        <v>0.1376</v>
      </c>
      <c r="H29" s="0" t="n">
        <v>0.9611</v>
      </c>
      <c r="I29" s="0" t="n">
        <v>0.5957</v>
      </c>
      <c r="J29" s="0" t="n">
        <f aca="false">H29/G29</f>
        <v>6.98473837209302</v>
      </c>
      <c r="K29" s="0" t="n">
        <f aca="false">G29*I29</f>
        <v>0.08196832</v>
      </c>
      <c r="L29" s="0" t="n">
        <v>0.06656</v>
      </c>
      <c r="M29" s="0" t="n">
        <v>0.508</v>
      </c>
      <c r="N29" s="0" t="n">
        <v>0.5791</v>
      </c>
      <c r="O29" s="0" t="n">
        <f aca="false">M29/L29</f>
        <v>7.63221153846154</v>
      </c>
      <c r="P29" s="0" t="n">
        <f aca="false">L29*N29</f>
        <v>0.038544896</v>
      </c>
      <c r="Q29" s="0" t="n">
        <v>3.134</v>
      </c>
      <c r="R29" s="0" t="n">
        <v>18.14</v>
      </c>
      <c r="S29" s="0" t="n">
        <v>0.4678</v>
      </c>
      <c r="T29" s="0" t="n">
        <f aca="false">R29/Q29</f>
        <v>5.78813018506701</v>
      </c>
      <c r="U29" s="0" t="n">
        <f aca="false">Q29*S29</f>
        <v>1.4660852</v>
      </c>
      <c r="V29" s="0" t="n">
        <v>0.1485</v>
      </c>
      <c r="W29" s="0" t="n">
        <v>1.079</v>
      </c>
      <c r="X29" s="0" t="n">
        <v>0.5887</v>
      </c>
      <c r="Y29" s="0" t="n">
        <f aca="false">W29/V29</f>
        <v>7.26599326599327</v>
      </c>
      <c r="Z29" s="0" t="n">
        <f aca="false">V29*X29</f>
        <v>0.08742195</v>
      </c>
      <c r="AA29" s="0" t="n">
        <v>0.01154</v>
      </c>
      <c r="AB29" s="0" t="n">
        <v>0.01996</v>
      </c>
      <c r="AC29" s="0" t="n">
        <v>0.4113</v>
      </c>
      <c r="AD29" s="0" t="n">
        <f aca="false">AB29/AA29</f>
        <v>1.72963604852686</v>
      </c>
      <c r="AE29" s="0" t="n">
        <f aca="false">AA29*AC29</f>
        <v>0.004746402</v>
      </c>
    </row>
    <row r="31" customFormat="false" ht="13.2" hidden="false" customHeight="false" outlineLevel="0" collapsed="false">
      <c r="A31" s="349" t="s">
        <v>411</v>
      </c>
      <c r="B31" s="342" t="s">
        <v>415</v>
      </c>
    </row>
    <row r="33" customFormat="false" ht="13.2" hidden="false" customHeight="false" outlineLevel="0" collapsed="false">
      <c r="A33" s="342" t="s">
        <v>418</v>
      </c>
    </row>
    <row r="34" customFormat="false" ht="13.2" hidden="false" customHeight="false" outlineLevel="0" collapsed="false">
      <c r="C34" s="29" t="s">
        <v>95</v>
      </c>
      <c r="D34" s="29"/>
      <c r="E34" s="29"/>
      <c r="F34" s="29"/>
      <c r="G34" s="29"/>
      <c r="H34" s="29" t="s">
        <v>96</v>
      </c>
      <c r="I34" s="29"/>
      <c r="J34" s="29"/>
      <c r="K34" s="29"/>
      <c r="L34" s="29"/>
      <c r="M34" s="29" t="s">
        <v>53</v>
      </c>
      <c r="N34" s="29"/>
      <c r="O34" s="29"/>
      <c r="P34" s="29"/>
      <c r="Q34" s="29"/>
      <c r="R34" s="29" t="s">
        <v>55</v>
      </c>
      <c r="S34" s="29"/>
      <c r="T34" s="29"/>
      <c r="U34" s="29"/>
      <c r="V34" s="29"/>
      <c r="W34" s="29" t="s">
        <v>97</v>
      </c>
      <c r="X34" s="29"/>
      <c r="Y34" s="29"/>
      <c r="Z34" s="29"/>
      <c r="AA34" s="29"/>
      <c r="AB34" s="29" t="s">
        <v>59</v>
      </c>
      <c r="AC34" s="29"/>
      <c r="AD34" s="29"/>
    </row>
    <row r="35" customFormat="false" ht="13.2" hidden="false" customHeight="false" outlineLevel="0" collapsed="false">
      <c r="C35" s="178" t="s">
        <v>41</v>
      </c>
      <c r="D35" s="178" t="s">
        <v>42</v>
      </c>
      <c r="E35" s="178" t="s">
        <v>43</v>
      </c>
      <c r="F35" s="139" t="s">
        <v>117</v>
      </c>
      <c r="G35" s="139" t="s">
        <v>118</v>
      </c>
      <c r="H35" s="178" t="s">
        <v>41</v>
      </c>
      <c r="I35" s="178" t="s">
        <v>42</v>
      </c>
      <c r="J35" s="178" t="s">
        <v>43</v>
      </c>
      <c r="K35" s="139" t="s">
        <v>117</v>
      </c>
      <c r="L35" s="139" t="s">
        <v>118</v>
      </c>
      <c r="M35" s="178" t="s">
        <v>41</v>
      </c>
      <c r="N35" s="178" t="s">
        <v>42</v>
      </c>
      <c r="O35" s="178" t="s">
        <v>43</v>
      </c>
      <c r="P35" s="139" t="s">
        <v>117</v>
      </c>
      <c r="Q35" s="139" t="s">
        <v>118</v>
      </c>
      <c r="R35" s="178" t="s">
        <v>41</v>
      </c>
      <c r="S35" s="178" t="s">
        <v>42</v>
      </c>
      <c r="T35" s="178" t="s">
        <v>43</v>
      </c>
      <c r="U35" s="139" t="s">
        <v>117</v>
      </c>
      <c r="V35" s="139" t="s">
        <v>118</v>
      </c>
      <c r="W35" s="178" t="s">
        <v>41</v>
      </c>
      <c r="X35" s="178" t="s">
        <v>42</v>
      </c>
      <c r="Y35" s="178" t="s">
        <v>43</v>
      </c>
      <c r="Z35" s="139" t="s">
        <v>117</v>
      </c>
      <c r="AA35" s="139" t="s">
        <v>118</v>
      </c>
      <c r="AB35" s="178" t="s">
        <v>41</v>
      </c>
      <c r="AC35" s="178" t="s">
        <v>42</v>
      </c>
      <c r="AD35" s="178" t="s">
        <v>43</v>
      </c>
      <c r="AE35" s="139" t="s">
        <v>117</v>
      </c>
      <c r="AF35" s="139" t="s">
        <v>118</v>
      </c>
    </row>
    <row r="36" customFormat="false" ht="13.2" hidden="false" customHeight="false" outlineLevel="0" collapsed="false">
      <c r="A36" s="97" t="s">
        <v>419</v>
      </c>
      <c r="C36" s="0" t="n">
        <v>13.33</v>
      </c>
      <c r="D36" s="0" t="n">
        <v>65.26</v>
      </c>
      <c r="E36" s="0" t="n">
        <v>0.2119</v>
      </c>
      <c r="F36" s="0" t="n">
        <f aca="false">D36/C36</f>
        <v>4.89572393098275</v>
      </c>
      <c r="G36" s="0" t="n">
        <f aca="false">C36*E36</f>
        <v>2.824627</v>
      </c>
      <c r="H36" s="0" t="n">
        <v>0.1338</v>
      </c>
      <c r="I36" s="0" t="n">
        <v>0.6346</v>
      </c>
      <c r="J36" s="0" t="n">
        <v>0.3777</v>
      </c>
      <c r="K36" s="0" t="n">
        <f aca="false">I36/H36</f>
        <v>4.74289985052317</v>
      </c>
      <c r="L36" s="0" t="n">
        <f aca="false">H36*J36</f>
        <v>0.05053626</v>
      </c>
      <c r="M36" s="0" t="n">
        <v>0.06343</v>
      </c>
      <c r="N36" s="0" t="n">
        <v>0.3415</v>
      </c>
      <c r="O36" s="0" t="n">
        <v>0.3708</v>
      </c>
      <c r="P36" s="0" t="n">
        <f aca="false">N36/M36</f>
        <v>5.3838877502759</v>
      </c>
      <c r="Q36" s="0" t="n">
        <f aca="false">M36*O36</f>
        <v>0.023519844</v>
      </c>
      <c r="R36" s="0" t="n">
        <v>2.56</v>
      </c>
      <c r="S36" s="0" t="n">
        <v>13.66</v>
      </c>
      <c r="T36" s="0" t="n">
        <v>0.2724</v>
      </c>
      <c r="U36" s="0" t="n">
        <f aca="false">S36/R36</f>
        <v>5.3359375</v>
      </c>
      <c r="V36" s="0" t="n">
        <f aca="false">R36*T36</f>
        <v>0.697344</v>
      </c>
      <c r="W36" s="0" t="n">
        <v>0.1444</v>
      </c>
      <c r="X36" s="0" t="n">
        <v>0.6858</v>
      </c>
      <c r="Y36" s="0" t="n">
        <v>0.3714</v>
      </c>
      <c r="Z36" s="0" t="n">
        <f aca="false">X36/W36</f>
        <v>4.74930747922438</v>
      </c>
      <c r="AA36" s="0" t="n">
        <f aca="false">W36*Y36</f>
        <v>0.05363016</v>
      </c>
      <c r="AB36" s="0" t="n">
        <v>0.01285</v>
      </c>
      <c r="AC36" s="0" t="n">
        <v>0.0141</v>
      </c>
      <c r="AD36" s="0" t="n">
        <v>0.3422</v>
      </c>
      <c r="AE36" s="0" t="n">
        <f aca="false">AC36/AB36</f>
        <v>1.09727626459144</v>
      </c>
      <c r="AF36" s="0" t="n">
        <f aca="false">AB36*AD36</f>
        <v>0.00439727</v>
      </c>
    </row>
    <row r="37" customFormat="false" ht="13.2" hidden="false" customHeight="false" outlineLevel="0" collapsed="false">
      <c r="B37" s="0" t="s">
        <v>414</v>
      </c>
      <c r="C37" s="0" t="n">
        <v>12.22</v>
      </c>
      <c r="D37" s="0" t="n">
        <v>53.6</v>
      </c>
      <c r="E37" s="0" t="n">
        <v>0.1948</v>
      </c>
      <c r="F37" s="0" t="n">
        <f aca="false">D37/C37</f>
        <v>4.38625204582651</v>
      </c>
      <c r="G37" s="0" t="n">
        <f aca="false">C37*E37</f>
        <v>2.380456</v>
      </c>
      <c r="H37" s="0" t="n">
        <v>0.134</v>
      </c>
      <c r="I37" s="0" t="n">
        <v>0.5085</v>
      </c>
      <c r="J37" s="0" t="n">
        <v>0.3928</v>
      </c>
      <c r="K37" s="0" t="n">
        <f aca="false">I37/H37</f>
        <v>3.79477611940298</v>
      </c>
      <c r="L37" s="0" t="n">
        <f aca="false">H37*J37</f>
        <v>0.0526352</v>
      </c>
      <c r="M37" s="0" t="n">
        <v>0.06354</v>
      </c>
      <c r="N37" s="0" t="n">
        <v>0.2744</v>
      </c>
      <c r="O37" s="0" t="n">
        <v>0.3843</v>
      </c>
      <c r="P37" s="0" t="n">
        <f aca="false">N37/M37</f>
        <v>4.31853950267548</v>
      </c>
      <c r="Q37" s="0" t="n">
        <f aca="false">M37*O37</f>
        <v>0.024418422</v>
      </c>
      <c r="R37" s="0" t="n">
        <v>2.422</v>
      </c>
      <c r="S37" s="0" t="n">
        <v>10.91</v>
      </c>
      <c r="T37" s="0" t="n">
        <v>0.2576</v>
      </c>
      <c r="U37" s="0" t="n">
        <f aca="false">S37/R37</f>
        <v>4.50454170107349</v>
      </c>
      <c r="V37" s="0" t="n">
        <f aca="false">R37*T37</f>
        <v>0.6239072</v>
      </c>
      <c r="W37" s="0" t="n">
        <v>0.144</v>
      </c>
      <c r="X37" s="0" t="n">
        <v>0.5412</v>
      </c>
      <c r="Y37" s="0" t="n">
        <v>0.3799</v>
      </c>
      <c r="Z37" s="0" t="n">
        <f aca="false">X37/W37</f>
        <v>3.75833333333333</v>
      </c>
      <c r="AA37" s="0" t="n">
        <f aca="false">W37*Y37</f>
        <v>0.0547056</v>
      </c>
      <c r="AB37" s="0" t="n">
        <v>0.01297</v>
      </c>
      <c r="AC37" s="0" t="n">
        <v>0.01057</v>
      </c>
      <c r="AD37" s="0" t="n">
        <v>0.401</v>
      </c>
      <c r="AE37" s="0" t="n">
        <f aca="false">AC37/AB37</f>
        <v>0.814957594448728</v>
      </c>
      <c r="AF37" s="0" t="n">
        <f aca="false">AB37*AD37</f>
        <v>0.00520097</v>
      </c>
    </row>
    <row r="39" customFormat="false" ht="13.2" hidden="false" customHeight="false" outlineLevel="0" collapsed="false">
      <c r="A39" s="349" t="s">
        <v>411</v>
      </c>
      <c r="B39" s="342" t="s">
        <v>412</v>
      </c>
    </row>
  </sheetData>
  <mergeCells count="24">
    <mergeCell ref="B2:D2"/>
    <mergeCell ref="G2:I2"/>
    <mergeCell ref="L2:N2"/>
    <mergeCell ref="Q2:S2"/>
    <mergeCell ref="V2:X2"/>
    <mergeCell ref="AA2:AC2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  <mergeCell ref="AA24:AC24"/>
    <mergeCell ref="C34:G34"/>
    <mergeCell ref="H34:L34"/>
    <mergeCell ref="M34:Q34"/>
    <mergeCell ref="R34:V34"/>
    <mergeCell ref="W34:AA34"/>
    <mergeCell ref="AB34:AD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3125" defaultRowHeight="13.2" zeroHeight="false" outlineLevelRow="0" outlineLevelCol="0"/>
  <cols>
    <col collapsed="false" customWidth="true" hidden="false" outlineLevel="0" max="1" min="1" style="132" width="13.44"/>
    <col collapsed="false" customWidth="true" hidden="false" outlineLevel="0" max="16" min="2" style="132" width="8.67"/>
    <col collapsed="false" customWidth="true" hidden="false" outlineLevel="0" max="17" min="17" style="133" width="8.67"/>
    <col collapsed="false" customWidth="true" hidden="false" outlineLevel="0" max="18" min="18" style="134" width="8.67"/>
    <col collapsed="false" customWidth="true" hidden="false" outlineLevel="0" max="20" min="19" style="132" width="8.67"/>
    <col collapsed="false" customWidth="false" hidden="false" outlineLevel="0" max="1024" min="21" style="132" width="9.33"/>
  </cols>
  <sheetData>
    <row r="1" customFormat="false" ht="13.2" hidden="false" customHeight="false" outlineLevel="0" collapsed="false">
      <c r="A1" s="133" t="s">
        <v>2</v>
      </c>
      <c r="B1" s="134"/>
      <c r="Q1" s="133" t="s">
        <v>103</v>
      </c>
      <c r="R1" s="134" t="s">
        <v>104</v>
      </c>
    </row>
    <row r="2" customFormat="false" ht="13.2" hidden="false" customHeight="false" outlineLevel="0" collapsed="false">
      <c r="A2" s="133" t="s">
        <v>8</v>
      </c>
      <c r="B2" s="135"/>
      <c r="C2" s="135"/>
      <c r="R2" s="134" t="s">
        <v>105</v>
      </c>
    </row>
    <row r="3" customFormat="false" ht="13.2" hidden="false" customHeight="false" outlineLevel="0" collapsed="false">
      <c r="A3" s="133" t="s">
        <v>9</v>
      </c>
      <c r="B3" s="134" t="s">
        <v>106</v>
      </c>
      <c r="R3" s="134" t="s">
        <v>107</v>
      </c>
    </row>
    <row r="4" customFormat="false" ht="13.2" hidden="false" customHeight="false" outlineLevel="0" collapsed="false">
      <c r="Q4" s="133" t="s">
        <v>108</v>
      </c>
      <c r="R4" s="134" t="s">
        <v>109</v>
      </c>
    </row>
    <row r="5" customFormat="false" ht="13.2" hidden="false" customHeight="false" outlineLevel="0" collapsed="false">
      <c r="B5" s="136" t="s">
        <v>60</v>
      </c>
      <c r="C5" s="136"/>
      <c r="D5" s="136" t="s">
        <v>110</v>
      </c>
      <c r="E5" s="136"/>
      <c r="F5" s="136"/>
      <c r="J5" s="137" t="s">
        <v>111</v>
      </c>
      <c r="K5" s="137"/>
      <c r="L5" s="137"/>
      <c r="M5" s="137"/>
      <c r="N5" s="137"/>
      <c r="R5" s="134" t="s">
        <v>112</v>
      </c>
    </row>
    <row r="6" customFormat="false" ht="13.2" hidden="false" customHeight="false" outlineLevel="0" collapsed="false">
      <c r="B6" s="132" t="s">
        <v>113</v>
      </c>
      <c r="C6" s="132" t="s">
        <v>114</v>
      </c>
      <c r="D6" s="132" t="s">
        <v>113</v>
      </c>
      <c r="E6" s="132" t="s">
        <v>91</v>
      </c>
      <c r="F6" s="132" t="s">
        <v>115</v>
      </c>
      <c r="G6" s="132" t="s">
        <v>116</v>
      </c>
      <c r="J6" s="138" t="s">
        <v>41</v>
      </c>
      <c r="K6" s="138" t="s">
        <v>42</v>
      </c>
      <c r="L6" s="139" t="s">
        <v>43</v>
      </c>
      <c r="M6" s="139" t="s">
        <v>117</v>
      </c>
      <c r="N6" s="139" t="s">
        <v>118</v>
      </c>
      <c r="R6" s="134" t="s">
        <v>104</v>
      </c>
    </row>
    <row r="7" customFormat="false" ht="13.2" hidden="false" customHeight="false" outlineLevel="0" collapsed="false">
      <c r="A7" s="132" t="s">
        <v>119</v>
      </c>
      <c r="B7" s="140" t="n">
        <f aca="false">'NCRP147_4.2'!D29</f>
        <v>1.850771</v>
      </c>
      <c r="C7" s="140" t="n">
        <f aca="false">'NCRP147_4.5'!C5</f>
        <v>5.2</v>
      </c>
      <c r="D7" s="140"/>
      <c r="E7" s="140" t="n">
        <f aca="false">'NCRP147_4.7'!E10</f>
        <v>0.00014</v>
      </c>
      <c r="F7" s="140" t="n">
        <f aca="false">'NCRP147_4.7'!F10</f>
        <v>0.023</v>
      </c>
      <c r="G7" s="140" t="n">
        <f aca="false">'NCRP147_4.7'!H10</f>
        <v>0.033</v>
      </c>
      <c r="I7" s="132" t="s">
        <v>15</v>
      </c>
      <c r="J7" s="141" t="n">
        <v>2.295</v>
      </c>
      <c r="K7" s="141" t="n">
        <v>13</v>
      </c>
      <c r="L7" s="141" t="n">
        <v>0.5573</v>
      </c>
      <c r="M7" s="141" t="n">
        <f aca="false">K7/J7</f>
        <v>5.66448801742919</v>
      </c>
      <c r="N7" s="141" t="n">
        <f aca="false">J7*L7</f>
        <v>1.2790035</v>
      </c>
      <c r="R7" s="134" t="s">
        <v>105</v>
      </c>
    </row>
    <row r="8" customFormat="false" ht="13.2" hidden="false" customHeight="false" outlineLevel="0" collapsed="false">
      <c r="A8" s="132" t="s">
        <v>120</v>
      </c>
      <c r="B8" s="140" t="n">
        <f aca="false">'NCRP147_4.2'!C29</f>
        <v>0.60091</v>
      </c>
      <c r="C8" s="140" t="n">
        <f aca="false">'NCRP147_4.5'!C4</f>
        <v>2.3</v>
      </c>
      <c r="D8" s="140"/>
      <c r="E8" s="140" t="n">
        <f aca="false">'NCRP147_4.7'!E9</f>
        <v>0.00039</v>
      </c>
      <c r="F8" s="140" t="n">
        <f aca="false">'NCRP147_4.7'!F9</f>
        <v>0.0049</v>
      </c>
      <c r="G8" s="140" t="n">
        <f aca="false">'NCRP147_4.7'!H9</f>
        <v>0.0069</v>
      </c>
      <c r="I8" s="132" t="s">
        <v>51</v>
      </c>
      <c r="J8" s="141" t="n">
        <v>0.03549</v>
      </c>
      <c r="K8" s="141" t="n">
        <v>0.1164</v>
      </c>
      <c r="L8" s="141" t="n">
        <v>0.5774</v>
      </c>
      <c r="M8" s="141" t="n">
        <f aca="false">K8/J8</f>
        <v>3.27979712595097</v>
      </c>
      <c r="N8" s="141" t="n">
        <f aca="false">J8*L8</f>
        <v>0.020491926</v>
      </c>
      <c r="R8" s="134" t="s">
        <v>121</v>
      </c>
    </row>
    <row r="9" customFormat="false" ht="13.2" hidden="false" customHeight="false" outlineLevel="0" collapsed="false">
      <c r="A9" s="132" t="s">
        <v>122</v>
      </c>
      <c r="B9" s="140" t="n">
        <f aca="false">'NCRP147_4.2'!B29</f>
        <v>2.452478</v>
      </c>
      <c r="C9" s="140"/>
      <c r="D9" s="140"/>
      <c r="E9" s="140" t="n">
        <f aca="false">'NCRP147_4.7'!E8</f>
        <v>0.00053</v>
      </c>
      <c r="F9" s="140" t="n">
        <f aca="false">'NCRP147_4.7'!F8</f>
        <v>0.034</v>
      </c>
      <c r="G9" s="140" t="n">
        <f aca="false">'NCRP147_4.7'!H8</f>
        <v>0.048</v>
      </c>
      <c r="J9" s="142" t="s">
        <v>123</v>
      </c>
      <c r="K9" s="142"/>
      <c r="L9" s="142"/>
      <c r="M9" s="142"/>
      <c r="N9" s="142"/>
      <c r="Q9" s="133" t="s">
        <v>124</v>
      </c>
      <c r="R9" s="134" t="s">
        <v>112</v>
      </c>
    </row>
    <row r="10" customFormat="false" ht="13.2" hidden="false" customHeight="false" outlineLevel="0" collapsed="false">
      <c r="A10" s="132" t="s">
        <v>125</v>
      </c>
      <c r="B10" s="140" t="n">
        <f aca="false">'NCRP147_4.2'!E29</f>
        <v>12.8934</v>
      </c>
      <c r="C10" s="140"/>
      <c r="D10" s="140" t="n">
        <f aca="false">'NCRP147_4.7'!B11</f>
        <v>12.8934</v>
      </c>
      <c r="E10" s="140" t="n">
        <f aca="false">'NCRP147_4.7'!E11</f>
        <v>0.012</v>
      </c>
      <c r="F10" s="140" t="n">
        <f aca="false">'NCRP147_4.7'!F11</f>
        <v>0.31</v>
      </c>
      <c r="G10" s="140" t="n">
        <f aca="false">'NCRP147_4.7'!H11</f>
        <v>0.44</v>
      </c>
      <c r="J10" s="138" t="s">
        <v>41</v>
      </c>
      <c r="K10" s="138" t="s">
        <v>42</v>
      </c>
      <c r="L10" s="139" t="s">
        <v>43</v>
      </c>
      <c r="M10" s="139" t="s">
        <v>117</v>
      </c>
      <c r="N10" s="139" t="s">
        <v>118</v>
      </c>
      <c r="R10" s="134" t="s">
        <v>104</v>
      </c>
    </row>
    <row r="11" customFormat="false" ht="13.2" hidden="false" customHeight="false" outlineLevel="0" collapsed="false">
      <c r="A11" s="132" t="s">
        <v>126</v>
      </c>
      <c r="B11" s="140" t="n">
        <f aca="false">'NCRP147_4.2'!F29</f>
        <v>1.509999</v>
      </c>
      <c r="C11" s="140" t="n">
        <f aca="false">'NCRP147_4.5'!C6</f>
        <v>5.9</v>
      </c>
      <c r="D11" s="140" t="n">
        <f aca="false">'NCRP147_4.7'!B12</f>
        <v>1.509999</v>
      </c>
      <c r="E11" s="140" t="n">
        <f aca="false">'NCRP147_4.7'!E12</f>
        <v>0.00094</v>
      </c>
      <c r="F11" s="140" t="n">
        <f aca="false">'NCRP147_4.7'!F12</f>
        <v>0.028</v>
      </c>
      <c r="G11" s="140" t="n">
        <f aca="false">'NCRP147_4.7'!H12</f>
        <v>0.039</v>
      </c>
      <c r="I11" s="132" t="s">
        <v>15</v>
      </c>
      <c r="J11" s="141" t="n">
        <v>2.272</v>
      </c>
      <c r="K11" s="141" t="n">
        <v>13.6</v>
      </c>
      <c r="L11" s="141" t="n">
        <v>0.7184</v>
      </c>
      <c r="M11" s="141" t="n">
        <f aca="false">K11/J11</f>
        <v>5.98591549295775</v>
      </c>
      <c r="N11" s="141" t="n">
        <f aca="false">J11*L11</f>
        <v>1.6322048</v>
      </c>
      <c r="R11" s="134" t="s">
        <v>105</v>
      </c>
    </row>
    <row r="12" customFormat="false" ht="13.2" hidden="false" customHeight="false" outlineLevel="0" collapsed="false">
      <c r="I12" s="132" t="s">
        <v>51</v>
      </c>
      <c r="J12" s="141" t="n">
        <v>0.0356</v>
      </c>
      <c r="K12" s="141" t="n">
        <v>0.1114</v>
      </c>
      <c r="L12" s="141" t="n">
        <v>0.662</v>
      </c>
      <c r="M12" s="141" t="n">
        <f aca="false">K12/J12</f>
        <v>3.12921348314607</v>
      </c>
      <c r="N12" s="141" t="n">
        <f aca="false">J12*L12</f>
        <v>0.0235672</v>
      </c>
      <c r="R12" s="134" t="s">
        <v>107</v>
      </c>
    </row>
    <row r="13" customFormat="false" ht="13.2" hidden="false" customHeight="false" outlineLevel="0" collapsed="false">
      <c r="A13" s="132" t="s">
        <v>127</v>
      </c>
      <c r="B13" s="143"/>
      <c r="J13" s="142" t="s">
        <v>128</v>
      </c>
      <c r="K13" s="142"/>
      <c r="L13" s="142"/>
      <c r="M13" s="142"/>
      <c r="N13" s="142"/>
      <c r="Q13" s="133" t="s">
        <v>129</v>
      </c>
      <c r="R13" s="134" t="s">
        <v>104</v>
      </c>
    </row>
    <row r="14" customFormat="false" ht="13.2" hidden="false" customHeight="false" outlineLevel="0" collapsed="false">
      <c r="A14" s="132" t="s">
        <v>130</v>
      </c>
      <c r="B14" s="143"/>
      <c r="J14" s="138" t="s">
        <v>41</v>
      </c>
      <c r="K14" s="138" t="s">
        <v>42</v>
      </c>
      <c r="L14" s="139" t="s">
        <v>43</v>
      </c>
      <c r="M14" s="139" t="s">
        <v>117</v>
      </c>
      <c r="N14" s="139" t="s">
        <v>118</v>
      </c>
      <c r="R14" s="134" t="s">
        <v>105</v>
      </c>
    </row>
    <row r="15" customFormat="false" ht="13.2" hidden="false" customHeight="false" outlineLevel="0" collapsed="false">
      <c r="A15" s="132" t="s">
        <v>131</v>
      </c>
      <c r="B15" s="144"/>
      <c r="C15" s="132" t="s">
        <v>132</v>
      </c>
      <c r="I15" s="132" t="s">
        <v>15</v>
      </c>
      <c r="J15" s="141" t="n">
        <v>2.347</v>
      </c>
      <c r="K15" s="141" t="n">
        <v>12.67</v>
      </c>
      <c r="L15" s="141" t="n">
        <v>0.6149</v>
      </c>
      <c r="M15" s="141" t="n">
        <f aca="false">K15/J15</f>
        <v>5.3983809118023</v>
      </c>
      <c r="N15" s="141" t="n">
        <f aca="false">J15*L15</f>
        <v>1.4431703</v>
      </c>
      <c r="R15" s="134" t="s">
        <v>121</v>
      </c>
    </row>
    <row r="16" customFormat="false" ht="13.2" hidden="false" customHeight="false" outlineLevel="0" collapsed="false">
      <c r="I16" s="132" t="s">
        <v>51</v>
      </c>
      <c r="J16" s="141" t="n">
        <v>0.03616</v>
      </c>
      <c r="K16" s="141" t="n">
        <v>0.09721</v>
      </c>
      <c r="L16" s="141" t="n">
        <v>0.5186</v>
      </c>
      <c r="M16" s="141" t="n">
        <f aca="false">K16/J16</f>
        <v>2.6883296460177</v>
      </c>
      <c r="N16" s="141" t="n">
        <f aca="false">J16*L16</f>
        <v>0.018752576</v>
      </c>
      <c r="R16" s="134" t="s">
        <v>133</v>
      </c>
    </row>
    <row r="17" customFormat="false" ht="13.2" hidden="false" customHeight="false" outlineLevel="0" collapsed="false">
      <c r="J17" s="142" t="s">
        <v>134</v>
      </c>
      <c r="K17" s="142"/>
      <c r="L17" s="142"/>
      <c r="M17" s="142"/>
      <c r="N17" s="142"/>
      <c r="Q17" s="133" t="s">
        <v>135</v>
      </c>
      <c r="R17" s="134" t="s">
        <v>104</v>
      </c>
    </row>
    <row r="18" customFormat="false" ht="13.2" hidden="false" customHeight="false" outlineLevel="0" collapsed="false">
      <c r="J18" s="138" t="s">
        <v>41</v>
      </c>
      <c r="K18" s="138" t="s">
        <v>42</v>
      </c>
      <c r="L18" s="139" t="s">
        <v>43</v>
      </c>
      <c r="M18" s="139" t="s">
        <v>117</v>
      </c>
      <c r="N18" s="139" t="s">
        <v>118</v>
      </c>
      <c r="R18" s="134" t="s">
        <v>105</v>
      </c>
    </row>
    <row r="19" customFormat="false" ht="13.2" hidden="false" customHeight="false" outlineLevel="0" collapsed="false">
      <c r="I19" s="132" t="s">
        <v>15</v>
      </c>
      <c r="J19" s="141" t="n">
        <v>2.322</v>
      </c>
      <c r="K19" s="141" t="n">
        <v>12.91</v>
      </c>
      <c r="L19" s="141" t="n">
        <v>0.7575</v>
      </c>
      <c r="M19" s="141" t="n">
        <f aca="false">K19/J19</f>
        <v>5.55986218776916</v>
      </c>
      <c r="N19" s="141" t="n">
        <f aca="false">J19*L19</f>
        <v>1.758915</v>
      </c>
      <c r="R19" s="134" t="s">
        <v>121</v>
      </c>
    </row>
    <row r="20" customFormat="false" ht="13.2" hidden="false" customHeight="false" outlineLevel="0" collapsed="false">
      <c r="I20" s="132" t="s">
        <v>51</v>
      </c>
      <c r="J20" s="141" t="n">
        <v>0.0363</v>
      </c>
      <c r="K20" s="141" t="n">
        <v>0.0936</v>
      </c>
      <c r="L20" s="141" t="n">
        <v>0.5955</v>
      </c>
      <c r="M20" s="141" t="n">
        <f aca="false">K20/J20</f>
        <v>2.57851239669422</v>
      </c>
      <c r="N20" s="141" t="n">
        <f aca="false">J20*L20</f>
        <v>0.02161665</v>
      </c>
      <c r="R20" s="134" t="s">
        <v>133</v>
      </c>
    </row>
    <row r="21" customFormat="false" ht="13.2" hidden="false" customHeight="false" outlineLevel="0" collapsed="false">
      <c r="Q21" s="133" t="s">
        <v>136</v>
      </c>
      <c r="R21" s="134" t="s">
        <v>104</v>
      </c>
    </row>
    <row r="22" customFormat="false" ht="13.2" hidden="false" customHeight="false" outlineLevel="0" collapsed="false">
      <c r="I22" s="145"/>
      <c r="K22" s="146"/>
      <c r="L22" s="146"/>
      <c r="O22" s="145"/>
      <c r="R22" s="134" t="s">
        <v>105</v>
      </c>
    </row>
    <row r="23" customFormat="false" ht="13.2" hidden="false" customHeight="false" outlineLevel="0" collapsed="false">
      <c r="B23" s="132" t="s">
        <v>137</v>
      </c>
      <c r="C23" s="132" t="s">
        <v>138</v>
      </c>
      <c r="D23" s="132" t="s">
        <v>139</v>
      </c>
      <c r="E23" s="132" t="s">
        <v>63</v>
      </c>
      <c r="F23" s="132" t="s">
        <v>74</v>
      </c>
      <c r="G23" s="132" t="s">
        <v>140</v>
      </c>
      <c r="H23" s="132" t="s">
        <v>141</v>
      </c>
      <c r="I23" s="132" t="s">
        <v>142</v>
      </c>
      <c r="J23" s="146" t="s">
        <v>143</v>
      </c>
      <c r="L23" s="132" t="s">
        <v>144</v>
      </c>
      <c r="M23" s="147" t="s">
        <v>145</v>
      </c>
      <c r="N23" s="132" t="s">
        <v>142</v>
      </c>
      <c r="R23" s="134" t="s">
        <v>107</v>
      </c>
    </row>
    <row r="24" customFormat="false" ht="13.2" hidden="false" customHeight="false" outlineLevel="0" collapsed="false">
      <c r="A24" s="132" t="s">
        <v>146</v>
      </c>
      <c r="B24" s="148"/>
      <c r="C24" s="148"/>
      <c r="D24" s="149"/>
      <c r="E24" s="149"/>
      <c r="F24" s="149"/>
      <c r="G24" s="141"/>
      <c r="H24" s="141"/>
      <c r="I24" s="150"/>
      <c r="J24" s="151" t="e">
        <f aca="false">((KsRadTableL+KsRadTableSS)*Nrad+(KsRFRadL+KsRFRadSS)*Nfl)/(B24^2)</f>
        <v>#DIV/0!</v>
      </c>
      <c r="L24" s="151" t="e">
        <f aca="false">J24+J39+J54</f>
        <v>#DIV/0!</v>
      </c>
      <c r="M24" s="151" t="e">
        <f aca="false">E24/(F24*L24)</f>
        <v>#DIV/0!</v>
      </c>
      <c r="N24" s="152" t="e">
        <f aca="false">LN((M24^(-$L$7)+$M$7)/(1+$M$7))/$N$7</f>
        <v>#DIV/0!</v>
      </c>
      <c r="Q24" s="133" t="s">
        <v>147</v>
      </c>
      <c r="R24" s="134" t="s">
        <v>148</v>
      </c>
    </row>
    <row r="25" customFormat="false" ht="13.2" hidden="false" customHeight="false" outlineLevel="0" collapsed="false">
      <c r="A25" s="132" t="s">
        <v>149</v>
      </c>
      <c r="B25" s="148"/>
      <c r="C25" s="148"/>
      <c r="D25" s="149"/>
      <c r="E25" s="149"/>
      <c r="F25" s="149"/>
      <c r="G25" s="141"/>
      <c r="H25" s="141"/>
      <c r="I25" s="150"/>
      <c r="J25" s="151" t="e">
        <f aca="false">((KsRadTableL+KsRadTableSS)*Nrad+(KsRFRadL+KsRFRadSS)*Nfl)/(B25^2)</f>
        <v>#DIV/0!</v>
      </c>
      <c r="L25" s="151" t="e">
        <f aca="false">J25+J40+J55</f>
        <v>#DIV/0!</v>
      </c>
      <c r="M25" s="151" t="e">
        <f aca="false">E25/(F25*L25)</f>
        <v>#DIV/0!</v>
      </c>
      <c r="N25" s="152" t="e">
        <f aca="false">LN((M25^(-$L$7)+$M$7)/(1+$M$7))/$N$7</f>
        <v>#DIV/0!</v>
      </c>
      <c r="R25" s="134" t="s">
        <v>107</v>
      </c>
    </row>
    <row r="26" customFormat="false" ht="13.2" hidden="false" customHeight="false" outlineLevel="0" collapsed="false">
      <c r="A26" s="132" t="s">
        <v>108</v>
      </c>
      <c r="B26" s="148"/>
      <c r="C26" s="148"/>
      <c r="D26" s="149"/>
      <c r="E26" s="149"/>
      <c r="F26" s="149"/>
      <c r="G26" s="141" t="e">
        <f aca="false">KpRadTable*Nrad*D26/(B26^2)</f>
        <v>#DIV/0!</v>
      </c>
      <c r="H26" s="141" t="e">
        <f aca="false">E26/(G26*F26)</f>
        <v>#DIV/0!</v>
      </c>
      <c r="I26" s="150" t="e">
        <f aca="false">LN((H26^(-$L$7)+$M$7)/(1+$M$7))/$N$7</f>
        <v>#DIV/0!</v>
      </c>
      <c r="J26" s="151" t="e">
        <f aca="false">(KsRadAllL/(B26+40*0.0254)^2+KsRadAllSS/B26^2)*Nrad+(KsRFRadL+KsRFRadSS)*Nfl/(B26^2)</f>
        <v>#DIV/0!</v>
      </c>
      <c r="L26" s="151" t="e">
        <f aca="false">J26+J41+J56</f>
        <v>#DIV/0!</v>
      </c>
      <c r="M26" s="151" t="e">
        <f aca="false">E26/(F26*L26)</f>
        <v>#DIV/0!</v>
      </c>
      <c r="N26" s="152" t="e">
        <f aca="false">LN((M26^(-$L$19)+$M$19)/(1+$M$19))/$N$19</f>
        <v>#DIV/0!</v>
      </c>
      <c r="R26" s="134" t="s">
        <v>121</v>
      </c>
    </row>
    <row r="27" customFormat="false" ht="13.2" hidden="false" customHeight="false" outlineLevel="0" collapsed="false">
      <c r="A27" s="132" t="s">
        <v>124</v>
      </c>
      <c r="B27" s="148"/>
      <c r="C27" s="148"/>
      <c r="D27" s="149"/>
      <c r="E27" s="149"/>
      <c r="F27" s="149"/>
      <c r="G27" s="141" t="e">
        <f aca="false">KpRadTable*Nrad*D27/(B27^2)</f>
        <v>#DIV/0!</v>
      </c>
      <c r="H27" s="141" t="e">
        <f aca="false">E27/(G27*F27)</f>
        <v>#DIV/0!</v>
      </c>
      <c r="I27" s="150" t="e">
        <f aca="false">LN((H27^(-$L$7)+$M$7)/(1+$M$7))/$N$7</f>
        <v>#DIV/0!</v>
      </c>
      <c r="J27" s="151" t="e">
        <f aca="false">(KsRadAllL/(B27+40*0.0254)^2+KsRadAllSS/B27^2)*Nrad+(KsRFRadL+KsRFRadSS)*Nfl/(B27^2)</f>
        <v>#DIV/0!</v>
      </c>
      <c r="L27" s="151" t="e">
        <f aca="false">J27+J42+J57</f>
        <v>#DIV/0!</v>
      </c>
      <c r="M27" s="151" t="e">
        <f aca="false">E27/(F27*L27)</f>
        <v>#DIV/0!</v>
      </c>
      <c r="N27" s="152" t="e">
        <f aca="false">LN((M27^(-$L$19)+$M$19)/(1+$M$19))/$N$19</f>
        <v>#DIV/0!</v>
      </c>
      <c r="R27" s="134" t="s">
        <v>105</v>
      </c>
    </row>
    <row r="28" customFormat="false" ht="13.2" hidden="false" customHeight="false" outlineLevel="0" collapsed="false">
      <c r="A28" s="132" t="s">
        <v>150</v>
      </c>
      <c r="B28" s="148"/>
      <c r="C28" s="148"/>
      <c r="D28" s="149"/>
      <c r="E28" s="149"/>
      <c r="F28" s="149"/>
      <c r="G28" s="141"/>
      <c r="H28" s="141"/>
      <c r="I28" s="150"/>
      <c r="J28" s="151" t="e">
        <f aca="false">((KsRadTableL+KsRadTableSS)*Nrad+(KsRFRadL+KsRFRadSS)*Nfl)/(B28^2)</f>
        <v>#DIV/0!</v>
      </c>
      <c r="L28" s="151" t="e">
        <f aca="false">J28+J43+J58</f>
        <v>#DIV/0!</v>
      </c>
      <c r="M28" s="151" t="e">
        <f aca="false">E28/(F28*L28)</f>
        <v>#DIV/0!</v>
      </c>
      <c r="N28" s="152" t="e">
        <f aca="false">LN((M28^(-$L$19)+$M$19)/(1+$M$19))/$N$19</f>
        <v>#DIV/0!</v>
      </c>
      <c r="Q28" s="133" t="s">
        <v>151</v>
      </c>
      <c r="R28" s="134" t="s">
        <v>152</v>
      </c>
    </row>
    <row r="29" customFormat="false" ht="13.2" hidden="false" customHeight="false" outlineLevel="0" collapsed="false">
      <c r="A29" s="132" t="s">
        <v>153</v>
      </c>
      <c r="B29" s="148"/>
      <c r="C29" s="148"/>
      <c r="D29" s="149"/>
      <c r="E29" s="149"/>
      <c r="F29" s="149"/>
      <c r="G29" s="141"/>
      <c r="H29" s="141"/>
      <c r="I29" s="150"/>
      <c r="J29" s="151" t="e">
        <f aca="false">((KsRadTableL+KsRadTableSS)*Nrad+(KsRFRadL+KsRFRadSS)*Nfl)/(B29^2)</f>
        <v>#DIV/0!</v>
      </c>
      <c r="L29" s="151" t="e">
        <f aca="false">J29+J44+J59</f>
        <v>#DIV/0!</v>
      </c>
      <c r="M29" s="151" t="e">
        <f aca="false">E29/(F29*L29)</f>
        <v>#DIV/0!</v>
      </c>
      <c r="N29" s="152" t="e">
        <f aca="false">LN((M29^(-$L$19)+$M$19)/(1+$M$19))/$N$19</f>
        <v>#DIV/0!</v>
      </c>
      <c r="R29" s="134" t="s">
        <v>107</v>
      </c>
    </row>
    <row r="30" customFormat="false" ht="13.2" hidden="false" customHeight="false" outlineLevel="0" collapsed="false">
      <c r="A30" s="132" t="s">
        <v>154</v>
      </c>
      <c r="B30" s="148"/>
      <c r="C30" s="148"/>
      <c r="D30" s="149"/>
      <c r="E30" s="149"/>
      <c r="F30" s="149"/>
      <c r="G30" s="141"/>
      <c r="H30" s="141"/>
      <c r="I30" s="150"/>
      <c r="J30" s="151" t="e">
        <f aca="false">((KsRadTableL+KsRadTableSS)*Nrad+(KsRFRadL+KsRFRadSS)*Nfl)/(B30^2)</f>
        <v>#DIV/0!</v>
      </c>
      <c r="L30" s="151" t="e">
        <f aca="false">J30+J45+J60</f>
        <v>#DIV/0!</v>
      </c>
      <c r="M30" s="151" t="e">
        <f aca="false">E30/(F30*L30)</f>
        <v>#DIV/0!</v>
      </c>
      <c r="N30" s="152" t="e">
        <f aca="false">LN((M30^(-$L$19)+$M$19)/(1+$M$19))/$N$19</f>
        <v>#DIV/0!</v>
      </c>
      <c r="R30" s="134" t="s">
        <v>121</v>
      </c>
    </row>
    <row r="31" customFormat="false" ht="13.2" hidden="false" customHeight="false" outlineLevel="0" collapsed="false">
      <c r="A31" s="132" t="s">
        <v>155</v>
      </c>
      <c r="B31" s="148"/>
      <c r="C31" s="148"/>
      <c r="D31" s="149"/>
      <c r="E31" s="149"/>
      <c r="F31" s="149"/>
      <c r="G31" s="141"/>
      <c r="H31" s="141"/>
      <c r="I31" s="150"/>
      <c r="J31" s="151" t="e">
        <f aca="false">((KsRadTableL+KsRadTableSS)*Nrad+(KsRFRadL+KsRFRadSS)*Nfl)/(B31^2)</f>
        <v>#DIV/0!</v>
      </c>
      <c r="L31" s="151" t="e">
        <f aca="false">J31+J46+J61</f>
        <v>#DIV/0!</v>
      </c>
      <c r="M31" s="151" t="e">
        <f aca="false">E31/(F31*L31)</f>
        <v>#DIV/0!</v>
      </c>
      <c r="N31" s="152" t="e">
        <f aca="false">LN((M31^(-$L$19)+$M$19)/(1+$M$19))/$N$19</f>
        <v>#DIV/0!</v>
      </c>
    </row>
    <row r="32" customFormat="false" ht="13.2" hidden="false" customHeight="false" outlineLevel="0" collapsed="false">
      <c r="A32" s="132" t="s">
        <v>156</v>
      </c>
      <c r="B32" s="148"/>
      <c r="C32" s="148"/>
      <c r="D32" s="149"/>
      <c r="E32" s="149"/>
      <c r="F32" s="149"/>
      <c r="G32" s="141"/>
      <c r="H32" s="141"/>
      <c r="I32" s="150"/>
      <c r="J32" s="151" t="e">
        <f aca="false">((KsRadTableL+KsRadTableSS)*Nrad+(KsRFRadL+KsRFRadSS)*Nfl)/(B32^2)</f>
        <v>#DIV/0!</v>
      </c>
      <c r="L32" s="151" t="e">
        <f aca="false">J32+J47+J62</f>
        <v>#DIV/0!</v>
      </c>
      <c r="M32" s="151" t="e">
        <f aca="false">E32/(F32*L32)</f>
        <v>#DIV/0!</v>
      </c>
      <c r="N32" s="152" t="e">
        <f aca="false">LN((M32^(-$L$19)+$M$19)/(1+$M$19))/$N$19</f>
        <v>#DIV/0!</v>
      </c>
    </row>
    <row r="33" customFormat="false" ht="13.2" hidden="false" customHeight="false" outlineLevel="0" collapsed="false">
      <c r="A33" s="132" t="s">
        <v>157</v>
      </c>
      <c r="B33" s="148"/>
      <c r="C33" s="148"/>
      <c r="D33" s="149"/>
      <c r="E33" s="149"/>
      <c r="F33" s="149"/>
      <c r="G33" s="141"/>
      <c r="H33" s="141"/>
      <c r="I33" s="150"/>
      <c r="J33" s="151" t="e">
        <f aca="false">((KsRadTableL+KsRadTableSS)*Nrad+(KsRFRadL+KsRFRadSS)*Nfl)/(B33^2)</f>
        <v>#DIV/0!</v>
      </c>
      <c r="L33" s="151" t="e">
        <f aca="false">J33+J48+J63</f>
        <v>#DIV/0!</v>
      </c>
      <c r="M33" s="151" t="e">
        <f aca="false">E33/(F33*L33)</f>
        <v>#DIV/0!</v>
      </c>
      <c r="N33" s="152" t="e">
        <f aca="false">LN((M33^(-$L$19)+$M$19)/(1+$M$19))/$N$19</f>
        <v>#DIV/0!</v>
      </c>
    </row>
    <row r="34" customFormat="false" ht="13.2" hidden="false" customHeight="false" outlineLevel="0" collapsed="false">
      <c r="A34" s="132" t="s">
        <v>158</v>
      </c>
      <c r="B34" s="148"/>
      <c r="C34" s="148"/>
      <c r="D34" s="149"/>
      <c r="E34" s="149"/>
      <c r="F34" s="149"/>
      <c r="G34" s="141"/>
      <c r="H34" s="141"/>
      <c r="I34" s="150"/>
      <c r="J34" s="151" t="e">
        <f aca="false">((KsRadTableL+KsRadTableSS)*Nrad+(KsRFRadL+KsRFRadSS)*Nfl)/(B34^2)</f>
        <v>#DIV/0!</v>
      </c>
      <c r="L34" s="151" t="e">
        <f aca="false">J34+J49+J64</f>
        <v>#DIV/0!</v>
      </c>
      <c r="M34" s="151" t="e">
        <f aca="false">E34/(F34*L34)</f>
        <v>#DIV/0!</v>
      </c>
      <c r="N34" s="152" t="e">
        <f aca="false">LN((M34^(-$L$19)+$M$19)/(1+$M$19))/$N$19</f>
        <v>#DIV/0!</v>
      </c>
    </row>
    <row r="35" customFormat="false" ht="13.2" hidden="false" customHeight="false" outlineLevel="0" collapsed="false">
      <c r="A35" s="132" t="s">
        <v>147</v>
      </c>
      <c r="B35" s="148"/>
      <c r="C35" s="148"/>
      <c r="D35" s="149"/>
      <c r="E35" s="149"/>
      <c r="F35" s="149"/>
      <c r="G35" s="141" t="e">
        <f aca="false">KpRFRad*D35*Nfl/(B35^2)+$C$7*D35*Nrad/(B35^2)</f>
        <v>#DIV/0!</v>
      </c>
      <c r="H35" s="141" t="e">
        <f aca="false">E35/(G35*F35)</f>
        <v>#DIV/0!</v>
      </c>
      <c r="I35" s="150" t="e">
        <f aca="false">LN((H35^(-$L$8)+$M$8)/(1+$M$8))/$N$8</f>
        <v>#DIV/0!</v>
      </c>
      <c r="J35" s="151" t="e">
        <f aca="false">(KsRadTableL/C35^2+KsRadTableSS/B35^2)*Nrad+(KsRFRadL/C35^2+KsRFRadSS/C35^2)*Nfl</f>
        <v>#DIV/0!</v>
      </c>
      <c r="L35" s="151" t="e">
        <f aca="false">J35+J50+J65</f>
        <v>#DIV/0!</v>
      </c>
      <c r="M35" s="151" t="e">
        <f aca="false">E35/(F35*L35)</f>
        <v>#DIV/0!</v>
      </c>
      <c r="N35" s="152" t="e">
        <f aca="false">LN((M35^(-$L$20)+$M$20)/(1+$M$20))/$N$20</f>
        <v>#DIV/0!</v>
      </c>
    </row>
    <row r="36" customFormat="false" ht="13.2" hidden="false" customHeight="false" outlineLevel="0" collapsed="false">
      <c r="A36" s="132" t="s">
        <v>151</v>
      </c>
      <c r="B36" s="148"/>
      <c r="C36" s="148"/>
      <c r="D36" s="149"/>
      <c r="E36" s="149"/>
      <c r="F36" s="149"/>
      <c r="G36" s="141"/>
      <c r="H36" s="141"/>
      <c r="I36" s="150"/>
      <c r="J36" s="151" t="e">
        <f aca="false">(KsRadTableL/C36^2+KsRadTableSS/B36^2)*Nrad+(KsRFRadL/C36^2+KsRFRadSS/C36^2)*Nfl</f>
        <v>#DIV/0!</v>
      </c>
      <c r="L36" s="151" t="e">
        <f aca="false">J36+J51+J66</f>
        <v>#DIV/0!</v>
      </c>
      <c r="M36" s="151" t="e">
        <f aca="false">E36/(F36*L36)</f>
        <v>#DIV/0!</v>
      </c>
      <c r="N36" s="152" t="e">
        <f aca="false">LN((M36^(-$L$20)+$M$20)/(1+$M$20))/$N$20</f>
        <v>#DIV/0!</v>
      </c>
    </row>
    <row r="37" customFormat="false" ht="13.2" hidden="false" customHeight="false" outlineLevel="0" collapsed="false">
      <c r="J37" s="134"/>
    </row>
    <row r="38" customFormat="false" ht="13.2" hidden="false" customHeight="false" outlineLevel="0" collapsed="false">
      <c r="B38" s="132" t="s">
        <v>159</v>
      </c>
      <c r="C38" s="132" t="s">
        <v>138</v>
      </c>
      <c r="D38" s="132" t="s">
        <v>139</v>
      </c>
      <c r="E38" s="132" t="s">
        <v>63</v>
      </c>
      <c r="F38" s="132" t="s">
        <v>74</v>
      </c>
      <c r="G38" s="132" t="s">
        <v>140</v>
      </c>
      <c r="H38" s="132" t="s">
        <v>141</v>
      </c>
      <c r="I38" s="132" t="s">
        <v>142</v>
      </c>
      <c r="J38" s="146" t="s">
        <v>143</v>
      </c>
      <c r="K38" s="153"/>
    </row>
    <row r="39" customFormat="false" ht="13.2" hidden="false" customHeight="false" outlineLevel="0" collapsed="false">
      <c r="A39" s="132" t="str">
        <f aca="false">A24</f>
        <v>Wall A</v>
      </c>
      <c r="B39" s="148"/>
      <c r="C39" s="148"/>
      <c r="D39" s="149"/>
      <c r="E39" s="149"/>
      <c r="F39" s="149"/>
      <c r="G39" s="141"/>
      <c r="H39" s="141"/>
      <c r="I39" s="141"/>
      <c r="J39" s="154" t="e">
        <f aca="false">(KsRadWallL+KsRadWallSS)*Nrad/(B39^2)+(KsRFRadL+KsRFRadSS)*Nfl/(B39^2)</f>
        <v>#DIV/0!</v>
      </c>
      <c r="K39" s="155"/>
    </row>
    <row r="40" customFormat="false" ht="13.2" hidden="false" customHeight="false" outlineLevel="0" collapsed="false">
      <c r="A40" s="132" t="str">
        <f aca="false">A25</f>
        <v>Door A</v>
      </c>
      <c r="B40" s="148"/>
      <c r="C40" s="148"/>
      <c r="D40" s="149"/>
      <c r="E40" s="149"/>
      <c r="F40" s="149"/>
      <c r="G40" s="141"/>
      <c r="H40" s="141"/>
      <c r="I40" s="141"/>
      <c r="J40" s="154" t="e">
        <f aca="false">(KsRadWallL+KsRadWallSS)*Nrad/(B40^2)+(KsRFRadL+KsRFRadSS)*Nfl/(B40^2)</f>
        <v>#DIV/0!</v>
      </c>
      <c r="K40" s="155"/>
    </row>
    <row r="41" customFormat="false" ht="13.2" hidden="false" customHeight="false" outlineLevel="0" collapsed="false">
      <c r="A41" s="132" t="str">
        <f aca="false">A26</f>
        <v>Wall B</v>
      </c>
      <c r="B41" s="148"/>
      <c r="C41" s="148"/>
      <c r="D41" s="149"/>
      <c r="E41" s="149"/>
      <c r="F41" s="149"/>
      <c r="G41" s="141" t="e">
        <f aca="false">KpRadWall*Nrad*D41/(B41^2)</f>
        <v>#DIV/0!</v>
      </c>
      <c r="H41" s="141" t="e">
        <f aca="false">E41/(G41*F41)</f>
        <v>#DIV/0!</v>
      </c>
      <c r="I41" s="141" t="e">
        <f aca="false">LN((H41^(-$L$7)+$M$7)/(1+$M$7))/$N$7</f>
        <v>#DIV/0!</v>
      </c>
      <c r="J41" s="154" t="e">
        <f aca="false">(KsRadWallL/C41^2+KsRadWallFB/B41^2)*Nrad+(KsRFRadL/C41^2+KsRFRadFB/B41^2)*Nfl</f>
        <v>#DIV/0!</v>
      </c>
      <c r="K41" s="155"/>
    </row>
    <row r="42" customFormat="false" ht="13.2" hidden="false" customHeight="false" outlineLevel="0" collapsed="false">
      <c r="A42" s="132" t="str">
        <f aca="false">A27</f>
        <v>Wall C</v>
      </c>
      <c r="B42" s="148"/>
      <c r="C42" s="148"/>
      <c r="D42" s="149"/>
      <c r="E42" s="149"/>
      <c r="F42" s="149"/>
      <c r="G42" s="141"/>
      <c r="H42" s="141"/>
      <c r="I42" s="141"/>
      <c r="J42" s="154" t="e">
        <f aca="false">(KsRadWallL+KsRadWallSS)*Nrad/(B42^2)+(KsRFRadL+KsRFRadSS)*Nfl/(B42^2)</f>
        <v>#DIV/0!</v>
      </c>
      <c r="K42" s="155"/>
    </row>
    <row r="43" customFormat="false" ht="13.2" hidden="false" customHeight="false" outlineLevel="0" collapsed="false">
      <c r="A43" s="132" t="str">
        <f aca="false">A28</f>
        <v>Wall D</v>
      </c>
      <c r="B43" s="148"/>
      <c r="C43" s="148"/>
      <c r="D43" s="149"/>
      <c r="E43" s="149"/>
      <c r="F43" s="149"/>
      <c r="G43" s="141"/>
      <c r="H43" s="141"/>
      <c r="I43" s="141"/>
      <c r="J43" s="154" t="e">
        <f aca="false">(KsRadWallL/C43^2+KsRadWallFB/B43^2)*Nrad+(KsRFRadL/C43^2+KsRFRadFB/B43^2)*Nfl</f>
        <v>#DIV/0!</v>
      </c>
      <c r="K43" s="155"/>
    </row>
    <row r="44" customFormat="false" ht="13.2" hidden="false" customHeight="false" outlineLevel="0" collapsed="false">
      <c r="A44" s="132" t="str">
        <f aca="false">A29</f>
        <v>Door D</v>
      </c>
      <c r="B44" s="148"/>
      <c r="C44" s="148"/>
      <c r="D44" s="149"/>
      <c r="E44" s="149"/>
      <c r="F44" s="149"/>
      <c r="G44" s="141"/>
      <c r="H44" s="141"/>
      <c r="I44" s="141"/>
      <c r="J44" s="154" t="e">
        <f aca="false">(KsRadWallL/C44^2+KsRadWallFB/B44^2)*Nrad+(KsRFRadL/C44^2+KsRFRadFB/B44^2)*Nfl</f>
        <v>#DIV/0!</v>
      </c>
      <c r="K44" s="155"/>
    </row>
    <row r="45" customFormat="false" ht="13.2" hidden="false" customHeight="false" outlineLevel="0" collapsed="false">
      <c r="A45" s="132" t="str">
        <f aca="false">A30</f>
        <v>Wall E</v>
      </c>
      <c r="B45" s="148"/>
      <c r="C45" s="148"/>
      <c r="D45" s="149"/>
      <c r="E45" s="149"/>
      <c r="F45" s="149"/>
      <c r="G45" s="141"/>
      <c r="H45" s="141"/>
      <c r="I45" s="141"/>
      <c r="J45" s="154" t="e">
        <f aca="false">(KsRadWallL/C45^2+KsRadWallFB/B45^2)*Nrad+(KsRFRadL/C45^2+KsRFRadFB/B45^2)*Nfl</f>
        <v>#DIV/0!</v>
      </c>
      <c r="K45" s="155"/>
    </row>
    <row r="46" customFormat="false" ht="13.2" hidden="false" customHeight="false" outlineLevel="0" collapsed="false">
      <c r="A46" s="132" t="str">
        <f aca="false">A31</f>
        <v>Door E1</v>
      </c>
      <c r="B46" s="148"/>
      <c r="C46" s="148"/>
      <c r="D46" s="149"/>
      <c r="E46" s="149"/>
      <c r="F46" s="149"/>
      <c r="G46" s="141"/>
      <c r="H46" s="141"/>
      <c r="I46" s="141"/>
      <c r="J46" s="154" t="e">
        <f aca="false">(KsRadWallL/C46^2+KsRadWallFB/B46^2)*Nrad+(KsRFRadL/C46^2+KsRFRadFB/B46^2)*Nfl</f>
        <v>#DIV/0!</v>
      </c>
      <c r="K46" s="155"/>
    </row>
    <row r="47" customFormat="false" ht="13.2" hidden="false" customHeight="false" outlineLevel="0" collapsed="false">
      <c r="A47" s="132" t="str">
        <f aca="false">A32</f>
        <v>Door E2</v>
      </c>
      <c r="B47" s="148"/>
      <c r="C47" s="148"/>
      <c r="D47" s="149"/>
      <c r="E47" s="149"/>
      <c r="F47" s="149"/>
      <c r="G47" s="141"/>
      <c r="H47" s="141"/>
      <c r="I47" s="141"/>
      <c r="J47" s="154" t="e">
        <f aca="false">(KsRadWallL/C47^2+KsRadWallFB/B47^2)*Nrad+(KsRFRadL/C47^2+KsRFRadFB/B47^2)*Nfl</f>
        <v>#DIV/0!</v>
      </c>
      <c r="K47" s="155"/>
    </row>
    <row r="48" customFormat="false" ht="13.2" hidden="false" customHeight="false" outlineLevel="0" collapsed="false">
      <c r="A48" s="132" t="str">
        <f aca="false">A33</f>
        <v>Control Wall</v>
      </c>
      <c r="B48" s="148"/>
      <c r="C48" s="148"/>
      <c r="D48" s="149"/>
      <c r="E48" s="149"/>
      <c r="F48" s="149"/>
      <c r="G48" s="141"/>
      <c r="H48" s="141"/>
      <c r="I48" s="141"/>
      <c r="J48" s="154" t="e">
        <f aca="false">(KsRadWallL+KsRadWallSS)*Nrad/(B48^2)+(KsRFRadL+KsRFRadSS)*Nfl/(B48^2)</f>
        <v>#DIV/0!</v>
      </c>
      <c r="K48" s="155"/>
    </row>
    <row r="49" customFormat="false" ht="13.2" hidden="false" customHeight="false" outlineLevel="0" collapsed="false">
      <c r="A49" s="132" t="str">
        <f aca="false">A34</f>
        <v>Control Window</v>
      </c>
      <c r="B49" s="148"/>
      <c r="C49" s="148"/>
      <c r="D49" s="149"/>
      <c r="E49" s="149"/>
      <c r="F49" s="149"/>
      <c r="G49" s="141"/>
      <c r="H49" s="141"/>
      <c r="I49" s="141"/>
      <c r="J49" s="154" t="e">
        <f aca="false">(KsRadWallL+KsRadWallSS)*Nrad/(B49^2)+(KsRFRadL+KsRFRadSS)*Nfl/(B49^2)</f>
        <v>#DIV/0!</v>
      </c>
      <c r="K49" s="155"/>
    </row>
    <row r="50" customFormat="false" ht="13.2" hidden="false" customHeight="false" outlineLevel="0" collapsed="false">
      <c r="A50" s="132" t="str">
        <f aca="false">A35</f>
        <v>Floor</v>
      </c>
      <c r="B50" s="148"/>
      <c r="C50" s="148"/>
      <c r="D50" s="149"/>
      <c r="E50" s="149"/>
      <c r="F50" s="149"/>
      <c r="G50" s="141"/>
      <c r="H50" s="141"/>
      <c r="I50" s="141"/>
      <c r="J50" s="154" t="e">
        <f aca="false">(KsRadWallL+KsRadWallSS)*Nrad/(B50^2)+(KsRFRadL+KsRFRadSS)*Nfl/(B50^2)</f>
        <v>#DIV/0!</v>
      </c>
      <c r="K50" s="155"/>
    </row>
    <row r="51" customFormat="false" ht="13.2" hidden="false" customHeight="false" outlineLevel="0" collapsed="false">
      <c r="A51" s="132" t="str">
        <f aca="false">A36</f>
        <v>Ceiling</v>
      </c>
      <c r="B51" s="148"/>
      <c r="C51" s="148"/>
      <c r="D51" s="149"/>
      <c r="E51" s="149"/>
      <c r="F51" s="149"/>
      <c r="G51" s="141"/>
      <c r="H51" s="141"/>
      <c r="I51" s="141"/>
      <c r="J51" s="154" t="e">
        <f aca="false">(KsRadWallL+KsRadWallSS)*Nrad/(B51^2)+(KsRFRadL+KsRFRadSS)*Nfl/(B51^2)</f>
        <v>#DIV/0!</v>
      </c>
      <c r="K51" s="155"/>
    </row>
    <row r="52" customFormat="false" ht="13.2" hidden="false" customHeight="false" outlineLevel="0" collapsed="false">
      <c r="J52" s="134"/>
    </row>
    <row r="53" customFormat="false" ht="13.2" hidden="false" customHeight="false" outlineLevel="0" collapsed="false">
      <c r="B53" s="132" t="s">
        <v>160</v>
      </c>
      <c r="C53" s="132" t="s">
        <v>138</v>
      </c>
      <c r="D53" s="132" t="s">
        <v>139</v>
      </c>
      <c r="E53" s="132" t="s">
        <v>63</v>
      </c>
      <c r="F53" s="132" t="s">
        <v>74</v>
      </c>
      <c r="G53" s="132" t="s">
        <v>140</v>
      </c>
      <c r="H53" s="132" t="s">
        <v>141</v>
      </c>
      <c r="I53" s="132" t="s">
        <v>142</v>
      </c>
      <c r="J53" s="146" t="s">
        <v>143</v>
      </c>
      <c r="K53" s="153"/>
    </row>
    <row r="54" customFormat="false" ht="13.2" hidden="false" customHeight="false" outlineLevel="0" collapsed="false">
      <c r="A54" s="132" t="str">
        <f aca="false">A24</f>
        <v>Wall A</v>
      </c>
      <c r="B54" s="148"/>
      <c r="C54" s="148"/>
      <c r="D54" s="149"/>
      <c r="E54" s="149"/>
      <c r="F54" s="149"/>
      <c r="G54" s="141"/>
      <c r="H54" s="141"/>
      <c r="I54" s="141"/>
      <c r="J54" s="154" t="e">
        <f aca="false">(KsRFFluoroL+KsRFFluoroSS)*Nfl/(B54^2)</f>
        <v>#DIV/0!</v>
      </c>
      <c r="K54" s="155"/>
    </row>
    <row r="55" customFormat="false" ht="13.2" hidden="false" customHeight="false" outlineLevel="0" collapsed="false">
      <c r="A55" s="132" t="str">
        <f aca="false">A25</f>
        <v>Door A</v>
      </c>
      <c r="B55" s="148"/>
      <c r="C55" s="148"/>
      <c r="D55" s="149"/>
      <c r="E55" s="149"/>
      <c r="F55" s="149"/>
      <c r="G55" s="141"/>
      <c r="H55" s="141"/>
      <c r="I55" s="141"/>
      <c r="J55" s="154" t="e">
        <f aca="false">(KsRFFluoroL+KsRFFluoroSS)*Nfl/(B55^2)</f>
        <v>#DIV/0!</v>
      </c>
      <c r="K55" s="155"/>
    </row>
    <row r="56" customFormat="false" ht="13.2" hidden="false" customHeight="false" outlineLevel="0" collapsed="false">
      <c r="A56" s="132" t="str">
        <f aca="false">A26</f>
        <v>Wall B</v>
      </c>
      <c r="B56" s="148"/>
      <c r="C56" s="148"/>
      <c r="D56" s="149"/>
      <c r="E56" s="149"/>
      <c r="F56" s="149"/>
      <c r="G56" s="141"/>
      <c r="H56" s="141"/>
      <c r="I56" s="141"/>
      <c r="J56" s="154" t="e">
        <f aca="false">(KsRFFluoroL+KsRFFluoroSS)*Nfl/(B56^2)</f>
        <v>#DIV/0!</v>
      </c>
      <c r="K56" s="155"/>
    </row>
    <row r="57" customFormat="false" ht="13.2" hidden="false" customHeight="false" outlineLevel="0" collapsed="false">
      <c r="A57" s="132" t="str">
        <f aca="false">A27</f>
        <v>Wall C</v>
      </c>
      <c r="B57" s="148"/>
      <c r="C57" s="148"/>
      <c r="D57" s="149"/>
      <c r="E57" s="149"/>
      <c r="F57" s="149"/>
      <c r="G57" s="141"/>
      <c r="H57" s="141"/>
      <c r="I57" s="141"/>
      <c r="J57" s="154" t="e">
        <f aca="false">(KsRFFluoroL+KsRFFluoroSS)*Nfl/(B57^2)</f>
        <v>#DIV/0!</v>
      </c>
      <c r="K57" s="155"/>
    </row>
    <row r="58" customFormat="false" ht="13.2" hidden="false" customHeight="false" outlineLevel="0" collapsed="false">
      <c r="A58" s="132" t="str">
        <f aca="false">A28</f>
        <v>Wall D</v>
      </c>
      <c r="B58" s="148"/>
      <c r="C58" s="148"/>
      <c r="D58" s="149"/>
      <c r="E58" s="149"/>
      <c r="F58" s="149"/>
      <c r="G58" s="141"/>
      <c r="H58" s="141"/>
      <c r="I58" s="141"/>
      <c r="J58" s="154" t="e">
        <f aca="false">(KsRFFluoroL+KsRFFluoroSS)*Nfl/(B58^2)</f>
        <v>#DIV/0!</v>
      </c>
      <c r="K58" s="155"/>
    </row>
    <row r="59" customFormat="false" ht="13.2" hidden="false" customHeight="false" outlineLevel="0" collapsed="false">
      <c r="A59" s="132" t="str">
        <f aca="false">A29</f>
        <v>Door D</v>
      </c>
      <c r="B59" s="148"/>
      <c r="C59" s="148"/>
      <c r="D59" s="149"/>
      <c r="E59" s="149"/>
      <c r="F59" s="149"/>
      <c r="G59" s="141"/>
      <c r="H59" s="141"/>
      <c r="I59" s="141"/>
      <c r="J59" s="154" t="e">
        <f aca="false">(KsRFFluoroL+KsRFFluoroSS)*Nfl/(B59^2)</f>
        <v>#DIV/0!</v>
      </c>
      <c r="K59" s="155"/>
    </row>
    <row r="60" customFormat="false" ht="13.2" hidden="false" customHeight="false" outlineLevel="0" collapsed="false">
      <c r="A60" s="132" t="str">
        <f aca="false">A30</f>
        <v>Wall E</v>
      </c>
      <c r="B60" s="148"/>
      <c r="C60" s="148"/>
      <c r="D60" s="149"/>
      <c r="E60" s="149"/>
      <c r="F60" s="149"/>
      <c r="G60" s="141"/>
      <c r="H60" s="141"/>
      <c r="I60" s="141"/>
      <c r="J60" s="154" t="e">
        <f aca="false">(KsRFFluoroL+KsRFFluoroSS)*Nfl/(B60^2)</f>
        <v>#DIV/0!</v>
      </c>
      <c r="K60" s="155"/>
    </row>
    <row r="61" customFormat="false" ht="13.2" hidden="false" customHeight="false" outlineLevel="0" collapsed="false">
      <c r="A61" s="132" t="str">
        <f aca="false">A31</f>
        <v>Door E1</v>
      </c>
      <c r="B61" s="148"/>
      <c r="C61" s="148"/>
      <c r="D61" s="149"/>
      <c r="E61" s="149"/>
      <c r="F61" s="149"/>
      <c r="G61" s="141"/>
      <c r="H61" s="141"/>
      <c r="I61" s="141"/>
      <c r="J61" s="154" t="e">
        <f aca="false">(KsRFFluoroL+KsRFFluoroSS)*Nfl/(B61^2)</f>
        <v>#DIV/0!</v>
      </c>
      <c r="K61" s="155"/>
    </row>
    <row r="62" customFormat="false" ht="13.2" hidden="false" customHeight="false" outlineLevel="0" collapsed="false">
      <c r="A62" s="132" t="str">
        <f aca="false">A32</f>
        <v>Door E2</v>
      </c>
      <c r="B62" s="148"/>
      <c r="C62" s="148"/>
      <c r="D62" s="149"/>
      <c r="E62" s="149"/>
      <c r="F62" s="149"/>
      <c r="G62" s="141"/>
      <c r="H62" s="141"/>
      <c r="I62" s="141"/>
      <c r="J62" s="154" t="e">
        <f aca="false">(KsRFFluoroL+KsRFFluoroSS)*Nfl/(B62^2)</f>
        <v>#DIV/0!</v>
      </c>
      <c r="K62" s="155"/>
    </row>
    <row r="63" customFormat="false" ht="13.2" hidden="false" customHeight="false" outlineLevel="0" collapsed="false">
      <c r="A63" s="132" t="str">
        <f aca="false">A33</f>
        <v>Control Wall</v>
      </c>
      <c r="B63" s="148"/>
      <c r="C63" s="148"/>
      <c r="D63" s="149"/>
      <c r="E63" s="149"/>
      <c r="F63" s="149"/>
      <c r="G63" s="141"/>
      <c r="H63" s="141"/>
      <c r="I63" s="141"/>
      <c r="J63" s="154" t="e">
        <f aca="false">(KsRFFluoroL+KsRFFluoroSS)*Nfl/(B63^2)</f>
        <v>#DIV/0!</v>
      </c>
      <c r="K63" s="155"/>
    </row>
    <row r="64" customFormat="false" ht="13.2" hidden="false" customHeight="false" outlineLevel="0" collapsed="false">
      <c r="A64" s="132" t="str">
        <f aca="false">A34</f>
        <v>Control Window</v>
      </c>
      <c r="B64" s="148"/>
      <c r="C64" s="148"/>
      <c r="D64" s="149"/>
      <c r="E64" s="149"/>
      <c r="F64" s="149"/>
      <c r="G64" s="141"/>
      <c r="H64" s="141"/>
      <c r="I64" s="141"/>
      <c r="J64" s="154" t="e">
        <f aca="false">(KsRFFluoroL+KsRFFluoroSS)*Nfl/(B64^2)</f>
        <v>#DIV/0!</v>
      </c>
      <c r="K64" s="155"/>
    </row>
    <row r="65" customFormat="false" ht="13.2" hidden="false" customHeight="false" outlineLevel="0" collapsed="false">
      <c r="A65" s="132" t="str">
        <f aca="false">A35</f>
        <v>Floor</v>
      </c>
      <c r="B65" s="148"/>
      <c r="C65" s="148"/>
      <c r="D65" s="149"/>
      <c r="E65" s="149"/>
      <c r="F65" s="149"/>
      <c r="G65" s="141"/>
      <c r="H65" s="141"/>
      <c r="I65" s="141"/>
      <c r="J65" s="154" t="e">
        <f aca="false">(KsRFFluoroL/C65^2+KsRFFluoroFB/B65^2)*Nfl</f>
        <v>#DIV/0!</v>
      </c>
      <c r="K65" s="155"/>
    </row>
    <row r="66" customFormat="false" ht="13.2" hidden="false" customHeight="false" outlineLevel="0" collapsed="false">
      <c r="A66" s="132" t="str">
        <f aca="false">A36</f>
        <v>Ceiling</v>
      </c>
      <c r="B66" s="148"/>
      <c r="C66" s="148"/>
      <c r="D66" s="149"/>
      <c r="E66" s="149"/>
      <c r="F66" s="149"/>
      <c r="G66" s="141"/>
      <c r="H66" s="141"/>
      <c r="I66" s="141"/>
      <c r="J66" s="154" t="e">
        <f aca="false">(KsRFFluoroL/C66^2+KsRFFluoroFB/B66^2)*Nfl</f>
        <v>#DIV/0!</v>
      </c>
      <c r="K66" s="155"/>
    </row>
    <row r="67" customFormat="false" ht="13.2" hidden="false" customHeight="false" outlineLevel="0" collapsed="false">
      <c r="J67" s="134"/>
    </row>
    <row r="68" customFormat="false" ht="13.2" hidden="false" customHeight="false" outlineLevel="0" collapsed="false">
      <c r="G68" s="132" t="s">
        <v>49</v>
      </c>
      <c r="H68" s="132" t="s">
        <v>51</v>
      </c>
      <c r="J68" s="134"/>
    </row>
    <row r="69" customFormat="false" ht="13.2" hidden="false" customHeight="false" outlineLevel="0" collapsed="false">
      <c r="B69" s="132" t="s">
        <v>161</v>
      </c>
      <c r="C69" s="132" t="s">
        <v>162</v>
      </c>
      <c r="D69" s="132" t="s">
        <v>163</v>
      </c>
      <c r="E69" s="132" t="s">
        <v>143</v>
      </c>
      <c r="F69" s="132" t="s">
        <v>145</v>
      </c>
      <c r="G69" s="132" t="s">
        <v>142</v>
      </c>
      <c r="H69" s="132" t="s">
        <v>142</v>
      </c>
      <c r="J69" s="134"/>
    </row>
    <row r="70" customFormat="false" ht="13.2" hidden="false" customHeight="false" outlineLevel="0" collapsed="false">
      <c r="A70" s="132" t="str">
        <f aca="false">IF(A24="","",A24)</f>
        <v>Wall A</v>
      </c>
      <c r="B70" s="149"/>
      <c r="C70" s="149"/>
      <c r="D70" s="156" t="e">
        <f aca="false">B70*$B$15*(C70^2/B54^2)+12/(B54^2)</f>
        <v>#DIV/0!</v>
      </c>
      <c r="E70" s="151" t="e">
        <f aca="false">D70*$B$13/1000</f>
        <v>#DIV/0!</v>
      </c>
      <c r="F70" s="151" t="e">
        <f aca="false">E24/(F24*E70)</f>
        <v>#DIV/0!</v>
      </c>
      <c r="G70" s="156" t="e">
        <f aca="false">LN((F70^(-$L$11)+($K$11/$J$11))/(1+($K$11/$J$11)))/($J$11*$L$11)</f>
        <v>#DIV/0!</v>
      </c>
      <c r="H70" s="157"/>
      <c r="I70" s="158" t="e">
        <f aca="false">LOOKUP(G70,mm_value,minimum_Pb)</f>
        <v>#DIV/0!</v>
      </c>
      <c r="J70" s="134"/>
    </row>
    <row r="71" customFormat="false" ht="13.2" hidden="false" customHeight="false" outlineLevel="0" collapsed="false">
      <c r="A71" s="132" t="str">
        <f aca="false">IF(A25="","",A25)</f>
        <v>Door A</v>
      </c>
      <c r="B71" s="149"/>
      <c r="C71" s="149"/>
      <c r="D71" s="156" t="e">
        <f aca="false">B71*$B$15*(C71^2/B55^2)+12/(B55^2)</f>
        <v>#DIV/0!</v>
      </c>
      <c r="E71" s="151" t="e">
        <f aca="false">D71*$B$13/1000</f>
        <v>#DIV/0!</v>
      </c>
      <c r="F71" s="151" t="e">
        <f aca="false">E25/(F25*E71)</f>
        <v>#DIV/0!</v>
      </c>
      <c r="G71" s="156" t="e">
        <f aca="false">LN((F71^(-$L$11)+($K$11/$J$11))/(1+($K$11/$J$11)))/($J$11*$L$11)</f>
        <v>#DIV/0!</v>
      </c>
      <c r="H71" s="157"/>
      <c r="I71" s="158" t="e">
        <f aca="false">LOOKUP(G71,mm_value,minimum_Pb)</f>
        <v>#DIV/0!</v>
      </c>
      <c r="J71" s="134"/>
    </row>
    <row r="72" customFormat="false" ht="13.2" hidden="false" customHeight="false" outlineLevel="0" collapsed="false">
      <c r="A72" s="132" t="str">
        <f aca="false">IF(A26="","",A26)</f>
        <v>Wall B</v>
      </c>
      <c r="B72" s="149"/>
      <c r="C72" s="149"/>
      <c r="D72" s="156" t="e">
        <f aca="false">B72*$B$15*(C72^2/B56^2)+12/(B56^2)</f>
        <v>#DIV/0!</v>
      </c>
      <c r="E72" s="151" t="e">
        <f aca="false">D72*$B$13/1000</f>
        <v>#DIV/0!</v>
      </c>
      <c r="F72" s="151" t="e">
        <f aca="false">E26/(F26*E72)</f>
        <v>#DIV/0!</v>
      </c>
      <c r="G72" s="156" t="e">
        <f aca="false">LN((F72^(-$L$11)+($K$11/$J$11))/(1+($K$11/$J$11)))/($J$11*$L$11)</f>
        <v>#DIV/0!</v>
      </c>
      <c r="H72" s="157"/>
      <c r="I72" s="158" t="e">
        <f aca="false">LOOKUP(G72,mm_value,minimum_Pb)</f>
        <v>#DIV/0!</v>
      </c>
      <c r="J72" s="134"/>
    </row>
    <row r="73" customFormat="false" ht="13.2" hidden="false" customHeight="false" outlineLevel="0" collapsed="false">
      <c r="A73" s="132" t="str">
        <f aca="false">IF(A27="","",A27)</f>
        <v>Wall C</v>
      </c>
      <c r="B73" s="149"/>
      <c r="C73" s="149"/>
      <c r="D73" s="156" t="e">
        <f aca="false">B73*$B$15*(C73^2/B57^2)+12/(B57^2)</f>
        <v>#DIV/0!</v>
      </c>
      <c r="E73" s="151" t="e">
        <f aca="false">D73*$B$13/1000</f>
        <v>#DIV/0!</v>
      </c>
      <c r="F73" s="151" t="e">
        <f aca="false">E27/(F27*E73)</f>
        <v>#DIV/0!</v>
      </c>
      <c r="G73" s="156" t="e">
        <f aca="false">LN((F73^(-$L$11)+($K$11/$J$11))/(1+($K$11/$J$11)))/($J$11*$L$11)</f>
        <v>#DIV/0!</v>
      </c>
      <c r="H73" s="157"/>
      <c r="I73" s="158" t="e">
        <f aca="false">LOOKUP(G73,mm_value,minimum_Pb)</f>
        <v>#DIV/0!</v>
      </c>
      <c r="J73" s="134"/>
    </row>
    <row r="74" customFormat="false" ht="13.2" hidden="false" customHeight="false" outlineLevel="0" collapsed="false">
      <c r="A74" s="132" t="str">
        <f aca="false">IF(A28="","",A28)</f>
        <v>Wall D</v>
      </c>
      <c r="B74" s="149"/>
      <c r="C74" s="149"/>
      <c r="D74" s="156" t="e">
        <f aca="false">B74*$B$15*(C74^2/B60^2)+12/(B60^2)</f>
        <v>#DIV/0!</v>
      </c>
      <c r="E74" s="151" t="e">
        <f aca="false">D74*$B$13/1000</f>
        <v>#DIV/0!</v>
      </c>
      <c r="F74" s="151" t="e">
        <f aca="false">E30/(F30*E74)</f>
        <v>#DIV/0!</v>
      </c>
      <c r="G74" s="156" t="e">
        <f aca="false">LN((F74^(-$L$11)+($K$11/$J$11))/(1+($K$11/$J$11)))/($J$11*$L$11)</f>
        <v>#DIV/0!</v>
      </c>
      <c r="H74" s="157"/>
      <c r="I74" s="158" t="e">
        <f aca="false">LOOKUP(G74,mm_value,minimum_Pb)</f>
        <v>#DIV/0!</v>
      </c>
      <c r="J74" s="134"/>
    </row>
    <row r="75" customFormat="false" ht="13.2" hidden="false" customHeight="false" outlineLevel="0" collapsed="false">
      <c r="A75" s="132" t="str">
        <f aca="false">IF(A29="","",A29)</f>
        <v>Door D</v>
      </c>
      <c r="B75" s="149"/>
      <c r="C75" s="149"/>
      <c r="D75" s="156" t="e">
        <f aca="false">B75*$B$15*(C75^2/B64^2)+12/(B64^2)</f>
        <v>#DIV/0!</v>
      </c>
      <c r="E75" s="151" t="e">
        <f aca="false">D75*$B$13/1000</f>
        <v>#DIV/0!</v>
      </c>
      <c r="F75" s="151" t="e">
        <f aca="false">E34/(F34*E75)</f>
        <v>#DIV/0!</v>
      </c>
      <c r="G75" s="156" t="e">
        <f aca="false">LN((F75^(-$L$11)+($K$11/$J$11))/(1+($K$11/$J$11)))/($J$11*$L$11)</f>
        <v>#DIV/0!</v>
      </c>
      <c r="H75" s="157"/>
      <c r="I75" s="158" t="e">
        <f aca="false">LOOKUP(G75,mm_value,minimum_Pb)</f>
        <v>#DIV/0!</v>
      </c>
      <c r="J75" s="134"/>
    </row>
    <row r="76" customFormat="false" ht="13.2" hidden="false" customHeight="false" outlineLevel="0" collapsed="false">
      <c r="A76" s="132" t="str">
        <f aca="false">IF(A30="","",A30)</f>
        <v>Wall E</v>
      </c>
      <c r="B76" s="149"/>
      <c r="C76" s="149"/>
      <c r="D76" s="156" t="e">
        <f aca="false">B76*$B$15*(C76^2/B65^2)+12/(B65^2)</f>
        <v>#DIV/0!</v>
      </c>
      <c r="E76" s="151" t="e">
        <f aca="false">D76*$B$13/1000</f>
        <v>#DIV/0!</v>
      </c>
      <c r="F76" s="151" t="e">
        <f aca="false">E35/(F35*E76)</f>
        <v>#DIV/0!</v>
      </c>
      <c r="G76" s="156" t="e">
        <f aca="false">LN((F76^(-$L$11)+($K$11/$J$11))/(1+($K$11/$J$11)))/($J$11*$L$11)</f>
        <v>#DIV/0!</v>
      </c>
      <c r="H76" s="157"/>
      <c r="I76" s="158" t="e">
        <f aca="false">LOOKUP(G76,mm_value,minimum_Pb)</f>
        <v>#DIV/0!</v>
      </c>
      <c r="J76" s="134"/>
    </row>
    <row r="77" customFormat="false" ht="13.2" hidden="false" customHeight="false" outlineLevel="0" collapsed="false">
      <c r="A77" s="132" t="str">
        <f aca="false">IF(A31="","",A31)</f>
        <v>Door E1</v>
      </c>
      <c r="B77" s="149"/>
      <c r="C77" s="149"/>
      <c r="D77" s="156" t="e">
        <f aca="false">B77*$B$15*(C77^2/B66^2)+12/(B66^2)</f>
        <v>#DIV/0!</v>
      </c>
      <c r="E77" s="151" t="e">
        <f aca="false">D77*$B$13/1000</f>
        <v>#DIV/0!</v>
      </c>
      <c r="F77" s="151" t="e">
        <f aca="false">E36/(F36*E77)</f>
        <v>#DIV/0!</v>
      </c>
      <c r="G77" s="156" t="e">
        <f aca="false">LN((F77^(-$L$11)+($K$11/$J$11))/(1+($K$11/$J$11)))/($J$11*$L$11)</f>
        <v>#DIV/0!</v>
      </c>
      <c r="H77" s="157"/>
      <c r="I77" s="158" t="e">
        <f aca="false">LOOKUP(G77,mm_value,minimum_Pb)</f>
        <v>#DIV/0!</v>
      </c>
      <c r="Q77" s="6"/>
      <c r="R77" s="159"/>
    </row>
    <row r="78" customFormat="false" ht="13.2" hidden="false" customHeight="false" outlineLevel="0" collapsed="false">
      <c r="A78" s="132" t="str">
        <f aca="false">IF(A32="","",A32)</f>
        <v>Door E2</v>
      </c>
      <c r="B78" s="149"/>
      <c r="C78" s="149"/>
      <c r="D78" s="156" t="e">
        <f aca="false">B78*$B$15*(C78^2/D68^2)+12/(D68^2)</f>
        <v>#DIV/0!</v>
      </c>
      <c r="E78" s="151" t="e">
        <f aca="false">D78*$B$13/1000</f>
        <v>#DIV/0!</v>
      </c>
      <c r="F78" s="151" t="e">
        <f aca="false">F68/(G68*E78)</f>
        <v>#VALUE!</v>
      </c>
      <c r="G78" s="156" t="e">
        <f aca="false">LN((F78^(-$L$11)+($K$11/$J$11))/(1+($K$11/$J$11)))/($J$11*$L$11)</f>
        <v>#VALUE!</v>
      </c>
      <c r="H78" s="157"/>
      <c r="I78" s="158" t="e">
        <f aca="false">LOOKUP(G78,mm_value,minimum_Pb)</f>
        <v>#VALUE!</v>
      </c>
      <c r="Q78" s="6"/>
      <c r="R78" s="159"/>
    </row>
    <row r="79" customFormat="false" ht="13.2" hidden="false" customHeight="false" outlineLevel="0" collapsed="false">
      <c r="A79" s="132" t="str">
        <f aca="false">IF(A33="","",A33)</f>
        <v>Control Wall</v>
      </c>
      <c r="B79" s="149"/>
      <c r="C79" s="149"/>
      <c r="D79" s="156" t="e">
        <f aca="false">B79*$B$15*(C79^2/D69^2)+12/(D69^2)</f>
        <v>#VALUE!</v>
      </c>
      <c r="E79" s="151" t="e">
        <f aca="false">D79*$B$13/1000</f>
        <v>#VALUE!</v>
      </c>
      <c r="F79" s="151" t="e">
        <f aca="false">F69/(G69*E79)</f>
        <v>#VALUE!</v>
      </c>
      <c r="G79" s="156" t="e">
        <f aca="false">LN((F79^(-$L$11)+($K$11/$J$11))/(1+($K$11/$J$11)))/($J$11*$L$11)</f>
        <v>#VALUE!</v>
      </c>
      <c r="H79" s="157"/>
      <c r="I79" s="158" t="e">
        <f aca="false">LOOKUP(G79,mm_value,minimum_Pb)</f>
        <v>#VALUE!</v>
      </c>
      <c r="Q79" s="6"/>
      <c r="R79" s="159"/>
    </row>
    <row r="80" customFormat="false" ht="13.2" hidden="false" customHeight="false" outlineLevel="0" collapsed="false">
      <c r="A80" s="132" t="str">
        <f aca="false">IF(A34="","",A34)</f>
        <v>Control Window</v>
      </c>
      <c r="B80" s="149"/>
      <c r="C80" s="149"/>
      <c r="D80" s="156" t="e">
        <f aca="false">B80*$B$15*(C80^2/D70^2)+12/(D70^2)</f>
        <v>#DIV/0!</v>
      </c>
      <c r="E80" s="151" t="e">
        <f aca="false">D80*$B$13/1000</f>
        <v>#DIV/0!</v>
      </c>
      <c r="F80" s="151" t="e">
        <f aca="false">F70/(G70*E80)</f>
        <v>#DIV/0!</v>
      </c>
      <c r="G80" s="156" t="e">
        <f aca="false">LN((F80^(-$L$11)+($K$11/$J$11))/(1+($K$11/$J$11)))/($J$11*$L$11)</f>
        <v>#DIV/0!</v>
      </c>
      <c r="H80" s="157"/>
      <c r="I80" s="158" t="e">
        <f aca="false">LOOKUP(G80,mm_value,minimum_Pb)</f>
        <v>#DIV/0!</v>
      </c>
      <c r="Q80" s="6"/>
      <c r="R80" s="159"/>
    </row>
    <row r="81" customFormat="false" ht="13.2" hidden="false" customHeight="false" outlineLevel="0" collapsed="false">
      <c r="A81" s="132" t="str">
        <f aca="false">IF(A35="","",A35)</f>
        <v>Floor</v>
      </c>
      <c r="B81" s="149"/>
      <c r="C81" s="149"/>
      <c r="D81" s="156" t="e">
        <f aca="false">B81*$B$15*(C81^2/D71^2)+12/(D71^2)</f>
        <v>#DIV/0!</v>
      </c>
      <c r="E81" s="151" t="e">
        <f aca="false">D81*$B$13/1000</f>
        <v>#DIV/0!</v>
      </c>
      <c r="F81" s="151" t="e">
        <f aca="false">F71/(G71*E81)</f>
        <v>#DIV/0!</v>
      </c>
      <c r="G81" s="156" t="e">
        <f aca="false">LN((F81^(-$L$11)+($K$11/$J$11))/(1+($K$11/$J$11)))/($J$11*$L$11)</f>
        <v>#DIV/0!</v>
      </c>
      <c r="H81" s="157"/>
      <c r="I81" s="158" t="e">
        <f aca="false">LOOKUP(G81,mm_value,minimum_Pb)</f>
        <v>#DIV/0!</v>
      </c>
      <c r="Q81" s="6"/>
      <c r="R81" s="159"/>
    </row>
    <row r="82" customFormat="false" ht="13.2" hidden="false" customHeight="false" outlineLevel="0" collapsed="false">
      <c r="A82" s="132" t="str">
        <f aca="false">IF(A36="","",A36)</f>
        <v>Ceiling</v>
      </c>
      <c r="B82" s="149"/>
      <c r="C82" s="149"/>
      <c r="D82" s="156" t="e">
        <f aca="false">B82*$B$15*(C82^2/D72^2)+12/(D72^2)</f>
        <v>#DIV/0!</v>
      </c>
      <c r="E82" s="151" t="e">
        <f aca="false">D82*$B$13/1000</f>
        <v>#DIV/0!</v>
      </c>
      <c r="F82" s="151" t="e">
        <f aca="false">F72/(G72*E82)</f>
        <v>#DIV/0!</v>
      </c>
      <c r="G82" s="156" t="e">
        <f aca="false">LN((F82^(-$L$11)+($K$11/$J$11))/(1+($K$11/$J$11)))/($J$11*$L$11)</f>
        <v>#DIV/0!</v>
      </c>
      <c r="H82" s="157"/>
      <c r="I82" s="158" t="e">
        <f aca="false">LOOKUP(G82,mm_value,minimum_Pb)</f>
        <v>#DIV/0!</v>
      </c>
      <c r="Q82" s="6"/>
      <c r="R82" s="159"/>
    </row>
  </sheetData>
  <mergeCells count="7">
    <mergeCell ref="B2:C2"/>
    <mergeCell ref="B5:C5"/>
    <mergeCell ref="D5:F5"/>
    <mergeCell ref="J5:N5"/>
    <mergeCell ref="J9:N9"/>
    <mergeCell ref="J13:N13"/>
    <mergeCell ref="J17:N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9.3125" defaultRowHeight="13.2" zeroHeight="false" outlineLevelRow="0" outlineLevelCol="0"/>
  <cols>
    <col collapsed="false" customWidth="true" hidden="false" outlineLevel="0" max="14" min="1" style="160" width="12.78"/>
    <col collapsed="false" customWidth="true" hidden="false" outlineLevel="0" max="16" min="15" style="160" width="8.67"/>
    <col collapsed="false" customWidth="true" hidden="false" outlineLevel="0" max="17" min="17" style="161" width="8.67"/>
    <col collapsed="false" customWidth="true" hidden="false" outlineLevel="0" max="18" min="18" style="162" width="8.67"/>
    <col collapsed="false" customWidth="true" hidden="false" outlineLevel="0" max="20" min="19" style="160" width="8.67"/>
    <col collapsed="false" customWidth="false" hidden="false" outlineLevel="0" max="1024" min="21" style="160" width="9.33"/>
  </cols>
  <sheetData>
    <row r="1" customFormat="false" ht="12.8" hidden="false" customHeight="false" outlineLevel="0" collapsed="false">
      <c r="A1" s="161" t="s">
        <v>2</v>
      </c>
      <c r="B1" s="162"/>
      <c r="Q1" s="136" t="s">
        <v>164</v>
      </c>
      <c r="R1" s="136"/>
      <c r="U1" s="160" t="s">
        <v>165</v>
      </c>
      <c r="V1" s="160" t="s">
        <v>166</v>
      </c>
    </row>
    <row r="2" customFormat="false" ht="12.8" hidden="false" customHeight="false" outlineLevel="0" collapsed="false">
      <c r="A2" s="161" t="s">
        <v>8</v>
      </c>
      <c r="B2" s="163"/>
      <c r="C2" s="163"/>
      <c r="Q2" s="161" t="s">
        <v>167</v>
      </c>
      <c r="R2" s="162" t="s">
        <v>168</v>
      </c>
      <c r="U2" s="160" t="s">
        <v>132</v>
      </c>
      <c r="V2" s="160" t="s">
        <v>132</v>
      </c>
    </row>
    <row r="3" customFormat="false" ht="13.2" hidden="false" customHeight="false" outlineLevel="0" collapsed="false">
      <c r="A3" s="161" t="s">
        <v>9</v>
      </c>
      <c r="B3" s="162" t="s">
        <v>106</v>
      </c>
      <c r="P3" s="160" t="n">
        <v>2019</v>
      </c>
      <c r="Q3" s="161" t="n">
        <f aca="false">SUM(62,52,69,81,54,66,82,66,55,65,61,35)</f>
        <v>748</v>
      </c>
      <c r="R3" s="162" t="n">
        <f aca="false">SUM(41,41,53,55,47,69,77,57,38,56,50,49)</f>
        <v>633</v>
      </c>
      <c r="U3" s="160" t="n">
        <v>7621.5</v>
      </c>
      <c r="V3" s="160" t="n">
        <v>2492</v>
      </c>
    </row>
    <row r="4" customFormat="false" ht="13.2" hidden="false" customHeight="false" outlineLevel="0" collapsed="false">
      <c r="P4" s="160" t="s">
        <v>169</v>
      </c>
      <c r="Q4" s="161" t="n">
        <f aca="false">Q3/52</f>
        <v>14.3846153846154</v>
      </c>
      <c r="R4" s="162" t="n">
        <f aca="false">R3/52</f>
        <v>12.1730769230769</v>
      </c>
      <c r="U4" s="160" t="n">
        <v>5987.4</v>
      </c>
      <c r="V4" s="160" t="n">
        <v>2097</v>
      </c>
    </row>
    <row r="5" customFormat="false" ht="12.8" hidden="false" customHeight="false" outlineLevel="0" collapsed="false">
      <c r="A5" s="160" t="s">
        <v>127</v>
      </c>
      <c r="B5" s="164"/>
      <c r="U5" s="160" t="n">
        <v>5016.1</v>
      </c>
      <c r="V5" s="160" t="n">
        <v>893.58</v>
      </c>
    </row>
    <row r="6" customFormat="false" ht="12.8" hidden="false" customHeight="false" outlineLevel="0" collapsed="false">
      <c r="A6" s="160" t="s">
        <v>170</v>
      </c>
      <c r="B6" s="165"/>
      <c r="C6" s="160" t="s">
        <v>132</v>
      </c>
      <c r="D6" s="166" t="str">
        <f aca="false">IF(B6="","",B6/VLOOKUP(E6,$P$7:$Q$12,2,FALSE()))</f>
        <v/>
      </c>
      <c r="E6" s="167" t="s">
        <v>171</v>
      </c>
      <c r="P6" s="168" t="s">
        <v>172</v>
      </c>
      <c r="Q6" s="168"/>
      <c r="U6" s="160" t="n">
        <v>4706.9</v>
      </c>
      <c r="V6" s="160" t="n">
        <v>1113.1</v>
      </c>
    </row>
    <row r="7" customFormat="false" ht="12.8" hidden="false" customHeight="false" outlineLevel="0" collapsed="false">
      <c r="A7" s="160" t="s">
        <v>173</v>
      </c>
      <c r="B7" s="165"/>
      <c r="C7" s="160" t="s">
        <v>132</v>
      </c>
      <c r="D7" s="169" t="str">
        <f aca="false">IF(B7="","",B7/VLOOKUP(E7,$P$7:$Q$12,2,FALSE()))</f>
        <v/>
      </c>
      <c r="E7" s="167" t="s">
        <v>171</v>
      </c>
      <c r="P7" s="170"/>
      <c r="Q7" s="170" t="s">
        <v>174</v>
      </c>
      <c r="U7" s="160" t="n">
        <v>8835</v>
      </c>
      <c r="V7" s="160" t="n">
        <v>3051.3</v>
      </c>
    </row>
    <row r="8" customFormat="false" ht="13.2" hidden="false" customHeight="false" outlineLevel="0" collapsed="false">
      <c r="P8" s="170" t="s">
        <v>175</v>
      </c>
      <c r="Q8" s="170" t="n">
        <v>0.1</v>
      </c>
      <c r="U8" s="160" t="n">
        <v>13859</v>
      </c>
      <c r="V8" s="160" t="n">
        <v>3049.1</v>
      </c>
    </row>
    <row r="9" customFormat="false" ht="13.2" hidden="false" customHeight="false" outlineLevel="0" collapsed="false">
      <c r="P9" s="170" t="s">
        <v>176</v>
      </c>
      <c r="Q9" s="170" t="n">
        <v>1</v>
      </c>
      <c r="U9" s="160" t="n">
        <v>6427.5</v>
      </c>
      <c r="V9" s="160" t="n">
        <v>1677.3</v>
      </c>
    </row>
    <row r="10" customFormat="false" ht="26.4" hidden="false" customHeight="false" outlineLevel="0" collapsed="false">
      <c r="E10" s="136" t="s">
        <v>177</v>
      </c>
      <c r="F10" s="136"/>
      <c r="G10" s="171" t="s">
        <v>178</v>
      </c>
      <c r="H10" s="172" t="s">
        <v>179</v>
      </c>
      <c r="I10" s="136" t="s">
        <v>180</v>
      </c>
      <c r="J10" s="136"/>
      <c r="K10" s="171" t="s">
        <v>178</v>
      </c>
      <c r="L10" s="172" t="s">
        <v>179</v>
      </c>
      <c r="P10" s="170" t="s">
        <v>181</v>
      </c>
      <c r="Q10" s="170" t="n">
        <v>10</v>
      </c>
      <c r="U10" s="160" t="n">
        <v>5911.4</v>
      </c>
      <c r="V10" s="160" t="n">
        <v>960.17</v>
      </c>
    </row>
    <row r="11" customFormat="false" ht="13.2" hidden="false" customHeight="false" outlineLevel="0" collapsed="false">
      <c r="B11" s="160" t="s">
        <v>182</v>
      </c>
      <c r="C11" s="160" t="s">
        <v>183</v>
      </c>
      <c r="D11" s="160" t="s">
        <v>74</v>
      </c>
      <c r="E11" s="160" t="s">
        <v>184</v>
      </c>
      <c r="F11" s="160" t="s">
        <v>185</v>
      </c>
      <c r="G11" s="173"/>
      <c r="H11" s="160" t="s">
        <v>184</v>
      </c>
      <c r="I11" s="160" t="s">
        <v>184</v>
      </c>
      <c r="J11" s="160" t="s">
        <v>185</v>
      </c>
      <c r="K11" s="171"/>
      <c r="L11" s="160" t="s">
        <v>184</v>
      </c>
      <c r="P11" s="170" t="s">
        <v>171</v>
      </c>
      <c r="Q11" s="170" t="n">
        <v>100</v>
      </c>
      <c r="U11" s="160" t="n">
        <v>13179</v>
      </c>
      <c r="V11" s="160" t="n">
        <v>2501.6</v>
      </c>
    </row>
    <row r="12" customFormat="false" ht="12.8" hidden="false" customHeight="false" outlineLevel="0" collapsed="false">
      <c r="A12" s="160" t="s">
        <v>149</v>
      </c>
      <c r="B12" s="174"/>
      <c r="C12" s="175"/>
      <c r="D12" s="175"/>
      <c r="E12" s="175"/>
      <c r="F12" s="175"/>
      <c r="G12" s="176" t="str">
        <f aca="false">IF(OR(B12="",F12=""),"",(F12/B12)^2)</f>
        <v/>
      </c>
      <c r="H12" s="176" t="str">
        <f aca="false">IF(E12="","",E12*G12)</f>
        <v/>
      </c>
      <c r="I12" s="177"/>
      <c r="J12" s="175"/>
      <c r="K12" s="176" t="str">
        <f aca="false">IF(OR(B12="",J12=""),"",(J12/B12)^2)</f>
        <v/>
      </c>
      <c r="L12" s="176" t="str">
        <f aca="false">IF(I12="","",I12*K12)</f>
        <v/>
      </c>
      <c r="P12" s="170" t="s">
        <v>174</v>
      </c>
      <c r="Q12" s="170" t="n">
        <v>1</v>
      </c>
      <c r="U12" s="160" t="n">
        <v>4248.3</v>
      </c>
      <c r="V12" s="160" t="n">
        <v>696.59</v>
      </c>
    </row>
    <row r="13" customFormat="false" ht="12.8" hidden="false" customHeight="false" outlineLevel="0" collapsed="false">
      <c r="A13" s="160" t="s">
        <v>146</v>
      </c>
      <c r="B13" s="174"/>
      <c r="C13" s="175"/>
      <c r="D13" s="175"/>
      <c r="E13" s="175"/>
      <c r="F13" s="175"/>
      <c r="G13" s="176" t="str">
        <f aca="false">IF(OR(B13="",F13=""),"",(F13/B13)^2)</f>
        <v/>
      </c>
      <c r="H13" s="176" t="str">
        <f aca="false">IF(E13="","",E13*G13)</f>
        <v/>
      </c>
      <c r="I13" s="177"/>
      <c r="J13" s="175"/>
      <c r="K13" s="176" t="str">
        <f aca="false">IF(OR(B13="",J13=""),"",(J13/B13)^2)</f>
        <v/>
      </c>
      <c r="L13" s="176" t="str">
        <f aca="false">IF(I13="","",I13*K13)</f>
        <v/>
      </c>
      <c r="U13" s="160" t="n">
        <v>3832.8</v>
      </c>
      <c r="V13" s="160" t="n">
        <v>560.65</v>
      </c>
    </row>
    <row r="14" customFormat="false" ht="12.8" hidden="false" customHeight="false" outlineLevel="0" collapsed="false">
      <c r="A14" s="160" t="s">
        <v>108</v>
      </c>
      <c r="B14" s="174"/>
      <c r="C14" s="175"/>
      <c r="D14" s="175"/>
      <c r="E14" s="175"/>
      <c r="F14" s="175"/>
      <c r="G14" s="176" t="str">
        <f aca="false">IF(OR(B14="",F14=""),"",(F14/B14)^2)</f>
        <v/>
      </c>
      <c r="H14" s="176" t="str">
        <f aca="false">IF(E14="","",E14*G14)</f>
        <v/>
      </c>
      <c r="I14" s="177"/>
      <c r="J14" s="175"/>
      <c r="K14" s="176" t="str">
        <f aca="false">IF(OR(B14="",J14=""),"",(J14/B14)^2)</f>
        <v/>
      </c>
      <c r="L14" s="176" t="str">
        <f aca="false">IF(I14="","",I14*K14)</f>
        <v/>
      </c>
      <c r="O14" s="142" t="s">
        <v>186</v>
      </c>
      <c r="P14" s="142"/>
      <c r="Q14" s="142"/>
      <c r="R14" s="142"/>
      <c r="S14" s="142"/>
      <c r="U14" s="160" t="n">
        <v>3873.1</v>
      </c>
      <c r="V14" s="160" t="n">
        <v>843.85</v>
      </c>
    </row>
    <row r="15" customFormat="false" ht="12.8" hidden="false" customHeight="false" outlineLevel="0" collapsed="false">
      <c r="A15" s="160" t="s">
        <v>124</v>
      </c>
      <c r="B15" s="174"/>
      <c r="C15" s="175"/>
      <c r="D15" s="175"/>
      <c r="E15" s="175"/>
      <c r="F15" s="175"/>
      <c r="G15" s="176" t="str">
        <f aca="false">IF(OR(B15="",F15=""),"",(F15/B15)^2)</f>
        <v/>
      </c>
      <c r="H15" s="176" t="str">
        <f aca="false">IF(E15="","",E15*G15)</f>
        <v/>
      </c>
      <c r="I15" s="177"/>
      <c r="J15" s="175"/>
      <c r="K15" s="176" t="str">
        <f aca="false">IF(OR(B15="",J15=""),"",(J15/B15)^2)</f>
        <v/>
      </c>
      <c r="L15" s="176" t="str">
        <f aca="false">IF(I15="","",I15*K15)</f>
        <v/>
      </c>
      <c r="O15" s="178" t="s">
        <v>41</v>
      </c>
      <c r="P15" s="178" t="s">
        <v>42</v>
      </c>
      <c r="Q15" s="178" t="s">
        <v>43</v>
      </c>
      <c r="R15" s="139" t="s">
        <v>117</v>
      </c>
      <c r="S15" s="139" t="s">
        <v>118</v>
      </c>
      <c r="U15" s="160" t="n">
        <v>5724</v>
      </c>
      <c r="V15" s="160" t="n">
        <v>1437.3</v>
      </c>
    </row>
    <row r="16" customFormat="false" ht="12.8" hidden="false" customHeight="false" outlineLevel="0" collapsed="false">
      <c r="A16" s="160" t="s">
        <v>187</v>
      </c>
      <c r="B16" s="174"/>
      <c r="C16" s="175"/>
      <c r="D16" s="175"/>
      <c r="E16" s="175"/>
      <c r="F16" s="175"/>
      <c r="G16" s="176" t="str">
        <f aca="false">IF(OR(B16="",F16=""),"",(F16/B16)^2)</f>
        <v/>
      </c>
      <c r="H16" s="176" t="str">
        <f aca="false">IF(E16="","",E16*G16)</f>
        <v/>
      </c>
      <c r="I16" s="177"/>
      <c r="J16" s="175"/>
      <c r="K16" s="176" t="str">
        <f aca="false">IF(OR(B16="",J16=""),"",(J16/B16)^2)</f>
        <v/>
      </c>
      <c r="L16" s="176" t="str">
        <f aca="false">IF(I16="","",I16*K16)</f>
        <v/>
      </c>
      <c r="N16" s="160" t="s">
        <v>15</v>
      </c>
      <c r="O16" s="179" t="n">
        <v>2.661</v>
      </c>
      <c r="P16" s="179" t="n">
        <v>19.54</v>
      </c>
      <c r="Q16" s="179" t="n">
        <v>0.5094</v>
      </c>
      <c r="R16" s="179" t="n">
        <v>7.34310409620443</v>
      </c>
      <c r="S16" s="179" t="n">
        <v>1.3555134</v>
      </c>
      <c r="U16" s="160" t="n">
        <v>10504</v>
      </c>
      <c r="V16" s="160" t="n">
        <v>882.74</v>
      </c>
    </row>
    <row r="17" customFormat="false" ht="12.8" hidden="false" customHeight="false" outlineLevel="0" collapsed="false">
      <c r="A17" s="160" t="s">
        <v>188</v>
      </c>
      <c r="B17" s="174"/>
      <c r="C17" s="175"/>
      <c r="D17" s="175"/>
      <c r="E17" s="175"/>
      <c r="F17" s="175"/>
      <c r="G17" s="176" t="str">
        <f aca="false">IF(OR(B17="",F17=""),"",(F17/B17)^2)</f>
        <v/>
      </c>
      <c r="H17" s="176" t="str">
        <f aca="false">IF(E17="","",E17*G17)</f>
        <v/>
      </c>
      <c r="I17" s="177"/>
      <c r="J17" s="175"/>
      <c r="K17" s="176" t="str">
        <f aca="false">IF(OR(B17="",J17=""),"",(J17/B17)^2)</f>
        <v/>
      </c>
      <c r="L17" s="176" t="str">
        <f aca="false">IF(I17="","",I17*K17)</f>
        <v/>
      </c>
      <c r="N17" s="160" t="s">
        <v>51</v>
      </c>
      <c r="O17" s="179" t="n">
        <v>0.04292</v>
      </c>
      <c r="P17" s="179" t="n">
        <v>0.1538</v>
      </c>
      <c r="Q17" s="179" t="n">
        <v>0.4236</v>
      </c>
      <c r="R17" s="179" t="n">
        <v>3.5834109972041</v>
      </c>
      <c r="S17" s="179" t="n">
        <v>0.018180912</v>
      </c>
      <c r="U17" s="160" t="n">
        <v>11838</v>
      </c>
      <c r="V17" s="160" t="n">
        <v>3431.2</v>
      </c>
    </row>
    <row r="18" customFormat="false" ht="12.8" hidden="false" customHeight="false" outlineLevel="0" collapsed="false">
      <c r="A18" s="160" t="s">
        <v>153</v>
      </c>
      <c r="B18" s="174"/>
      <c r="C18" s="175"/>
      <c r="D18" s="175"/>
      <c r="E18" s="175"/>
      <c r="F18" s="175"/>
      <c r="G18" s="176" t="str">
        <f aca="false">IF(OR(B18="",F18=""),"",(F18/B18)^2)</f>
        <v/>
      </c>
      <c r="H18" s="176" t="str">
        <f aca="false">IF(E18="","",E18*G18)</f>
        <v/>
      </c>
      <c r="I18" s="177"/>
      <c r="J18" s="175"/>
      <c r="K18" s="176" t="str">
        <f aca="false">IF(OR(B18="",J18=""),"",(J18/B18)^2)</f>
        <v/>
      </c>
      <c r="L18" s="176" t="str">
        <f aca="false">IF(I18="","",I18*K18)</f>
        <v/>
      </c>
      <c r="U18" s="160" t="n">
        <v>6734</v>
      </c>
      <c r="V18" s="160" t="n">
        <v>928.06</v>
      </c>
    </row>
    <row r="19" customFormat="false" ht="12.8" hidden="false" customHeight="false" outlineLevel="0" collapsed="false">
      <c r="A19" s="160" t="s">
        <v>157</v>
      </c>
      <c r="B19" s="174"/>
      <c r="C19" s="175"/>
      <c r="D19" s="175"/>
      <c r="E19" s="175"/>
      <c r="F19" s="175"/>
      <c r="G19" s="176" t="str">
        <f aca="false">IF(OR(B19="",F19=""),"",(F19/B19)^2)</f>
        <v/>
      </c>
      <c r="H19" s="176" t="str">
        <f aca="false">IF(E19="","",E19*G19)</f>
        <v/>
      </c>
      <c r="I19" s="177"/>
      <c r="J19" s="175"/>
      <c r="K19" s="176" t="str">
        <f aca="false">IF(OR(B19="",J19=""),"",(J19/B19)^2)</f>
        <v/>
      </c>
      <c r="L19" s="176" t="str">
        <f aca="false">IF(I19="","",I19*K19)</f>
        <v/>
      </c>
      <c r="U19" s="160" t="n">
        <v>8790.9</v>
      </c>
      <c r="V19" s="160" t="n">
        <v>2641.9</v>
      </c>
    </row>
    <row r="20" customFormat="false" ht="12.8" hidden="false" customHeight="false" outlineLevel="0" collapsed="false">
      <c r="A20" s="160" t="s">
        <v>158</v>
      </c>
      <c r="B20" s="174"/>
      <c r="C20" s="175"/>
      <c r="D20" s="175"/>
      <c r="E20" s="175"/>
      <c r="F20" s="175"/>
      <c r="G20" s="176" t="str">
        <f aca="false">IF(OR(B20="",F20=""),"",(F20/B20)^2)</f>
        <v/>
      </c>
      <c r="H20" s="176" t="str">
        <f aca="false">IF(E20="","",E20*G20)</f>
        <v/>
      </c>
      <c r="I20" s="177"/>
      <c r="J20" s="175"/>
      <c r="K20" s="176" t="str">
        <f aca="false">IF(OR(B20="",J20=""),"",(J20/B20)^2)</f>
        <v/>
      </c>
      <c r="L20" s="176" t="str">
        <f aca="false">IF(I20="","",I20*K20)</f>
        <v/>
      </c>
      <c r="U20" s="160" t="n">
        <v>9545</v>
      </c>
      <c r="V20" s="160" t="n">
        <v>2048.1</v>
      </c>
    </row>
    <row r="21" customFormat="false" ht="12.8" hidden="false" customHeight="false" outlineLevel="0" collapsed="false">
      <c r="A21" s="160" t="s">
        <v>147</v>
      </c>
      <c r="B21" s="174"/>
      <c r="C21" s="175"/>
      <c r="D21" s="175"/>
      <c r="E21" s="175"/>
      <c r="F21" s="175"/>
      <c r="G21" s="176" t="str">
        <f aca="false">IF(OR(B21="",F21=""),"",(F21/B21)^2)</f>
        <v/>
      </c>
      <c r="H21" s="176" t="str">
        <f aca="false">IF(E21="","",E21*G21)</f>
        <v/>
      </c>
      <c r="I21" s="177"/>
      <c r="J21" s="175"/>
      <c r="K21" s="176" t="str">
        <f aca="false">IF(OR(B21="",J21=""),"",(J21/B21)^2)</f>
        <v/>
      </c>
      <c r="L21" s="176" t="str">
        <f aca="false">IF(I21="","",I21*K21)</f>
        <v/>
      </c>
      <c r="U21" s="160" t="n">
        <v>16093</v>
      </c>
      <c r="V21" s="160" t="n">
        <v>5085.4</v>
      </c>
    </row>
    <row r="22" s="160" customFormat="true" ht="12.75" hidden="false" customHeight="true" outlineLevel="0" collapsed="false">
      <c r="A22" s="160" t="s">
        <v>151</v>
      </c>
      <c r="B22" s="174"/>
      <c r="C22" s="175"/>
      <c r="D22" s="175"/>
      <c r="E22" s="175"/>
      <c r="F22" s="175"/>
      <c r="G22" s="176" t="str">
        <f aca="false">IF(OR(B22="",F22=""),"",(F22/B22)^2)</f>
        <v/>
      </c>
      <c r="H22" s="176" t="str">
        <f aca="false">IF(E22="","",E22*G22)</f>
        <v/>
      </c>
      <c r="I22" s="177"/>
      <c r="J22" s="175"/>
      <c r="K22" s="176" t="str">
        <f aca="false">IF(OR(B22="",J22=""),"",(J22/B22)^2)</f>
        <v/>
      </c>
      <c r="L22" s="176" t="str">
        <f aca="false">IF(I22="","",I22*K22)</f>
        <v/>
      </c>
      <c r="Q22" s="136"/>
      <c r="U22" s="160" t="n">
        <v>6166.3</v>
      </c>
      <c r="V22" s="160" t="n">
        <v>1244.6</v>
      </c>
    </row>
    <row r="23" customFormat="false" ht="12.8" hidden="false" customHeight="false" outlineLevel="0" collapsed="false">
      <c r="A23" s="160" t="s">
        <v>189</v>
      </c>
      <c r="B23" s="174"/>
      <c r="C23" s="175"/>
      <c r="D23" s="175"/>
      <c r="E23" s="175"/>
      <c r="F23" s="175"/>
      <c r="G23" s="176" t="str">
        <f aca="false">IF(OR(B23="",F23=""),"",(F23/B23)^2)</f>
        <v/>
      </c>
      <c r="H23" s="176" t="str">
        <f aca="false">IF(E23="","",E23*G23)</f>
        <v/>
      </c>
      <c r="I23" s="177"/>
      <c r="J23" s="175"/>
      <c r="K23" s="176" t="str">
        <f aca="false">IF(OR(B23="",J23=""),"",(J23/B23)^2)</f>
        <v/>
      </c>
      <c r="L23" s="176" t="str">
        <f aca="false">IF(I23="","",I23*K23)</f>
        <v/>
      </c>
      <c r="O23" s="21"/>
      <c r="P23" s="21"/>
      <c r="Q23" s="21"/>
      <c r="R23" s="21"/>
      <c r="U23" s="160" t="n">
        <v>1502.5</v>
      </c>
      <c r="V23" s="160" t="n">
        <v>177.8</v>
      </c>
    </row>
    <row r="24" customFormat="false" ht="12.8" hidden="false" customHeight="false" outlineLevel="0" collapsed="false">
      <c r="A24" s="160" t="s">
        <v>190</v>
      </c>
      <c r="B24" s="174"/>
      <c r="C24" s="175"/>
      <c r="D24" s="175"/>
      <c r="E24" s="175"/>
      <c r="F24" s="175"/>
      <c r="G24" s="176" t="str">
        <f aca="false">IF(OR(B24="",F24=""),"",(F24/B24)^2)</f>
        <v/>
      </c>
      <c r="H24" s="176" t="str">
        <f aca="false">IF(E24="","",E24*G24)</f>
        <v/>
      </c>
      <c r="I24" s="177"/>
      <c r="J24" s="175"/>
      <c r="K24" s="176" t="str">
        <f aca="false">IF(OR(B24="",J24=""),"",(J24/B24)^2)</f>
        <v/>
      </c>
      <c r="L24" s="176" t="str">
        <f aca="false">IF(I24="","",I24*K24)</f>
        <v/>
      </c>
      <c r="O24" s="21"/>
      <c r="P24" s="21"/>
      <c r="Q24" s="21"/>
      <c r="R24" s="21"/>
      <c r="U24" s="160" t="n">
        <v>5005.2</v>
      </c>
      <c r="V24" s="160" t="n">
        <v>1536.8</v>
      </c>
    </row>
    <row r="25" customFormat="false" ht="13.2" hidden="false" customHeight="false" outlineLevel="0" collapsed="false">
      <c r="O25" s="21"/>
      <c r="P25" s="21"/>
      <c r="Q25" s="21"/>
      <c r="R25" s="21"/>
      <c r="U25" s="160" t="n">
        <v>13243</v>
      </c>
      <c r="V25" s="160" t="n">
        <v>3494.7</v>
      </c>
    </row>
    <row r="26" customFormat="false" ht="13.2" hidden="false" customHeight="false" outlineLevel="0" collapsed="false">
      <c r="B26" s="160" t="s">
        <v>191</v>
      </c>
      <c r="C26" s="160" t="s">
        <v>192</v>
      </c>
      <c r="O26" s="21"/>
      <c r="P26" s="21"/>
      <c r="Q26" s="21"/>
      <c r="R26" s="21"/>
      <c r="U26" s="160" t="n">
        <v>12704</v>
      </c>
      <c r="V26" s="160" t="n">
        <v>2879.6</v>
      </c>
    </row>
    <row r="27" customFormat="false" ht="13.2" hidden="false" customHeight="false" outlineLevel="0" collapsed="false">
      <c r="B27" s="160" t="s">
        <v>193</v>
      </c>
      <c r="C27" s="160" t="s">
        <v>193</v>
      </c>
      <c r="O27" s="21"/>
      <c r="P27" s="21"/>
      <c r="Q27" s="21"/>
      <c r="R27" s="21"/>
      <c r="U27" s="160" t="n">
        <v>8214.7</v>
      </c>
      <c r="V27" s="160" t="n">
        <v>958.97</v>
      </c>
    </row>
    <row r="28" customFormat="false" ht="13.2" hidden="false" customHeight="false" outlineLevel="0" collapsed="false">
      <c r="B28" s="160" t="s">
        <v>194</v>
      </c>
      <c r="C28" s="160" t="s">
        <v>194</v>
      </c>
      <c r="D28" s="180" t="s">
        <v>195</v>
      </c>
      <c r="E28" s="181" t="s">
        <v>196</v>
      </c>
      <c r="F28" s="160" t="s">
        <v>197</v>
      </c>
      <c r="O28" s="21"/>
      <c r="P28" s="21"/>
      <c r="Q28" s="21"/>
      <c r="R28" s="21"/>
      <c r="U28" s="160" t="n">
        <v>5234.7</v>
      </c>
      <c r="V28" s="160" t="n">
        <v>1051.5</v>
      </c>
    </row>
    <row r="29" customFormat="false" ht="13.2" hidden="false" customHeight="false" outlineLevel="0" collapsed="false">
      <c r="A29" s="160" t="str">
        <f aca="false">IF(A12="","",A12)</f>
        <v>Door A</v>
      </c>
      <c r="B29" s="182" t="str">
        <f aca="false">IF(OR(Nfl="",$D$6=""),"",Nfl*$D$6*H12)</f>
        <v/>
      </c>
      <c r="C29" s="182" t="str">
        <f aca="false">IF(OR(Nfl="",$D$7=""),"",Nfl*$D$7*L12)</f>
        <v/>
      </c>
      <c r="D29" s="176" t="e">
        <f aca="false">(C12*1000)/((B29+C29)*D12)</f>
        <v>#VALUE!</v>
      </c>
      <c r="E29" s="182" t="e">
        <f aca="false">IF(D29&gt;1,0,LN((D29^(-$Q$16)+($P$16/$O$16))/(1+($P$16/$O$16)))/($O$16*$Q$16))</f>
        <v>#VALUE!</v>
      </c>
      <c r="F29" s="182" t="e">
        <f aca="false">IF(D29&gt;1,0,LN((D29^(-$Q$17)+($P$17/$O$17))/(1+($P$17/$O$17)))/($O$17*$Q$17))</f>
        <v>#VALUE!</v>
      </c>
      <c r="O29" s="21"/>
      <c r="P29" s="21"/>
      <c r="Q29" s="21"/>
      <c r="R29" s="21"/>
      <c r="U29" s="160" t="n">
        <v>11894</v>
      </c>
      <c r="V29" s="160" t="n">
        <v>3993.2</v>
      </c>
    </row>
    <row r="30" customFormat="false" ht="13.2" hidden="false" customHeight="false" outlineLevel="0" collapsed="false">
      <c r="A30" s="160" t="str">
        <f aca="false">IF(A13="","",A13)</f>
        <v>Wall A</v>
      </c>
      <c r="B30" s="182" t="str">
        <f aca="false">IF(OR(Nfl="",$D$6=""),"",Nfl*$D$6*H13)</f>
        <v/>
      </c>
      <c r="C30" s="182" t="str">
        <f aca="false">IF(OR(Nfl="",$D$7=""),"",Nfl*$D$7*L13)</f>
        <v/>
      </c>
      <c r="D30" s="176" t="e">
        <f aca="false">(C13*1000)/((B30+C30)*D13)</f>
        <v>#VALUE!</v>
      </c>
      <c r="E30" s="182" t="e">
        <f aca="false">IF(D30&gt;1,0,LN((D30^(-$Q$16)+($P$16/$O$16))/(1+($P$16/$O$16)))/($O$16*$Q$16))</f>
        <v>#VALUE!</v>
      </c>
      <c r="F30" s="182" t="e">
        <f aca="false">IF(D30&gt;1,0,LN((D30^(-$Q$17)+($P$17/$O$17))/(1+($P$17/$O$17)))/($O$17*$Q$17))</f>
        <v>#VALUE!</v>
      </c>
      <c r="O30" s="21"/>
      <c r="P30" s="21"/>
      <c r="Q30" s="21"/>
      <c r="R30" s="21"/>
      <c r="U30" s="160" t="n">
        <v>8587.4</v>
      </c>
      <c r="V30" s="160" t="n">
        <v>2898.7</v>
      </c>
    </row>
    <row r="31" customFormat="false" ht="13.2" hidden="false" customHeight="false" outlineLevel="0" collapsed="false">
      <c r="A31" s="160" t="str">
        <f aca="false">IF(A14="","",A14)</f>
        <v>Wall B</v>
      </c>
      <c r="B31" s="182" t="str">
        <f aca="false">IF(OR(Nfl="",$D$6=""),"",Nfl*$D$6*H14)</f>
        <v/>
      </c>
      <c r="C31" s="182" t="str">
        <f aca="false">IF(OR(Nfl="",$D$7=""),"",Nfl*$D$7*L14)</f>
        <v/>
      </c>
      <c r="D31" s="176" t="e">
        <f aca="false">(C14*1000)/((B31+C31)*D14)</f>
        <v>#VALUE!</v>
      </c>
      <c r="E31" s="182" t="e">
        <f aca="false">IF(D31&gt;1,0,LN((D31^(-$Q$16)+($P$16/$O$16))/(1+($P$16/$O$16)))/($O$16*$Q$16))</f>
        <v>#VALUE!</v>
      </c>
      <c r="F31" s="182" t="e">
        <f aca="false">IF(D31&gt;1,0,LN((D31^(-$Q$17)+($P$17/$O$17))/(1+($P$17/$O$17)))/($O$17*$Q$17))</f>
        <v>#VALUE!</v>
      </c>
      <c r="O31" s="21"/>
      <c r="P31" s="21"/>
      <c r="Q31" s="21"/>
      <c r="R31" s="21"/>
      <c r="U31" s="160" t="n">
        <v>4621.7</v>
      </c>
      <c r="V31" s="160" t="n">
        <v>1462.4</v>
      </c>
    </row>
    <row r="32" customFormat="false" ht="13.2" hidden="false" customHeight="false" outlineLevel="0" collapsed="false">
      <c r="A32" s="160" t="str">
        <f aca="false">IF(A15="","",A15)</f>
        <v>Wall C</v>
      </c>
      <c r="B32" s="182" t="str">
        <f aca="false">IF(OR(Nfl="",$D$6=""),"",Nfl*$D$6*H15)</f>
        <v/>
      </c>
      <c r="C32" s="182" t="str">
        <f aca="false">IF(OR(Nfl="",$D$7=""),"",Nfl*$D$7*L15)</f>
        <v/>
      </c>
      <c r="D32" s="176" t="e">
        <f aca="false">(C15*1000)/((B32+C32)*D15)</f>
        <v>#VALUE!</v>
      </c>
      <c r="E32" s="182" t="e">
        <f aca="false">IF(D32&gt;1,0,LN((D32^(-$Q$16)+($P$16/$O$16))/(1+($P$16/$O$16)))/($O$16*$Q$16))</f>
        <v>#VALUE!</v>
      </c>
      <c r="F32" s="182" t="e">
        <f aca="false">IF(D32&gt;1,0,LN((D32^(-$Q$17)+($P$17/$O$17))/(1+($P$17/$O$17)))/($O$17*$Q$17))</f>
        <v>#VALUE!</v>
      </c>
      <c r="O32" s="21"/>
      <c r="P32" s="21"/>
      <c r="Q32" s="21"/>
      <c r="R32" s="21"/>
      <c r="U32" s="160" t="n">
        <v>20430</v>
      </c>
      <c r="V32" s="160" t="n">
        <v>8160.9</v>
      </c>
    </row>
    <row r="33" customFormat="false" ht="13.2" hidden="false" customHeight="false" outlineLevel="0" collapsed="false">
      <c r="A33" s="160" t="str">
        <f aca="false">IF(A16="","",A16)</f>
        <v>Wall D1</v>
      </c>
      <c r="B33" s="182" t="str">
        <f aca="false">IF(OR(Nfl="",$D$6=""),"",Nfl*$D$6*H16)</f>
        <v/>
      </c>
      <c r="C33" s="182" t="str">
        <f aca="false">IF(OR(Nfl="",$D$7=""),"",Nfl*$D$7*L16)</f>
        <v/>
      </c>
      <c r="D33" s="176" t="e">
        <f aca="false">(C16*1000)/((B33+C33)*D16)</f>
        <v>#VALUE!</v>
      </c>
      <c r="E33" s="182" t="e">
        <f aca="false">IF(D33&gt;1,0,LN((D33^(-$Q$16)+($P$16/$O$16))/(1+($P$16/$O$16)))/($O$16*$Q$16))</f>
        <v>#VALUE!</v>
      </c>
      <c r="F33" s="182" t="e">
        <f aca="false">IF(D33&gt;1,0,LN((D33^(-$Q$17)+($P$17/$O$17))/(1+($P$17/$O$17)))/($O$17*$Q$17))</f>
        <v>#VALUE!</v>
      </c>
      <c r="O33" s="21"/>
      <c r="P33" s="21"/>
      <c r="Q33" s="21"/>
      <c r="R33" s="21"/>
      <c r="U33" s="160" t="n">
        <v>6328</v>
      </c>
      <c r="V33" s="160" t="n">
        <v>1524.2</v>
      </c>
    </row>
    <row r="34" customFormat="false" ht="13.2" hidden="false" customHeight="false" outlineLevel="0" collapsed="false">
      <c r="A34" s="160" t="str">
        <f aca="false">IF(A17="","",A17)</f>
        <v>Wall D2</v>
      </c>
      <c r="B34" s="182" t="str">
        <f aca="false">IF(OR(Nfl="",$D$6=""),"",Nfl*$D$6*H17)</f>
        <v/>
      </c>
      <c r="C34" s="182" t="str">
        <f aca="false">IF(OR(Nfl="",$D$7=""),"",Nfl*$D$7*L17)</f>
        <v/>
      </c>
      <c r="D34" s="176" t="e">
        <f aca="false">(C17*1000)/((B34+C34)*D17)</f>
        <v>#VALUE!</v>
      </c>
      <c r="E34" s="182" t="e">
        <f aca="false">IF(D34&gt;1,0,LN((D34^(-$Q$16)+($P$16/$O$16))/(1+($P$16/$O$16)))/($O$16*$Q$16))</f>
        <v>#VALUE!</v>
      </c>
      <c r="F34" s="182" t="e">
        <f aca="false">IF(D34&gt;1,0,LN((D34^(-$Q$17)+($P$17/$O$17))/(1+($P$17/$O$17)))/($O$17*$Q$17))</f>
        <v>#VALUE!</v>
      </c>
      <c r="O34" s="21"/>
      <c r="P34" s="21"/>
      <c r="Q34" s="21"/>
      <c r="R34" s="21"/>
      <c r="U34" s="160" t="n">
        <v>9629.8</v>
      </c>
      <c r="V34" s="160" t="n">
        <v>1848.5</v>
      </c>
    </row>
    <row r="35" customFormat="false" ht="13.2" hidden="false" customHeight="false" outlineLevel="0" collapsed="false">
      <c r="A35" s="160" t="str">
        <f aca="false">IF(A18="","",A18)</f>
        <v>Door D</v>
      </c>
      <c r="B35" s="182" t="str">
        <f aca="false">IF(OR(Nfl="",$D$6=""),"",Nfl*$D$6*H18)</f>
        <v/>
      </c>
      <c r="C35" s="182" t="str">
        <f aca="false">IF(OR(Nfl="",$D$7=""),"",Nfl*$D$7*L18)</f>
        <v/>
      </c>
      <c r="D35" s="176" t="e">
        <f aca="false">(C18*1000)/((B35+C35)*D18)</f>
        <v>#VALUE!</v>
      </c>
      <c r="E35" s="182" t="e">
        <f aca="false">IF(D35&gt;1,0,LN((D35^(-$Q$16)+($P$16/$O$16))/(1+($P$16/$O$16)))/($O$16*$Q$16))</f>
        <v>#VALUE!</v>
      </c>
      <c r="F35" s="182" t="e">
        <f aca="false">IF(D35&gt;1,0,LN((D35^(-$Q$17)+($P$17/$O$17))/(1+($P$17/$O$17)))/($O$17*$Q$17))</f>
        <v>#VALUE!</v>
      </c>
      <c r="O35" s="21"/>
      <c r="P35" s="21"/>
      <c r="Q35" s="21"/>
      <c r="R35" s="21"/>
      <c r="U35" s="160" t="n">
        <v>22434</v>
      </c>
      <c r="V35" s="160" t="n">
        <v>6217.6</v>
      </c>
    </row>
    <row r="36" customFormat="false" ht="13.2" hidden="false" customHeight="false" outlineLevel="0" collapsed="false">
      <c r="A36" s="160" t="str">
        <f aca="false">IF(A19="","",A19)</f>
        <v>Control Wall</v>
      </c>
      <c r="B36" s="182" t="str">
        <f aca="false">IF(OR(Nfl="",$D$6=""),"",Nfl*$D$6*H19)</f>
        <v/>
      </c>
      <c r="C36" s="182" t="str">
        <f aca="false">IF(OR(Nfl="",$D$7=""),"",Nfl*$D$7*L19)</f>
        <v/>
      </c>
      <c r="D36" s="176" t="e">
        <f aca="false">(C19*1000)/((B36+C36)*D19)</f>
        <v>#VALUE!</v>
      </c>
      <c r="E36" s="182" t="e">
        <f aca="false">IF(D36&gt;1,0,LN((D36^(-$Q$16)+($P$16/$O$16))/(1+($P$16/$O$16)))/($O$16*$Q$16))</f>
        <v>#VALUE!</v>
      </c>
      <c r="F36" s="182" t="e">
        <f aca="false">IF(D36&gt;1,0,LN((D36^(-$Q$17)+($P$17/$O$17))/(1+($P$17/$O$17)))/($O$17*$Q$17))</f>
        <v>#VALUE!</v>
      </c>
      <c r="O36" s="21"/>
      <c r="P36" s="21"/>
      <c r="Q36" s="21"/>
      <c r="R36" s="21"/>
      <c r="U36" s="160" t="n">
        <v>2592</v>
      </c>
      <c r="V36" s="160" t="n">
        <v>454.73</v>
      </c>
    </row>
    <row r="37" customFormat="false" ht="13.2" hidden="false" customHeight="false" outlineLevel="0" collapsed="false">
      <c r="A37" s="160" t="str">
        <f aca="false">IF(A20="","",A20)</f>
        <v>Control Window</v>
      </c>
      <c r="B37" s="182" t="str">
        <f aca="false">IF(OR(Nfl="",$D$6=""),"",Nfl*$D$6*H20)</f>
        <v/>
      </c>
      <c r="C37" s="182" t="str">
        <f aca="false">IF(OR(Nfl="",$D$7=""),"",Nfl*$D$7*L20)</f>
        <v/>
      </c>
      <c r="D37" s="176" t="e">
        <f aca="false">(C20*1000)/((B37+C37)*D20)</f>
        <v>#VALUE!</v>
      </c>
      <c r="E37" s="182" t="e">
        <f aca="false">IF(D37&gt;1,0,LN((D37^(-$Q$16)+($P$16/$O$16))/(1+($P$16/$O$16)))/($O$16*$Q$16))</f>
        <v>#VALUE!</v>
      </c>
      <c r="F37" s="182" t="e">
        <f aca="false">IF(D37&gt;1,0,LN((D37^(-$Q$17)+($P$17/$O$17))/(1+($P$17/$O$17)))/($O$17*$Q$17))</f>
        <v>#VALUE!</v>
      </c>
      <c r="L37" s="162"/>
      <c r="U37" s="160" t="n">
        <v>5027.5</v>
      </c>
      <c r="V37" s="160" t="n">
        <v>1371.9</v>
      </c>
    </row>
    <row r="38" customFormat="false" ht="13.2" hidden="false" customHeight="false" outlineLevel="0" collapsed="false">
      <c r="A38" s="160" t="str">
        <f aca="false">IF(A21="","",A21)</f>
        <v>Floor</v>
      </c>
      <c r="B38" s="182" t="str">
        <f aca="false">IF(OR(Nfl="",$D$6=""),"",Nfl*$D$6*H21)</f>
        <v/>
      </c>
      <c r="C38" s="182" t="str">
        <f aca="false">IF(OR(Nfl="",$D$7=""),"",Nfl*$D$7*L21)</f>
        <v/>
      </c>
      <c r="D38" s="176" t="e">
        <f aca="false">(C21*1000)/((B38+C38)*D21)</f>
        <v>#VALUE!</v>
      </c>
      <c r="E38" s="182" t="e">
        <f aca="false">IF(D38&gt;1,0,LN((D38^(-$Q$16)+($P$16/$O$16))/(1+($P$16/$O$16)))/($O$16*$Q$16))</f>
        <v>#VALUE!</v>
      </c>
      <c r="F38" s="182" t="e">
        <f aca="false">IF(D38&gt;1,0,LN((D38^(-$Q$17)+($P$17/$O$17))/(1+($P$17/$O$17)))/($O$17*$Q$17))</f>
        <v>#VALUE!</v>
      </c>
      <c r="K38" s="21"/>
      <c r="L38" s="21"/>
      <c r="M38" s="21"/>
      <c r="N38" s="21"/>
      <c r="U38" s="160" t="n">
        <v>7905.4</v>
      </c>
      <c r="V38" s="160" t="n">
        <v>2938.1</v>
      </c>
    </row>
    <row r="39" customFormat="false" ht="13.2" hidden="false" customHeight="false" outlineLevel="0" collapsed="false">
      <c r="A39" s="160" t="str">
        <f aca="false">IF(A22="","",A22)</f>
        <v>Ceiling</v>
      </c>
      <c r="B39" s="182" t="str">
        <f aca="false">IF(OR(Nfl="",$D$6=""),"",Nfl*$D$6*H22)</f>
        <v/>
      </c>
      <c r="C39" s="182" t="str">
        <f aca="false">IF(OR(Nfl="",$D$7=""),"",Nfl*$D$7*L22)</f>
        <v/>
      </c>
      <c r="D39" s="176" t="e">
        <f aca="false">(C22*1000)/((B39+C39)*D22)</f>
        <v>#VALUE!</v>
      </c>
      <c r="E39" s="182" t="e">
        <f aca="false">IF(D39&gt;1,0,LN((D39^(-$Q$16)+($P$16/$O$16))/(1+($P$16/$O$16)))/($O$16*$Q$16))</f>
        <v>#VALUE!</v>
      </c>
      <c r="F39" s="182" t="e">
        <f aca="false">IF(D39&gt;1,0,LN((D39^(-$Q$17)+($P$17/$O$17))/(1+($P$17/$O$17)))/($O$17*$Q$17))</f>
        <v>#VALUE!</v>
      </c>
      <c r="K39" s="21"/>
      <c r="L39" s="21"/>
      <c r="M39" s="21"/>
      <c r="N39" s="21"/>
      <c r="U39" s="160" t="n">
        <v>7703.7</v>
      </c>
      <c r="V39" s="160" t="n">
        <v>2274.1</v>
      </c>
    </row>
    <row r="40" customFormat="false" ht="13.2" hidden="false" customHeight="false" outlineLevel="0" collapsed="false">
      <c r="A40" s="160" t="str">
        <f aca="false">IF(A23="","",A23)</f>
        <v>Wall B Offices</v>
      </c>
      <c r="B40" s="182" t="str">
        <f aca="false">IF(OR(Nfl="",$D$6=""),"",Nfl*$D$6*H23)</f>
        <v/>
      </c>
      <c r="C40" s="182" t="str">
        <f aca="false">IF(OR(Nfl="",$D$7=""),"",Nfl*$D$7*L23)</f>
        <v/>
      </c>
      <c r="D40" s="176" t="e">
        <f aca="false">(C23*1000)/((B40+C40)*D23)</f>
        <v>#VALUE!</v>
      </c>
      <c r="E40" s="182" t="e">
        <f aca="false">IF(D40&gt;1,0,LN((D40^(-$Q$16)+($P$16/$O$16))/(1+($P$16/$O$16)))/($O$16*$Q$16))</f>
        <v>#VALUE!</v>
      </c>
      <c r="F40" s="182" t="e">
        <f aca="false">IF(D40&gt;1,0,LN((D40^(-$Q$17)+($P$17/$O$17))/(1+($P$17/$O$17)))/($O$17*$Q$17))</f>
        <v>#VALUE!</v>
      </c>
      <c r="K40" s="21"/>
      <c r="L40" s="21"/>
      <c r="M40" s="21"/>
      <c r="N40" s="21"/>
    </row>
    <row r="41" customFormat="false" ht="13.2" hidden="false" customHeight="false" outlineLevel="0" collapsed="false">
      <c r="A41" s="160" t="str">
        <f aca="false">IF(A24="","",A24)</f>
        <v>Wall C Offices</v>
      </c>
      <c r="B41" s="182" t="str">
        <f aca="false">IF(OR(Nfl="",$D$6=""),"",Nfl*$D$6*H24)</f>
        <v/>
      </c>
      <c r="C41" s="182" t="str">
        <f aca="false">IF(OR(Nfl="",$D$7=""),"",Nfl*$D$7*L24)</f>
        <v/>
      </c>
      <c r="D41" s="176" t="e">
        <f aca="false">(C24*1000)/((B41+C41)*D24)</f>
        <v>#VALUE!</v>
      </c>
      <c r="E41" s="182" t="e">
        <f aca="false">IF(D41&gt;1,0,LN((D41^(-$Q$16)+($P$16/$O$16))/(1+($P$16/$O$16)))/($O$16*$Q$16))</f>
        <v>#VALUE!</v>
      </c>
      <c r="F41" s="182" t="e">
        <f aca="false">IF(D41&gt;1,0,LN((D41^(-$Q$17)+($P$17/$O$17))/(1+($P$17/$O$17)))/($O$17*$Q$17))</f>
        <v>#VALUE!</v>
      </c>
      <c r="K41" s="21"/>
      <c r="L41" s="21"/>
      <c r="M41" s="21"/>
      <c r="N41" s="21"/>
      <c r="U41" s="160" t="n">
        <f aca="false">AVERAGE(U3:U39)</f>
        <v>8431.1027027027</v>
      </c>
      <c r="V41" s="160" t="n">
        <f aca="false">AVERAGE(V3:V39)</f>
        <v>2185.92540540541</v>
      </c>
    </row>
    <row r="42" customFormat="false" ht="13.2" hidden="false" customHeight="false" outlineLevel="0" collapsed="false">
      <c r="K42" s="21"/>
      <c r="L42" s="21"/>
      <c r="M42" s="21"/>
      <c r="N42" s="21"/>
      <c r="U42" s="160" t="n">
        <f aca="false">STDEV(U3:U39)</f>
        <v>4642.10165570907</v>
      </c>
      <c r="V42" s="160" t="n">
        <f aca="false">STDEV(V3:V39)</f>
        <v>1652.67206305021</v>
      </c>
    </row>
    <row r="43" customFormat="false" ht="13.2" hidden="false" customHeight="false" outlineLevel="0" collapsed="false">
      <c r="K43" s="21"/>
      <c r="L43" s="21"/>
      <c r="M43" s="21"/>
      <c r="N43" s="21"/>
      <c r="U43" s="160" t="n">
        <f aca="false">MEDIAN(U3:U39)</f>
        <v>7621.5</v>
      </c>
      <c r="V43" s="160" t="n">
        <f aca="false">MEDIAN(V3:V39)</f>
        <v>1677.3</v>
      </c>
    </row>
    <row r="44" customFormat="false" ht="13.2" hidden="false" customHeight="false" outlineLevel="0" collapsed="false">
      <c r="K44" s="21"/>
      <c r="L44" s="21"/>
      <c r="M44" s="21"/>
      <c r="N44" s="21"/>
      <c r="U44" s="160" t="n">
        <f aca="false">PERCENTILE(U3:U39,0.9)</f>
        <v>13489.4</v>
      </c>
      <c r="V44" s="160" t="n">
        <f aca="false">PERCENTILE(V3:V39,0.9)</f>
        <v>3694.1</v>
      </c>
    </row>
    <row r="45" customFormat="false" ht="13.2" hidden="false" customHeight="false" outlineLevel="0" collapsed="false">
      <c r="K45" s="21"/>
      <c r="L45" s="21"/>
      <c r="M45" s="21"/>
      <c r="N45" s="21"/>
    </row>
    <row r="46" customFormat="false" ht="13.2" hidden="false" customHeight="false" outlineLevel="0" collapsed="false">
      <c r="K46" s="21"/>
      <c r="L46" s="21"/>
      <c r="M46" s="21"/>
      <c r="N46" s="21"/>
    </row>
    <row r="47" customFormat="false" ht="13.2" hidden="false" customHeight="false" outlineLevel="0" collapsed="false">
      <c r="K47" s="21"/>
      <c r="L47" s="21"/>
      <c r="M47" s="21"/>
      <c r="N47" s="21"/>
    </row>
    <row r="48" customFormat="false" ht="13.2" hidden="false" customHeight="false" outlineLevel="0" collapsed="false">
      <c r="K48" s="21"/>
      <c r="L48" s="21"/>
      <c r="M48" s="21"/>
      <c r="N48" s="21"/>
    </row>
    <row r="49" customFormat="false" ht="13.2" hidden="false" customHeight="false" outlineLevel="0" collapsed="false">
      <c r="K49" s="21"/>
      <c r="L49" s="21"/>
      <c r="M49" s="21"/>
      <c r="N49" s="21"/>
    </row>
    <row r="50" customFormat="false" ht="13.2" hidden="false" customHeight="false" outlineLevel="0" collapsed="false">
      <c r="K50" s="21"/>
      <c r="L50" s="21"/>
      <c r="M50" s="21"/>
      <c r="N50" s="21"/>
    </row>
    <row r="51" customFormat="false" ht="13.2" hidden="false" customHeight="false" outlineLevel="0" collapsed="false">
      <c r="K51" s="21"/>
      <c r="L51" s="21"/>
      <c r="M51" s="21"/>
      <c r="N51" s="21"/>
    </row>
    <row r="52" customFormat="false" ht="13.2" hidden="false" customHeight="false" outlineLevel="0" collapsed="false">
      <c r="L52" s="162"/>
    </row>
  </sheetData>
  <mergeCells count="6">
    <mergeCell ref="Q1:R1"/>
    <mergeCell ref="B2:C2"/>
    <mergeCell ref="P6:Q6"/>
    <mergeCell ref="E10:F10"/>
    <mergeCell ref="I10:J10"/>
    <mergeCell ref="O14:S14"/>
  </mergeCells>
  <dataValidations count="1">
    <dataValidation allowBlank="true" operator="between" showDropDown="false" showErrorMessage="true" showInputMessage="true" sqref="E6:E7" type="list">
      <formula1>$P$8:$P$12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3125" defaultRowHeight="13.2" zeroHeight="false" outlineLevelRow="0" outlineLevelCol="0"/>
  <cols>
    <col collapsed="false" customWidth="true" hidden="false" outlineLevel="0" max="1" min="1" style="183" width="16.78"/>
    <col collapsed="false" customWidth="true" hidden="false" outlineLevel="0" max="2" min="2" style="183" width="12.45"/>
    <col collapsed="false" customWidth="true" hidden="false" outlineLevel="0" max="3" min="3" style="183" width="12.11"/>
    <col collapsed="false" customWidth="true" hidden="false" outlineLevel="0" max="4" min="4" style="183" width="11.02"/>
    <col collapsed="false" customWidth="true" hidden="false" outlineLevel="0" max="5" min="5" style="183" width="12.67"/>
    <col collapsed="false" customWidth="true" hidden="false" outlineLevel="0" max="11" min="6" style="183" width="10.66"/>
    <col collapsed="false" customWidth="true" hidden="false" outlineLevel="0" max="12" min="12" style="183" width="11.78"/>
    <col collapsed="false" customWidth="true" hidden="false" outlineLevel="0" max="13" min="13" style="183" width="12.67"/>
    <col collapsed="false" customWidth="false" hidden="false" outlineLevel="0" max="1024" min="14" style="183" width="9.33"/>
  </cols>
  <sheetData>
    <row r="1" customFormat="false" ht="13.2" hidden="false" customHeight="false" outlineLevel="0" collapsed="false">
      <c r="A1" s="183" t="s">
        <v>198</v>
      </c>
      <c r="B1" s="184" t="n">
        <v>3.317E-005</v>
      </c>
      <c r="C1" s="183" t="s">
        <v>199</v>
      </c>
      <c r="H1" s="185"/>
      <c r="L1" s="185" t="s">
        <v>200</v>
      </c>
    </row>
    <row r="2" customFormat="false" ht="13.2" hidden="false" customHeight="false" outlineLevel="0" collapsed="false">
      <c r="A2" s="183" t="s">
        <v>201</v>
      </c>
      <c r="B2" s="183" t="n">
        <v>20</v>
      </c>
      <c r="C2" s="183" t="s">
        <v>202</v>
      </c>
      <c r="L2" s="183" t="s">
        <v>203</v>
      </c>
      <c r="M2" s="183" t="s">
        <v>204</v>
      </c>
    </row>
    <row r="3" customFormat="false" ht="13.2" hidden="false" customHeight="false" outlineLevel="0" collapsed="false">
      <c r="A3" s="183" t="s">
        <v>205</v>
      </c>
      <c r="B3" s="183" t="n">
        <f aca="false">NDAY*5</f>
        <v>100</v>
      </c>
      <c r="C3" s="183" t="s">
        <v>206</v>
      </c>
      <c r="L3" s="186" t="n">
        <v>30</v>
      </c>
      <c r="M3" s="186" t="n">
        <f aca="false">L3*37</f>
        <v>1110</v>
      </c>
      <c r="N3" s="183" t="s">
        <v>207</v>
      </c>
    </row>
    <row r="4" customFormat="false" ht="13.2" hidden="false" customHeight="false" outlineLevel="0" collapsed="false">
      <c r="L4" s="187" t="n">
        <f aca="false">L3/(2^1)</f>
        <v>15</v>
      </c>
      <c r="M4" s="187" t="n">
        <f aca="false">M3/(2^1)</f>
        <v>555</v>
      </c>
      <c r="N4" s="183" t="s">
        <v>208</v>
      </c>
    </row>
    <row r="5" customFormat="false" ht="13.2" hidden="false" customHeight="false" outlineLevel="0" collapsed="false">
      <c r="A5" s="188" t="s">
        <v>209</v>
      </c>
      <c r="L5" s="186"/>
      <c r="M5" s="186" t="n">
        <v>60</v>
      </c>
      <c r="N5" s="183" t="s">
        <v>210</v>
      </c>
    </row>
    <row r="6" s="189" customFormat="true" ht="26.4" hidden="false" customHeight="false" outlineLevel="0" collapsed="false">
      <c r="B6" s="190" t="s">
        <v>211</v>
      </c>
      <c r="C6" s="190" t="s">
        <v>212</v>
      </c>
      <c r="D6" s="190" t="s">
        <v>213</v>
      </c>
      <c r="E6" s="190" t="s">
        <v>214</v>
      </c>
      <c r="L6" s="186" t="n">
        <f aca="false">L4*1.443*109.8*(1-EXP(-LN(2)*M5/109.8))/M5</f>
        <v>12.4889930561935</v>
      </c>
      <c r="M6" s="186" t="n">
        <f aca="false">M4*1.443*109.8*(1-EXP(-LN(2)*M5/109.8))/M5</f>
        <v>462.09274307916</v>
      </c>
      <c r="N6" s="183" t="s">
        <v>215</v>
      </c>
    </row>
    <row r="7" customFormat="false" ht="13.2" hidden="false" customHeight="false" outlineLevel="0" collapsed="false">
      <c r="A7" s="191" t="s">
        <v>216</v>
      </c>
      <c r="B7" s="192" t="n">
        <f aca="false">M3</f>
        <v>1110</v>
      </c>
      <c r="C7" s="193" t="n">
        <v>0.05</v>
      </c>
      <c r="D7" s="192" t="n">
        <f aca="false">B7*C7*40*NWEEK</f>
        <v>222000</v>
      </c>
      <c r="E7" s="194" t="n">
        <f aca="false">D7*$B$1</f>
        <v>7.36374</v>
      </c>
      <c r="L7" s="186" t="n">
        <f aca="false">L4*EXP(-LN(2)*M5/109.8)</f>
        <v>10.2705569164902</v>
      </c>
      <c r="M7" s="186" t="n">
        <f aca="false">M4*EXP(-LN(2)*M5/109.8)</f>
        <v>380.010605910137</v>
      </c>
      <c r="N7" s="183" t="s">
        <v>217</v>
      </c>
    </row>
    <row r="8" customFormat="false" ht="13.2" hidden="false" customHeight="false" outlineLevel="0" collapsed="false">
      <c r="A8" s="191" t="s">
        <v>218</v>
      </c>
      <c r="B8" s="192" t="n">
        <f aca="false">M4</f>
        <v>555</v>
      </c>
      <c r="C8" s="193" t="n">
        <v>0.2</v>
      </c>
      <c r="D8" s="192" t="n">
        <f aca="false">B8*C8*40*NWEEK</f>
        <v>444000</v>
      </c>
      <c r="E8" s="194" t="n">
        <f aca="false">D8*$B$1</f>
        <v>14.72748</v>
      </c>
      <c r="L8" s="186" t="n">
        <f aca="false">L7*0.85</f>
        <v>8.72997337901667</v>
      </c>
      <c r="M8" s="186" t="n">
        <f aca="false">M7*0.85</f>
        <v>323.009015023617</v>
      </c>
      <c r="N8" s="183" t="s">
        <v>219</v>
      </c>
    </row>
    <row r="9" customFormat="false" ht="13.2" hidden="false" customHeight="false" outlineLevel="0" collapsed="false">
      <c r="A9" s="191" t="s">
        <v>220</v>
      </c>
      <c r="B9" s="192" t="n">
        <f aca="false">M4</f>
        <v>555</v>
      </c>
      <c r="C9" s="193" t="n">
        <v>0.2</v>
      </c>
      <c r="D9" s="192" t="n">
        <f aca="false">B9*C9*40*NWEEK</f>
        <v>444000</v>
      </c>
      <c r="E9" s="194" t="n">
        <f aca="false">D9*$B$1</f>
        <v>14.72748</v>
      </c>
      <c r="L9" s="186"/>
      <c r="M9" s="186" t="n">
        <v>15</v>
      </c>
      <c r="N9" s="183" t="s">
        <v>221</v>
      </c>
    </row>
    <row r="10" customFormat="false" ht="13.2" hidden="false" customHeight="false" outlineLevel="0" collapsed="false">
      <c r="A10" s="191" t="s">
        <v>222</v>
      </c>
      <c r="B10" s="192" t="n">
        <f aca="false">M8</f>
        <v>323.009015023617</v>
      </c>
      <c r="C10" s="193" t="n">
        <v>0.4</v>
      </c>
      <c r="D10" s="192" t="n">
        <f aca="false">B10*C10*40*NWEEK</f>
        <v>516814.424037787</v>
      </c>
      <c r="E10" s="194" t="n">
        <f aca="false">D10*$B$1</f>
        <v>17.1427344453334</v>
      </c>
      <c r="L10" s="186" t="n">
        <f aca="false">L8*1.443*109.8*(1-EXP(-LN(2)*M9/109.8))/M9</f>
        <v>8.33114700224946</v>
      </c>
      <c r="M10" s="186" t="n">
        <f aca="false">M8*1.443*109.8*(1-EXP(-LN(2)*M9/109.8))/M9</f>
        <v>308.25243908323</v>
      </c>
      <c r="N10" s="183" t="s">
        <v>223</v>
      </c>
    </row>
    <row r="11" customFormat="false" ht="13.2" hidden="false" customHeight="false" outlineLevel="0" collapsed="false">
      <c r="A11" s="191" t="s">
        <v>224</v>
      </c>
      <c r="B11" s="192" t="n">
        <f aca="false">M8</f>
        <v>323.009015023617</v>
      </c>
      <c r="C11" s="193" t="n">
        <v>0.4</v>
      </c>
      <c r="D11" s="192" t="n">
        <f aca="false">B11*C11*40*NWEEK</f>
        <v>516814.424037787</v>
      </c>
      <c r="E11" s="194" t="n">
        <f aca="false">D11*$B$1</f>
        <v>17.1427344453334</v>
      </c>
      <c r="L11" s="186" t="n">
        <f aca="false">L8*EXP(-LN(2)*M9/109.8)</f>
        <v>7.94124514868203</v>
      </c>
      <c r="M11" s="186" t="n">
        <f aca="false">M8*EXP(-LN(2)*M9/109.8)</f>
        <v>293.826070501235</v>
      </c>
      <c r="N11" s="183" t="s">
        <v>225</v>
      </c>
    </row>
    <row r="12" customFormat="false" ht="13.2" hidden="false" customHeight="false" outlineLevel="0" collapsed="false">
      <c r="A12" s="191" t="s">
        <v>226</v>
      </c>
      <c r="B12" s="192" t="n">
        <f aca="false">M4</f>
        <v>555</v>
      </c>
      <c r="C12" s="193" t="n">
        <v>0.4</v>
      </c>
      <c r="D12" s="192" t="n">
        <f aca="false">B12*C12*40*NWEEK</f>
        <v>888000</v>
      </c>
      <c r="E12" s="194" t="n">
        <f aca="false">D12*$B$1</f>
        <v>29.45496</v>
      </c>
    </row>
    <row r="13" customFormat="false" ht="13.2" hidden="false" customHeight="false" outlineLevel="0" collapsed="false">
      <c r="A13" s="191" t="s">
        <v>227</v>
      </c>
      <c r="B13" s="192" t="n">
        <f aca="false">M7</f>
        <v>380.010605910137</v>
      </c>
      <c r="C13" s="193" t="n">
        <v>0.3</v>
      </c>
      <c r="D13" s="192" t="n">
        <f aca="false">B13*C13*40*NWEEK</f>
        <v>456012.727092165</v>
      </c>
      <c r="E13" s="194" t="n">
        <f aca="false">D13*$B$1</f>
        <v>15.1259421576471</v>
      </c>
    </row>
    <row r="14" customFormat="false" ht="13.2" hidden="false" customHeight="false" outlineLevel="0" collapsed="false">
      <c r="A14" s="191" t="s">
        <v>228</v>
      </c>
      <c r="B14" s="192" t="n">
        <f aca="false">M6</f>
        <v>462.09274307916</v>
      </c>
      <c r="C14" s="193" t="n">
        <v>0.75</v>
      </c>
      <c r="D14" s="192" t="n">
        <f aca="false">B14*C14*40*NWEEK</f>
        <v>1386278.22923748</v>
      </c>
      <c r="E14" s="194" t="n">
        <f aca="false">D14*$B$1</f>
        <v>45.9828488638072</v>
      </c>
    </row>
    <row r="15" customFormat="false" ht="13.2" hidden="false" customHeight="false" outlineLevel="0" collapsed="false">
      <c r="M15" s="183" t="n">
        <v>2.265</v>
      </c>
      <c r="N15" s="183" t="s">
        <v>229</v>
      </c>
    </row>
    <row r="16" customFormat="false" ht="13.2" hidden="false" customHeight="false" outlineLevel="0" collapsed="false">
      <c r="A16" s="185" t="s">
        <v>230</v>
      </c>
      <c r="M16" s="183" t="n">
        <v>11.34</v>
      </c>
      <c r="N16" s="183" t="s">
        <v>231</v>
      </c>
    </row>
    <row r="17" customFormat="false" ht="13.2" hidden="false" customHeight="false" outlineLevel="0" collapsed="false">
      <c r="B17" s="193" t="s">
        <v>232</v>
      </c>
      <c r="C17" s="193" t="s">
        <v>75</v>
      </c>
      <c r="D17" s="193" t="s">
        <v>233</v>
      </c>
      <c r="E17" s="193" t="s">
        <v>234</v>
      </c>
      <c r="F17" s="193" t="s">
        <v>235</v>
      </c>
      <c r="M17" s="183" t="n">
        <f aca="false">M15*M16</f>
        <v>25.6851</v>
      </c>
      <c r="N17" s="183" t="s">
        <v>236</v>
      </c>
    </row>
    <row r="18" customFormat="false" ht="13.2" hidden="false" customHeight="false" outlineLevel="0" collapsed="false">
      <c r="A18" s="193" t="n">
        <v>1</v>
      </c>
      <c r="B18" s="193" t="s">
        <v>237</v>
      </c>
      <c r="C18" s="193" t="s">
        <v>139</v>
      </c>
      <c r="D18" s="193" t="n">
        <v>1</v>
      </c>
      <c r="E18" s="193" t="n">
        <f aca="false">IF(C18="U",0.02,IF(C18="C",0.1,""))</f>
        <v>0.02</v>
      </c>
      <c r="F18" s="191" t="n">
        <f aca="false">E18/D18</f>
        <v>0.02</v>
      </c>
      <c r="M18" s="195" t="n">
        <f aca="false">LN(2)/M17*10</f>
        <v>0.269863531993235</v>
      </c>
      <c r="N18" s="183" t="s">
        <v>238</v>
      </c>
    </row>
    <row r="19" customFormat="false" ht="13.2" hidden="false" customHeight="false" outlineLevel="0" collapsed="false">
      <c r="A19" s="193" t="n">
        <v>2</v>
      </c>
      <c r="B19" s="193" t="s">
        <v>239</v>
      </c>
      <c r="C19" s="193" t="s">
        <v>240</v>
      </c>
      <c r="D19" s="193" t="n">
        <v>1</v>
      </c>
      <c r="E19" s="193" t="n">
        <f aca="false">IF(C19="U",0.02,IF(C19="C",0.1,""))</f>
        <v>0.1</v>
      </c>
      <c r="F19" s="191" t="n">
        <f aca="false">E19/D19</f>
        <v>0.1</v>
      </c>
    </row>
    <row r="20" customFormat="false" ht="13.2" hidden="false" customHeight="false" outlineLevel="0" collapsed="false">
      <c r="A20" s="193" t="n">
        <v>3</v>
      </c>
      <c r="B20" s="193" t="s">
        <v>241</v>
      </c>
      <c r="C20" s="193" t="s">
        <v>139</v>
      </c>
      <c r="D20" s="193" t="n">
        <v>0.5</v>
      </c>
      <c r="E20" s="193" t="n">
        <f aca="false">IF(C20="U",0.02,IF(C20="C",0.1,""))</f>
        <v>0.02</v>
      </c>
      <c r="F20" s="191" t="n">
        <f aca="false">E20/D20</f>
        <v>0.04</v>
      </c>
    </row>
    <row r="21" customFormat="false" ht="13.2" hidden="false" customHeight="false" outlineLevel="0" collapsed="false">
      <c r="A21" s="193" t="n">
        <v>4</v>
      </c>
      <c r="B21" s="193" t="s">
        <v>242</v>
      </c>
      <c r="C21" s="193" t="s">
        <v>139</v>
      </c>
      <c r="D21" s="193" t="n">
        <v>0.5</v>
      </c>
      <c r="E21" s="193" t="n">
        <f aca="false">IF(C21="U",0.02,IF(C21="C",0.1,""))</f>
        <v>0.02</v>
      </c>
      <c r="F21" s="191" t="n">
        <f aca="false">E21/D21</f>
        <v>0.04</v>
      </c>
    </row>
    <row r="22" customFormat="false" ht="13.2" hidden="false" customHeight="false" outlineLevel="0" collapsed="false">
      <c r="A22" s="193" t="n">
        <v>5</v>
      </c>
      <c r="B22" s="193" t="s">
        <v>243</v>
      </c>
      <c r="C22" s="193" t="s">
        <v>139</v>
      </c>
      <c r="D22" s="193" t="n">
        <v>0.5</v>
      </c>
      <c r="E22" s="193" t="n">
        <f aca="false">IF(C22="U",0.02,IF(C22="C",0.1,""))</f>
        <v>0.02</v>
      </c>
      <c r="F22" s="191" t="n">
        <f aca="false">E22/D22</f>
        <v>0.04</v>
      </c>
    </row>
    <row r="23" customFormat="false" ht="13.2" hidden="false" customHeight="false" outlineLevel="0" collapsed="false">
      <c r="A23" s="193" t="n">
        <v>6</v>
      </c>
      <c r="B23" s="193" t="s">
        <v>244</v>
      </c>
      <c r="C23" s="193" t="s">
        <v>139</v>
      </c>
      <c r="D23" s="193" t="n">
        <v>0.5</v>
      </c>
      <c r="E23" s="193" t="n">
        <f aca="false">IF(C23="U",0.02,IF(C23="C",0.1,""))</f>
        <v>0.02</v>
      </c>
      <c r="F23" s="191" t="n">
        <f aca="false">E23/D23</f>
        <v>0.04</v>
      </c>
    </row>
    <row r="24" customFormat="false" ht="13.2" hidden="false" customHeight="false" outlineLevel="0" collapsed="false">
      <c r="A24" s="193" t="n">
        <v>7</v>
      </c>
      <c r="B24" s="193" t="s">
        <v>245</v>
      </c>
      <c r="C24" s="193" t="s">
        <v>139</v>
      </c>
      <c r="D24" s="193" t="n">
        <v>0.1</v>
      </c>
      <c r="E24" s="193" t="n">
        <f aca="false">IF(C24="U",0.02,IF(C24="C",0.1,""))</f>
        <v>0.02</v>
      </c>
      <c r="F24" s="191" t="n">
        <f aca="false">E24/D24</f>
        <v>0.2</v>
      </c>
    </row>
    <row r="25" customFormat="false" ht="13.2" hidden="false" customHeight="false" outlineLevel="0" collapsed="false">
      <c r="A25" s="193" t="n">
        <v>8</v>
      </c>
      <c r="B25" s="193" t="s">
        <v>246</v>
      </c>
      <c r="C25" s="193" t="s">
        <v>139</v>
      </c>
      <c r="D25" s="193" t="n">
        <v>0.1</v>
      </c>
      <c r="E25" s="193" t="n">
        <f aca="false">IF(C25="U",0.02,IF(C25="C",0.1,""))</f>
        <v>0.02</v>
      </c>
      <c r="F25" s="191" t="n">
        <f aca="false">E25/D25</f>
        <v>0.2</v>
      </c>
    </row>
    <row r="26" customFormat="false" ht="13.2" hidden="false" customHeight="false" outlineLevel="0" collapsed="false">
      <c r="A26" s="193" t="n">
        <v>9</v>
      </c>
      <c r="B26" s="193" t="s">
        <v>247</v>
      </c>
      <c r="C26" s="193" t="s">
        <v>139</v>
      </c>
      <c r="D26" s="193" t="n">
        <v>0.1</v>
      </c>
      <c r="E26" s="193" t="n">
        <f aca="false">IF(C26="U",0.02,IF(C26="C",0.1,""))</f>
        <v>0.02</v>
      </c>
      <c r="F26" s="191" t="n">
        <f aca="false">E26/D26</f>
        <v>0.2</v>
      </c>
    </row>
    <row r="27" customFormat="false" ht="13.2" hidden="false" customHeight="false" outlineLevel="0" collapsed="false">
      <c r="A27" s="193" t="n">
        <v>10</v>
      </c>
      <c r="B27" s="193" t="s">
        <v>248</v>
      </c>
      <c r="C27" s="193" t="s">
        <v>240</v>
      </c>
      <c r="D27" s="193" t="n">
        <v>1</v>
      </c>
      <c r="E27" s="193" t="n">
        <f aca="false">IF(C27="U",0.02,IF(C27="C",0.1,""))</f>
        <v>0.1</v>
      </c>
      <c r="F27" s="191" t="n">
        <f aca="false">E27/D27</f>
        <v>0.1</v>
      </c>
    </row>
    <row r="28" customFormat="false" ht="13.2" hidden="false" customHeight="false" outlineLevel="0" collapsed="false">
      <c r="A28" s="193" t="n">
        <v>11</v>
      </c>
      <c r="B28" s="193" t="s">
        <v>147</v>
      </c>
      <c r="C28" s="193" t="s">
        <v>139</v>
      </c>
      <c r="D28" s="193" t="n">
        <v>0.5</v>
      </c>
      <c r="E28" s="193" t="n">
        <f aca="false">IF(C28="U",0.02,IF(C28="C",0.1,""))</f>
        <v>0.02</v>
      </c>
      <c r="F28" s="191" t="n">
        <f aca="false">E28/D28</f>
        <v>0.04</v>
      </c>
    </row>
    <row r="29" customFormat="false" ht="13.2" hidden="false" customHeight="false" outlineLevel="0" collapsed="false">
      <c r="A29" s="193" t="n">
        <v>12</v>
      </c>
      <c r="B29" s="193" t="s">
        <v>151</v>
      </c>
      <c r="C29" s="193" t="s">
        <v>139</v>
      </c>
      <c r="D29" s="193" t="n">
        <v>0.5</v>
      </c>
      <c r="E29" s="193" t="n">
        <f aca="false">IF(C29="U",0.02,IF(C29="C",0.1,""))</f>
        <v>0.02</v>
      </c>
      <c r="F29" s="191" t="n">
        <f aca="false">E29/D29</f>
        <v>0.04</v>
      </c>
    </row>
    <row r="31" customFormat="false" ht="13.2" hidden="false" customHeight="false" outlineLevel="0" collapsed="false">
      <c r="A31" s="196" t="s">
        <v>249</v>
      </c>
    </row>
    <row r="32" customFormat="false" ht="13.2" hidden="false" customHeight="false" outlineLevel="0" collapsed="false">
      <c r="C32" s="197" t="s">
        <v>250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</row>
    <row r="33" customFormat="false" ht="13.2" hidden="false" customHeight="false" outlineLevel="0" collapsed="false">
      <c r="C33" s="193" t="s">
        <v>237</v>
      </c>
      <c r="D33" s="193" t="s">
        <v>239</v>
      </c>
      <c r="E33" s="193" t="s">
        <v>241</v>
      </c>
      <c r="F33" s="193" t="s">
        <v>242</v>
      </c>
      <c r="G33" s="193" t="s">
        <v>243</v>
      </c>
      <c r="H33" s="193" t="s">
        <v>244</v>
      </c>
      <c r="I33" s="193" t="s">
        <v>245</v>
      </c>
      <c r="J33" s="193" t="s">
        <v>246</v>
      </c>
      <c r="K33" s="193" t="s">
        <v>247</v>
      </c>
      <c r="L33" s="193" t="s">
        <v>248</v>
      </c>
      <c r="M33" s="191" t="s">
        <v>147</v>
      </c>
      <c r="N33" s="191" t="s">
        <v>151</v>
      </c>
    </row>
    <row r="34" customFormat="false" ht="13.2" hidden="false" customHeight="false" outlineLevel="0" collapsed="false">
      <c r="A34" s="197" t="s">
        <v>251</v>
      </c>
      <c r="B34" s="191" t="str">
        <f aca="false">A7</f>
        <v>Hot lab</v>
      </c>
      <c r="C34" s="192" t="n">
        <f aca="false">48*12*0.0254</f>
        <v>14.6304</v>
      </c>
      <c r="D34" s="192" t="n">
        <f aca="false">39*12*0.0254</f>
        <v>11.8872</v>
      </c>
      <c r="E34" s="192" t="n">
        <f aca="false">29*12*0.0254</f>
        <v>8.8392</v>
      </c>
      <c r="F34" s="192" t="n">
        <f aca="false">44*12*0.0254</f>
        <v>13.4112</v>
      </c>
      <c r="G34" s="192" t="n">
        <f aca="false">24*12*0.0254</f>
        <v>7.3152</v>
      </c>
      <c r="H34" s="192" t="n">
        <f aca="false">34*12*0.0254</f>
        <v>10.3632</v>
      </c>
      <c r="I34" s="192" t="n">
        <f aca="false">23*12*0.0254</f>
        <v>7.0104</v>
      </c>
      <c r="J34" s="192" t="n">
        <f aca="false">20*12*0.0254</f>
        <v>6.096</v>
      </c>
      <c r="K34" s="192" t="n">
        <f aca="false">22*12*0.0254</f>
        <v>6.7056</v>
      </c>
      <c r="L34" s="192" t="n">
        <f aca="false">9*12*0.0254</f>
        <v>2.7432</v>
      </c>
      <c r="M34" s="192" t="n">
        <f aca="false">20*12*0.0254</f>
        <v>6.096</v>
      </c>
      <c r="N34" s="192" t="n">
        <f aca="false">SQRT(2*(18^2))*12*0.0254</f>
        <v>7.75894128860375</v>
      </c>
    </row>
    <row r="35" customFormat="false" ht="13.2" hidden="false" customHeight="false" outlineLevel="0" collapsed="false">
      <c r="A35" s="197"/>
      <c r="B35" s="191" t="str">
        <f aca="false">A8</f>
        <v>NM Hold 1</v>
      </c>
      <c r="C35" s="192" t="n">
        <f aca="false">39*12*0.0254</f>
        <v>11.8872</v>
      </c>
      <c r="D35" s="192" t="n">
        <f aca="false">52*12*0.0254</f>
        <v>15.8496</v>
      </c>
      <c r="E35" s="192" t="n">
        <f aca="false">57.5*12*0.0254</f>
        <v>17.526</v>
      </c>
      <c r="F35" s="192" t="n">
        <f aca="false">74*12*0.0254</f>
        <v>22.5552</v>
      </c>
      <c r="G35" s="192" t="n">
        <f aca="false">56*12*0.0254</f>
        <v>17.0688</v>
      </c>
      <c r="H35" s="192" t="n">
        <f aca="false">65*12*0.0254</f>
        <v>19.812</v>
      </c>
      <c r="I35" s="192" t="n">
        <f aca="false">46*12*0.0254</f>
        <v>14.0208</v>
      </c>
      <c r="J35" s="192" t="n">
        <f aca="false">38*12*0.0254</f>
        <v>11.5824</v>
      </c>
      <c r="K35" s="192" t="n">
        <f aca="false">28*12*0.0254</f>
        <v>8.5344</v>
      </c>
      <c r="L35" s="192" t="n">
        <f aca="false">40*12*0.0254</f>
        <v>12.192</v>
      </c>
      <c r="M35" s="192" t="n">
        <f aca="false">20*12*0.0254</f>
        <v>6.096</v>
      </c>
      <c r="N35" s="192" t="n">
        <f aca="false">SQRT(2*(18^2))*12*0.0254</f>
        <v>7.75894128860375</v>
      </c>
    </row>
    <row r="36" customFormat="false" ht="13.2" hidden="false" customHeight="false" outlineLevel="0" collapsed="false">
      <c r="A36" s="197"/>
      <c r="B36" s="191" t="str">
        <f aca="false">A9</f>
        <v>NM Hold 2</v>
      </c>
      <c r="C36" s="192" t="n">
        <f aca="false">43*12*0.0254</f>
        <v>13.1064</v>
      </c>
      <c r="D36" s="192" t="n">
        <f aca="false">40*12*0.0254</f>
        <v>12.192</v>
      </c>
      <c r="E36" s="192" t="n">
        <f aca="false">36*12*0.0254</f>
        <v>10.9728</v>
      </c>
      <c r="F36" s="192" t="n">
        <f aca="false">52*12*0.0254</f>
        <v>15.8496</v>
      </c>
      <c r="G36" s="192" t="n">
        <f aca="false">32*12*0.0254</f>
        <v>9.7536</v>
      </c>
      <c r="H36" s="192" t="n">
        <f aca="false">43*12*0.0254</f>
        <v>13.1064</v>
      </c>
      <c r="I36" s="192" t="n">
        <f aca="false">28*12*0.0254</f>
        <v>8.5344</v>
      </c>
      <c r="J36" s="192" t="n">
        <f aca="false">22*12*0.0254</f>
        <v>6.7056</v>
      </c>
      <c r="K36" s="192" t="n">
        <f aca="false">20*12*0.0254</f>
        <v>6.096</v>
      </c>
      <c r="L36" s="192" t="n">
        <f aca="false">17*12*0.0254</f>
        <v>5.1816</v>
      </c>
      <c r="M36" s="192" t="n">
        <f aca="false">20*12*0.0254</f>
        <v>6.096</v>
      </c>
      <c r="N36" s="192" t="n">
        <f aca="false">SQRT(2*(18^2))*12*0.0254</f>
        <v>7.75894128860375</v>
      </c>
    </row>
    <row r="37" customFormat="false" ht="13.2" hidden="false" customHeight="false" outlineLevel="0" collapsed="false">
      <c r="A37" s="197"/>
      <c r="B37" s="191" t="str">
        <f aca="false">A10</f>
        <v>NM Camera 1</v>
      </c>
      <c r="C37" s="192" t="n">
        <f aca="false">25*12*0.0254</f>
        <v>7.62</v>
      </c>
      <c r="D37" s="192" t="n">
        <f aca="false">49*12*0.0254</f>
        <v>14.9352</v>
      </c>
      <c r="E37" s="192" t="n">
        <f aca="false">63*12*0.0254</f>
        <v>19.2024</v>
      </c>
      <c r="F37" s="192" t="n">
        <f aca="false">80*12*0.0254</f>
        <v>24.384</v>
      </c>
      <c r="G37" s="192" t="n">
        <f aca="false">65*12*0.0254</f>
        <v>19.812</v>
      </c>
      <c r="H37" s="192" t="n">
        <f aca="false">76*12*0.0254</f>
        <v>23.1648</v>
      </c>
      <c r="I37" s="192" t="n">
        <f aca="false">62*12*0.0254</f>
        <v>18.8976</v>
      </c>
      <c r="J37" s="192" t="n">
        <f aca="false">55*12*0.0254</f>
        <v>16.764</v>
      </c>
      <c r="K37" s="192" t="n">
        <f aca="false">46*12*0.0254</f>
        <v>14.0208</v>
      </c>
      <c r="L37" s="192" t="n">
        <f aca="false">50*12*0.0254</f>
        <v>15.24</v>
      </c>
      <c r="M37" s="192" t="n">
        <f aca="false">20*12*0.0254</f>
        <v>6.096</v>
      </c>
      <c r="N37" s="192" t="n">
        <f aca="false">SQRT(2*(18^2))*12*0.0254</f>
        <v>7.75894128860375</v>
      </c>
    </row>
    <row r="38" customFormat="false" ht="13.2" hidden="false" customHeight="false" outlineLevel="0" collapsed="false">
      <c r="A38" s="197"/>
      <c r="B38" s="191" t="str">
        <f aca="false">A11</f>
        <v>NM Camera 2</v>
      </c>
      <c r="C38" s="192" t="n">
        <f aca="false">32.5*12*0.0254</f>
        <v>9.906</v>
      </c>
      <c r="D38" s="192" t="n">
        <f aca="false">23*12*0.0254</f>
        <v>7.0104</v>
      </c>
      <c r="E38" s="192" t="n">
        <f aca="false">28*12*0.0254</f>
        <v>8.5344</v>
      </c>
      <c r="F38" s="192" t="n">
        <f aca="false">45*12*0.0254</f>
        <v>13.716</v>
      </c>
      <c r="G38" s="192" t="n">
        <f aca="false">31*12*0.0254</f>
        <v>9.4488</v>
      </c>
      <c r="H38" s="192" t="n">
        <f aca="false">42*12*0.0254</f>
        <v>12.8016</v>
      </c>
      <c r="I38" s="192" t="n">
        <f aca="false">39*12*0.0254</f>
        <v>11.8872</v>
      </c>
      <c r="J38" s="192" t="n">
        <f aca="false">37*12*0.0254</f>
        <v>11.2776</v>
      </c>
      <c r="K38" s="192" t="n">
        <f aca="false">37*12*0.0254</f>
        <v>11.2776</v>
      </c>
      <c r="L38" s="192" t="n">
        <f aca="false">17*12*0.0254</f>
        <v>5.1816</v>
      </c>
      <c r="M38" s="192" t="n">
        <f aca="false">20*12*0.0254</f>
        <v>6.096</v>
      </c>
      <c r="N38" s="192" t="n">
        <f aca="false">SQRT(2*(18^2))*12*0.0254</f>
        <v>7.75894128860375</v>
      </c>
    </row>
    <row r="39" customFormat="false" ht="13.2" hidden="false" customHeight="false" outlineLevel="0" collapsed="false">
      <c r="A39" s="197"/>
      <c r="B39" s="191" t="str">
        <f aca="false">A12</f>
        <v>Stress Lab</v>
      </c>
      <c r="C39" s="192" t="n">
        <f aca="false">51*12*0.0254</f>
        <v>15.5448</v>
      </c>
      <c r="D39" s="192" t="n">
        <f aca="false">28*12*0.0254</f>
        <v>8.5344</v>
      </c>
      <c r="E39" s="192" t="n">
        <f aca="false">5*12*0.0254</f>
        <v>1.524</v>
      </c>
      <c r="F39" s="192" t="n">
        <f aca="false">20*12*0.0254</f>
        <v>6.096</v>
      </c>
      <c r="G39" s="192" t="n">
        <f aca="false">10*12*0.0254</f>
        <v>3.048</v>
      </c>
      <c r="H39" s="192" t="n">
        <f aca="false">17*12*0.0254</f>
        <v>5.1816</v>
      </c>
      <c r="I39" s="192" t="n">
        <f aca="false">35*12*0.0254</f>
        <v>10.668</v>
      </c>
      <c r="J39" s="192" t="n">
        <f aca="false">38*12*0.0254</f>
        <v>11.5824</v>
      </c>
      <c r="K39" s="192" t="n">
        <f aca="false">43*12*0.0254</f>
        <v>13.1064</v>
      </c>
      <c r="L39" s="192" t="n">
        <f aca="false">8*12*0.0254</f>
        <v>2.4384</v>
      </c>
      <c r="M39" s="192" t="n">
        <f aca="false">20*12*0.0254</f>
        <v>6.096</v>
      </c>
      <c r="N39" s="192" t="n">
        <f aca="false">SQRT(2*(18^2))*12*0.0254</f>
        <v>7.75894128860375</v>
      </c>
    </row>
    <row r="40" customFormat="false" ht="13.2" hidden="false" customHeight="false" outlineLevel="0" collapsed="false">
      <c r="A40" s="197"/>
      <c r="B40" s="191" t="str">
        <f aca="false">A13</f>
        <v>Hot Toilet</v>
      </c>
      <c r="C40" s="192" t="n">
        <f aca="false">41*12*0.0254</f>
        <v>12.4968</v>
      </c>
      <c r="D40" s="192" t="n">
        <f aca="false">62*12*0.0254</f>
        <v>18.8976</v>
      </c>
      <c r="E40" s="192" t="n">
        <f aca="false">72*12*0.0254</f>
        <v>21.9456</v>
      </c>
      <c r="F40" s="192" t="n">
        <f aca="false">88*12*0.0254</f>
        <v>26.8224</v>
      </c>
      <c r="G40" s="192" t="n">
        <f aca="false">69*12*0.0254</f>
        <v>21.0312</v>
      </c>
      <c r="H40" s="192" t="n">
        <f aca="false">79*12*0.0254</f>
        <v>24.0792</v>
      </c>
      <c r="I40" s="192" t="n">
        <f aca="false">62*12*0.0254</f>
        <v>18.8976</v>
      </c>
      <c r="J40" s="192" t="n">
        <f aca="false">50*12*0.0254</f>
        <v>15.24</v>
      </c>
      <c r="K40" s="192" t="n">
        <f aca="false">41*12*0.0254</f>
        <v>12.4968</v>
      </c>
      <c r="L40" s="192" t="n">
        <f aca="false">55.5*12*0.0254</f>
        <v>16.9164</v>
      </c>
      <c r="M40" s="192" t="n">
        <f aca="false">20*12*0.0254</f>
        <v>6.096</v>
      </c>
      <c r="N40" s="192" t="n">
        <f aca="false">SQRT(2*(18^2))*12*0.0254</f>
        <v>7.75894128860375</v>
      </c>
    </row>
    <row r="41" customFormat="false" ht="13.2" hidden="false" customHeight="false" outlineLevel="0" collapsed="false">
      <c r="A41" s="197"/>
      <c r="B41" s="191" t="str">
        <f aca="false">A14</f>
        <v>Radiology Waiting</v>
      </c>
      <c r="C41" s="192" t="n">
        <f aca="false">80*12*0.0254</f>
        <v>24.384</v>
      </c>
      <c r="D41" s="192" t="n">
        <f aca="false">63*12*0.0254</f>
        <v>19.2024</v>
      </c>
      <c r="E41" s="192" t="n">
        <f aca="false">37*12*0.0254</f>
        <v>11.2776</v>
      </c>
      <c r="F41" s="192" t="n">
        <f aca="false">40*12*0.0254</f>
        <v>12.192</v>
      </c>
      <c r="G41" s="192" t="n">
        <f aca="false">24*12*0.0254</f>
        <v>7.3152</v>
      </c>
      <c r="H41" s="192" t="n">
        <f aca="false">26*12*0.0254</f>
        <v>7.9248</v>
      </c>
      <c r="I41" s="192" t="n">
        <f aca="false">12*12*0.0254</f>
        <v>3.6576</v>
      </c>
      <c r="J41" s="192" t="n">
        <f aca="false">22*12*0.0254</f>
        <v>6.7056</v>
      </c>
      <c r="K41" s="192" t="n">
        <f aca="false">33*12*0.0254</f>
        <v>10.0584</v>
      </c>
      <c r="L41" s="192" t="n">
        <f aca="false">20*12*0.0254</f>
        <v>6.096</v>
      </c>
      <c r="M41" s="192" t="n">
        <f aca="false">20*12*0.0254</f>
        <v>6.096</v>
      </c>
      <c r="N41" s="192" t="n">
        <f aca="false">SQRT(2*(18^2))*12*0.0254</f>
        <v>7.75894128860375</v>
      </c>
    </row>
    <row r="44" customFormat="false" ht="13.2" hidden="false" customHeight="false" outlineLevel="0" collapsed="false">
      <c r="A44" s="185" t="s">
        <v>252</v>
      </c>
    </row>
    <row r="45" customFormat="false" ht="13.2" hidden="false" customHeight="false" outlineLevel="0" collapsed="false">
      <c r="C45" s="197" t="s">
        <v>250</v>
      </c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</row>
    <row r="46" customFormat="false" ht="13.2" hidden="false" customHeight="false" outlineLevel="0" collapsed="false">
      <c r="C46" s="193" t="str">
        <f aca="false">C33</f>
        <v>Tech area</v>
      </c>
      <c r="D46" s="193" t="str">
        <f aca="false">D33</f>
        <v>CT Tech area</v>
      </c>
      <c r="E46" s="193" t="str">
        <f aca="false">E33</f>
        <v>US 1</v>
      </c>
      <c r="F46" s="193" t="str">
        <f aca="false">F33</f>
        <v>US 2</v>
      </c>
      <c r="G46" s="193" t="str">
        <f aca="false">G33</f>
        <v>Office 2221</v>
      </c>
      <c r="H46" s="193" t="str">
        <f aca="false">H33</f>
        <v>Office 2302</v>
      </c>
      <c r="I46" s="193" t="str">
        <f aca="false">I33</f>
        <v>Consult A</v>
      </c>
      <c r="J46" s="193" t="str">
        <f aca="false">J33</f>
        <v>Consult B</v>
      </c>
      <c r="K46" s="193" t="str">
        <f aca="false">K33</f>
        <v>Lactation</v>
      </c>
      <c r="L46" s="193" t="str">
        <f aca="false">L33</f>
        <v>Reading Room</v>
      </c>
      <c r="M46" s="193" t="str">
        <f aca="false">M33</f>
        <v>Floor</v>
      </c>
      <c r="N46" s="193" t="str">
        <f aca="false">N33</f>
        <v>Ceiling</v>
      </c>
    </row>
    <row r="47" customFormat="false" ht="13.2" hidden="false" customHeight="false" outlineLevel="0" collapsed="false">
      <c r="B47" s="198" t="s">
        <v>253</v>
      </c>
      <c r="C47" s="199" t="n">
        <f aca="false">SUM(C48:C55)</f>
        <v>0.990383023620428</v>
      </c>
      <c r="D47" s="199" t="n">
        <f aca="false">SUM(D48:D55)</f>
        <v>1.20694560322766</v>
      </c>
      <c r="E47" s="199" t="n">
        <f aca="false">SUM(E48:E55)</f>
        <v>13.6213401544631</v>
      </c>
      <c r="F47" s="199" t="n">
        <f aca="false">SUM(F48:F55)</f>
        <v>1.37146884277158</v>
      </c>
      <c r="G47" s="199" t="n">
        <f aca="false">SUM(G48:G55)</f>
        <v>4.6426544264576</v>
      </c>
      <c r="H47" s="199" t="n">
        <f aca="false">SUM(H48:H55)</f>
        <v>2.18370495294208</v>
      </c>
      <c r="I47" s="199" t="n">
        <f aca="false">SUM(I48:I55)</f>
        <v>4.33463407109216</v>
      </c>
      <c r="J47" s="199" t="n">
        <f aca="false">SUM(J48:J55)</f>
        <v>2.13858074998422</v>
      </c>
      <c r="K47" s="199" t="n">
        <f aca="false">SUM(K48:K55)</f>
        <v>1.70710114923096</v>
      </c>
      <c r="L47" s="199" t="n">
        <f aca="false">SUM(L48:L55)</f>
        <v>8.58261679632909</v>
      </c>
      <c r="M47" s="199" t="n">
        <f aca="false">SUM(M48:M55)</f>
        <v>4.35044751797468</v>
      </c>
      <c r="N47" s="199" t="n">
        <f aca="false">SUM(N48:N55)</f>
        <v>2.68546143084857</v>
      </c>
      <c r="O47" s="200"/>
    </row>
    <row r="48" customFormat="false" ht="13.2" hidden="false" customHeight="false" outlineLevel="0" collapsed="false">
      <c r="A48" s="197" t="s">
        <v>251</v>
      </c>
      <c r="B48" s="191" t="str">
        <f aca="false">A7</f>
        <v>Hot lab</v>
      </c>
      <c r="C48" s="201" t="n">
        <f aca="false">$E7/(C34^2)</f>
        <v>0.0344021864982387</v>
      </c>
      <c r="D48" s="201" t="n">
        <f aca="false">$E7/(D34^2)</f>
        <v>0.0521121878316516</v>
      </c>
      <c r="E48" s="201" t="n">
        <f aca="false">$E7/(E34^2)</f>
        <v>0.0942480828679454</v>
      </c>
      <c r="F48" s="201" t="n">
        <f aca="false">$E7/(F34^2)</f>
        <v>0.0409414450888131</v>
      </c>
      <c r="G48" s="201" t="n">
        <f aca="false">$E7/(G34^2)</f>
        <v>0.137608745992955</v>
      </c>
      <c r="H48" s="201" t="n">
        <f aca="false">$E7/(H34^2)</f>
        <v>0.0685662955812648</v>
      </c>
      <c r="I48" s="201" t="n">
        <f aca="false">$E7/(I34^2)</f>
        <v>0.149834853860004</v>
      </c>
      <c r="J48" s="201" t="n">
        <f aca="false">$E7/(J34^2)</f>
        <v>0.198156594229855</v>
      </c>
      <c r="K48" s="201" t="n">
        <f aca="false">$E7/(K34^2)</f>
        <v>0.163765780355252</v>
      </c>
      <c r="L48" s="201" t="n">
        <f aca="false">$E7/(L34^2)</f>
        <v>0.978551082616569</v>
      </c>
      <c r="M48" s="201" t="n">
        <f aca="false">$E7/(M34^2)</f>
        <v>0.198156594229855</v>
      </c>
      <c r="N48" s="201" t="n">
        <f aca="false">$E7/(N34^2)</f>
        <v>0.122318885327071</v>
      </c>
      <c r="O48" s="202"/>
    </row>
    <row r="49" customFormat="false" ht="13.2" hidden="false" customHeight="false" outlineLevel="0" collapsed="false">
      <c r="A49" s="197"/>
      <c r="B49" s="191" t="str">
        <f aca="false">A8</f>
        <v>NM Hold 1</v>
      </c>
      <c r="C49" s="201" t="n">
        <f aca="false">$E8/(C35^2)</f>
        <v>0.104224375663303</v>
      </c>
      <c r="D49" s="201" t="n">
        <f aca="false">$E8/(D35^2)</f>
        <v>0.058626211310608</v>
      </c>
      <c r="E49" s="201" t="n">
        <f aca="false">$E8/(E35^2)</f>
        <v>0.0479471532352013</v>
      </c>
      <c r="F49" s="201" t="n">
        <f aca="false">$E8/(F35^2)</f>
        <v>0.0289491006909942</v>
      </c>
      <c r="G49" s="201" t="n">
        <f aca="false">$E8/(G35^2)</f>
        <v>0.0505501515892488</v>
      </c>
      <c r="H49" s="201" t="n">
        <f aca="false">$E8/(H35^2)</f>
        <v>0.0375207752387891</v>
      </c>
      <c r="I49" s="201" t="n">
        <f aca="false">$E8/(I35^2)</f>
        <v>0.0749174269300019</v>
      </c>
      <c r="J49" s="201" t="n">
        <f aca="false">$E8/(J35^2)</f>
        <v>0.10978204666474</v>
      </c>
      <c r="K49" s="201" t="n">
        <f aca="false">$E8/(K35^2)</f>
        <v>0.202200606356995</v>
      </c>
      <c r="L49" s="201" t="n">
        <f aca="false">$E8/(L35^2)</f>
        <v>0.0990782971149276</v>
      </c>
      <c r="M49" s="201" t="n">
        <f aca="false">$E8/(M35^2)</f>
        <v>0.39631318845971</v>
      </c>
      <c r="N49" s="201" t="n">
        <f aca="false">$E8/(N35^2)</f>
        <v>0.244637770654142</v>
      </c>
      <c r="O49" s="202"/>
    </row>
    <row r="50" customFormat="false" ht="13.2" hidden="false" customHeight="false" outlineLevel="0" collapsed="false">
      <c r="A50" s="197"/>
      <c r="B50" s="191" t="str">
        <f aca="false">A9</f>
        <v>NM Hold 2</v>
      </c>
      <c r="C50" s="201" t="n">
        <f aca="false">$E9/(C36^2)</f>
        <v>0.0857356816570493</v>
      </c>
      <c r="D50" s="201" t="n">
        <f aca="false">$E9/(D36^2)</f>
        <v>0.0990782971149276</v>
      </c>
      <c r="E50" s="201" t="n">
        <f aca="false">$E9/(E36^2)</f>
        <v>0.122318885327071</v>
      </c>
      <c r="F50" s="201" t="n">
        <f aca="false">$E9/(F36^2)</f>
        <v>0.058626211310608</v>
      </c>
      <c r="G50" s="201" t="n">
        <f aca="false">$E9/(G36^2)</f>
        <v>0.154809839242074</v>
      </c>
      <c r="H50" s="201" t="n">
        <f aca="false">$E9/(H36^2)</f>
        <v>0.0857356816570493</v>
      </c>
      <c r="I50" s="201" t="n">
        <f aca="false">$E9/(I36^2)</f>
        <v>0.202200606356995</v>
      </c>
      <c r="J50" s="201" t="n">
        <f aca="false">$E9/(J36^2)</f>
        <v>0.327531560710504</v>
      </c>
      <c r="K50" s="201" t="n">
        <f aca="false">$E9/(K36^2)</f>
        <v>0.39631318845971</v>
      </c>
      <c r="L50" s="201" t="n">
        <f aca="false">$E9/(L36^2)</f>
        <v>0.548530364650118</v>
      </c>
      <c r="M50" s="201" t="n">
        <f aca="false">$E9/(M36^2)</f>
        <v>0.39631318845971</v>
      </c>
      <c r="N50" s="201" t="n">
        <f aca="false">$E9/(N36^2)</f>
        <v>0.244637770654142</v>
      </c>
      <c r="O50" s="202"/>
    </row>
    <row r="51" customFormat="false" ht="13.2" hidden="false" customHeight="false" outlineLevel="0" collapsed="false">
      <c r="A51" s="197"/>
      <c r="B51" s="191" t="str">
        <f aca="false">A10</f>
        <v>NM Camera 1</v>
      </c>
      <c r="C51" s="201" t="n">
        <f aca="false">$E10/(C37^2)</f>
        <v>0.29523657258722</v>
      </c>
      <c r="D51" s="201" t="n">
        <f aca="false">$E10/(D37^2)</f>
        <v>0.0768525022353239</v>
      </c>
      <c r="E51" s="201" t="n">
        <f aca="false">$E10/(E37^2)</f>
        <v>0.0464910198707515</v>
      </c>
      <c r="F51" s="201" t="n">
        <f aca="false">$E10/(F37^2)</f>
        <v>0.0288316965417207</v>
      </c>
      <c r="G51" s="201" t="n">
        <f aca="false">$E10/(G37^2)</f>
        <v>0.0436740491992929</v>
      </c>
      <c r="H51" s="201" t="n">
        <f aca="false">$E10/(H37^2)</f>
        <v>0.0319464781625714</v>
      </c>
      <c r="I51" s="201" t="n">
        <f aca="false">$E10/(I37^2)</f>
        <v>0.0480028246272145</v>
      </c>
      <c r="J51" s="201" t="n">
        <f aca="false">$E10/(J37^2)</f>
        <v>0.0609992918568637</v>
      </c>
      <c r="K51" s="201" t="n">
        <f aca="false">$E10/(K37^2)</f>
        <v>0.0872036190297791</v>
      </c>
      <c r="L51" s="201" t="n">
        <f aca="false">$E10/(L37^2)</f>
        <v>0.073809143146805</v>
      </c>
      <c r="M51" s="201" t="n">
        <f aca="false">$E10/(M37^2)</f>
        <v>0.461307144667532</v>
      </c>
      <c r="N51" s="201" t="n">
        <f aca="false">$E10/(N37^2)</f>
        <v>0.284757496708353</v>
      </c>
      <c r="O51" s="202"/>
    </row>
    <row r="52" customFormat="false" ht="13.2" hidden="false" customHeight="false" outlineLevel="0" collapsed="false">
      <c r="A52" s="197"/>
      <c r="B52" s="191" t="str">
        <f aca="false">A11</f>
        <v>NM Camera 2</v>
      </c>
      <c r="C52" s="201" t="n">
        <f aca="false">$E11/(C38^2)</f>
        <v>0.174696196797172</v>
      </c>
      <c r="D52" s="201" t="n">
        <f aca="false">$E11/(D38^2)</f>
        <v>0.348814476119117</v>
      </c>
      <c r="E52" s="201" t="n">
        <f aca="false">$E11/(E38^2)</f>
        <v>0.235360788095679</v>
      </c>
      <c r="F52" s="201" t="n">
        <f aca="false">$E11/(F38^2)</f>
        <v>0.0911223989466729</v>
      </c>
      <c r="G52" s="201" t="n">
        <f aca="false">$E11/(G38^2)</f>
        <v>0.192011298508858</v>
      </c>
      <c r="H52" s="201" t="n">
        <f aca="false">$E11/(H38^2)</f>
        <v>0.104604794709191</v>
      </c>
      <c r="I52" s="201" t="n">
        <f aca="false">$E11/(I38^2)</f>
        <v>0.121316803331369</v>
      </c>
      <c r="J52" s="201" t="n">
        <f aca="false">$E11/(J38^2)</f>
        <v>0.134786601802055</v>
      </c>
      <c r="K52" s="201" t="n">
        <f aca="false">$E11/(K38^2)</f>
        <v>0.134786601802055</v>
      </c>
      <c r="L52" s="201" t="n">
        <f aca="false">$E11/(L38^2)</f>
        <v>0.638487397463712</v>
      </c>
      <c r="M52" s="201" t="n">
        <f aca="false">$E11/(M38^2)</f>
        <v>0.461307144667532</v>
      </c>
      <c r="N52" s="201" t="n">
        <f aca="false">$E11/(N38^2)</f>
        <v>0.284757496708353</v>
      </c>
      <c r="O52" s="202"/>
    </row>
    <row r="53" customFormat="false" ht="13.2" hidden="false" customHeight="false" outlineLevel="0" collapsed="false">
      <c r="A53" s="197"/>
      <c r="B53" s="191" t="str">
        <f aca="false">A12</f>
        <v>Stress Lab</v>
      </c>
      <c r="C53" s="201" t="n">
        <f aca="false">$E12/(C39^2)</f>
        <v>0.121895636588915</v>
      </c>
      <c r="D53" s="201" t="n">
        <f aca="false">$E12/(D39^2)</f>
        <v>0.40440121271399</v>
      </c>
      <c r="E53" s="201" t="n">
        <f aca="false">$E12/(E39^2)</f>
        <v>12.6820220307107</v>
      </c>
      <c r="F53" s="201" t="n">
        <f aca="false">$E12/(F39^2)</f>
        <v>0.792626376919421</v>
      </c>
      <c r="G53" s="201" t="n">
        <f aca="false">$E12/(G39^2)</f>
        <v>3.17050550767768</v>
      </c>
      <c r="H53" s="201" t="n">
        <f aca="false">$E12/(H39^2)</f>
        <v>1.09706072930024</v>
      </c>
      <c r="I53" s="201" t="n">
        <f aca="false">$E12/(I39^2)</f>
        <v>0.258816776136954</v>
      </c>
      <c r="J53" s="201" t="n">
        <f aca="false">$E12/(J39^2)</f>
        <v>0.219564093329479</v>
      </c>
      <c r="K53" s="201" t="n">
        <f aca="false">$E12/(K39^2)</f>
        <v>0.171471363314099</v>
      </c>
      <c r="L53" s="201" t="n">
        <f aca="false">$E12/(L39^2)</f>
        <v>4.95391485574638</v>
      </c>
      <c r="M53" s="201" t="n">
        <f aca="false">$E12/(M39^2)</f>
        <v>0.792626376919421</v>
      </c>
      <c r="N53" s="201" t="n">
        <f aca="false">$E12/(N39^2)</f>
        <v>0.489275541308284</v>
      </c>
      <c r="O53" s="202"/>
    </row>
    <row r="54" customFormat="false" ht="13.2" hidden="false" customHeight="false" outlineLevel="0" collapsed="false">
      <c r="A54" s="197"/>
      <c r="B54" s="191" t="str">
        <f aca="false">A13</f>
        <v>Hot Toilet</v>
      </c>
      <c r="C54" s="201" t="n">
        <f aca="false">$E13/(C40^2)</f>
        <v>0.0968556135355422</v>
      </c>
      <c r="D54" s="201" t="n">
        <f aca="false">$E13/(D40^2)</f>
        <v>0.042355433494601</v>
      </c>
      <c r="E54" s="201" t="n">
        <f aca="false">$E13/(E40^2)</f>
        <v>0.031407076842833</v>
      </c>
      <c r="F54" s="201" t="n">
        <f aca="false">$E13/(F40^2)</f>
        <v>0.0210245721014006</v>
      </c>
      <c r="G54" s="201" t="n">
        <f aca="false">$E13/(G40^2)</f>
        <v>0.0341974976587369</v>
      </c>
      <c r="H54" s="201" t="n">
        <f aca="false">$E13/(H40^2)</f>
        <v>0.0260878523238658</v>
      </c>
      <c r="I54" s="201" t="n">
        <f aca="false">$E13/(I40^2)</f>
        <v>0.042355433494601</v>
      </c>
      <c r="J54" s="201" t="n">
        <f aca="false">$E13/(J40^2)</f>
        <v>0.0651257145412986</v>
      </c>
      <c r="K54" s="201" t="n">
        <f aca="false">$E13/(K40^2)</f>
        <v>0.0968556135355422</v>
      </c>
      <c r="L54" s="201" t="n">
        <f aca="false">$E13/(L40^2)</f>
        <v>0.0528574909027665</v>
      </c>
      <c r="M54" s="201" t="n">
        <f aca="false">$E13/(M40^2)</f>
        <v>0.407035715883116</v>
      </c>
      <c r="N54" s="201" t="n">
        <f aca="false">$E13/(N40^2)</f>
        <v>0.251256614742664</v>
      </c>
      <c r="O54" s="202"/>
    </row>
    <row r="55" customFormat="false" ht="13.2" hidden="false" customHeight="false" outlineLevel="0" collapsed="false">
      <c r="A55" s="197"/>
      <c r="B55" s="191" t="str">
        <f aca="false">A14</f>
        <v>Radiology Waiting</v>
      </c>
      <c r="C55" s="201" t="n">
        <f aca="false">$E14/(C41^2)</f>
        <v>0.077336760292988</v>
      </c>
      <c r="D55" s="201" t="n">
        <f aca="false">$E14/(D41^2)</f>
        <v>0.124705282407438</v>
      </c>
      <c r="E55" s="201" t="n">
        <f aca="false">$E14/(E41^2)</f>
        <v>0.361545117512873</v>
      </c>
      <c r="F55" s="201" t="n">
        <f aca="false">$E14/(F41^2)</f>
        <v>0.309347041171952</v>
      </c>
      <c r="G55" s="201" t="n">
        <f aca="false">$E14/(G41^2)</f>
        <v>0.859297336588755</v>
      </c>
      <c r="H55" s="201" t="n">
        <f aca="false">$E14/(H41^2)</f>
        <v>0.732182345969117</v>
      </c>
      <c r="I55" s="201" t="n">
        <f aca="false">$E14/(I41^2)</f>
        <v>3.43718934635502</v>
      </c>
      <c r="J55" s="201" t="n">
        <f aca="false">$E14/(J41^2)</f>
        <v>1.02263484684943</v>
      </c>
      <c r="K55" s="201" t="n">
        <f aca="false">$E14/(K41^2)</f>
        <v>0.454504376377523</v>
      </c>
      <c r="L55" s="201" t="n">
        <f aca="false">$E14/(L41^2)</f>
        <v>1.23738816468781</v>
      </c>
      <c r="M55" s="201" t="n">
        <f aca="false">$E14/(M41^2)</f>
        <v>1.23738816468781</v>
      </c>
      <c r="N55" s="201" t="n">
        <f aca="false">$E14/(N41^2)</f>
        <v>0.76381985474556</v>
      </c>
      <c r="O55" s="202"/>
    </row>
    <row r="57" customFormat="false" ht="13.2" hidden="false" customHeight="false" outlineLevel="0" collapsed="false">
      <c r="A57" s="185" t="s">
        <v>254</v>
      </c>
    </row>
    <row r="58" customFormat="false" ht="13.2" hidden="false" customHeight="false" outlineLevel="0" collapsed="false">
      <c r="B58" s="197" t="s">
        <v>250</v>
      </c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</row>
    <row r="59" customFormat="false" ht="13.2" hidden="false" customHeight="false" outlineLevel="0" collapsed="false">
      <c r="A59" s="191" t="s">
        <v>230</v>
      </c>
      <c r="B59" s="193" t="str">
        <f aca="false">C33</f>
        <v>Tech area</v>
      </c>
      <c r="C59" s="193" t="str">
        <f aca="false">D33</f>
        <v>CT Tech area</v>
      </c>
      <c r="D59" s="193" t="str">
        <f aca="false">E33</f>
        <v>US 1</v>
      </c>
      <c r="E59" s="193" t="str">
        <f aca="false">F33</f>
        <v>US 2</v>
      </c>
      <c r="F59" s="193" t="str">
        <f aca="false">G33</f>
        <v>Office 2221</v>
      </c>
      <c r="G59" s="193" t="str">
        <f aca="false">H33</f>
        <v>Office 2302</v>
      </c>
      <c r="H59" s="193" t="str">
        <f aca="false">I33</f>
        <v>Consult A</v>
      </c>
      <c r="I59" s="193" t="str">
        <f aca="false">J33</f>
        <v>Consult B</v>
      </c>
      <c r="J59" s="193" t="str">
        <f aca="false">K33</f>
        <v>Lactation</v>
      </c>
      <c r="K59" s="193" t="str">
        <f aca="false">L33</f>
        <v>Reading Room</v>
      </c>
      <c r="L59" s="193" t="str">
        <f aca="false">M33</f>
        <v>Floor</v>
      </c>
      <c r="M59" s="193" t="str">
        <f aca="false">N33</f>
        <v>Ceiling</v>
      </c>
    </row>
    <row r="60" customFormat="false" ht="13.2" hidden="false" customHeight="false" outlineLevel="0" collapsed="false">
      <c r="A60" s="191" t="s">
        <v>255</v>
      </c>
      <c r="B60" s="201" t="n">
        <f aca="false">C47</f>
        <v>0.990383023620428</v>
      </c>
      <c r="C60" s="201" t="n">
        <f aca="false">D47</f>
        <v>1.20694560322766</v>
      </c>
      <c r="D60" s="201" t="n">
        <f aca="false">E47</f>
        <v>13.6213401544631</v>
      </c>
      <c r="E60" s="201" t="n">
        <f aca="false">F47</f>
        <v>1.37146884277158</v>
      </c>
      <c r="F60" s="201" t="n">
        <f aca="false">G47</f>
        <v>4.6426544264576</v>
      </c>
      <c r="G60" s="201" t="n">
        <f aca="false">H47</f>
        <v>2.18370495294208</v>
      </c>
      <c r="H60" s="201" t="n">
        <f aca="false">I47</f>
        <v>4.33463407109216</v>
      </c>
      <c r="I60" s="201" t="n">
        <f aca="false">J47</f>
        <v>2.13858074998422</v>
      </c>
      <c r="J60" s="201" t="n">
        <f aca="false">K47</f>
        <v>1.70710114923096</v>
      </c>
      <c r="K60" s="201" t="n">
        <f aca="false">L47</f>
        <v>8.58261679632909</v>
      </c>
      <c r="L60" s="201" t="n">
        <f aca="false">M47</f>
        <v>4.35044751797468</v>
      </c>
      <c r="M60" s="201" t="n">
        <f aca="false">N47</f>
        <v>2.68546143084857</v>
      </c>
    </row>
    <row r="61" customFormat="false" ht="13.2" hidden="false" customHeight="false" outlineLevel="0" collapsed="false">
      <c r="A61" s="191" t="s">
        <v>235</v>
      </c>
      <c r="B61" s="193" t="n">
        <f aca="false">F18</f>
        <v>0.02</v>
      </c>
      <c r="C61" s="193" t="n">
        <f aca="false">F19</f>
        <v>0.1</v>
      </c>
      <c r="D61" s="193" t="n">
        <f aca="false">F20</f>
        <v>0.04</v>
      </c>
      <c r="E61" s="193" t="n">
        <f aca="false">F21</f>
        <v>0.04</v>
      </c>
      <c r="F61" s="193" t="n">
        <f aca="false">F22</f>
        <v>0.04</v>
      </c>
      <c r="G61" s="193" t="n">
        <f aca="false">F23</f>
        <v>0.04</v>
      </c>
      <c r="H61" s="193" t="n">
        <f aca="false">F24</f>
        <v>0.2</v>
      </c>
      <c r="I61" s="193" t="n">
        <f aca="false">F25</f>
        <v>0.2</v>
      </c>
      <c r="J61" s="193" t="n">
        <f aca="false">F26</f>
        <v>0.2</v>
      </c>
      <c r="K61" s="193" t="n">
        <f aca="false">F27</f>
        <v>0.1</v>
      </c>
      <c r="L61" s="193" t="n">
        <f aca="false">F28</f>
        <v>0.04</v>
      </c>
      <c r="M61" s="193" t="n">
        <f aca="false">F29</f>
        <v>0.04</v>
      </c>
    </row>
    <row r="62" customFormat="false" ht="13.2" hidden="false" customHeight="false" outlineLevel="0" collapsed="false">
      <c r="A62" s="191" t="s">
        <v>256</v>
      </c>
      <c r="B62" s="201" t="n">
        <f aca="false">B61/B60</f>
        <v>0.0201942072137791</v>
      </c>
      <c r="C62" s="201" t="n">
        <f aca="false">C61/C60</f>
        <v>0.0828537754581287</v>
      </c>
      <c r="D62" s="201" t="n">
        <f aca="false">D61/D60</f>
        <v>0.00293656861559939</v>
      </c>
      <c r="E62" s="201" t="n">
        <f aca="false">E61/E60</f>
        <v>0.0291658102266214</v>
      </c>
      <c r="F62" s="201" t="n">
        <f aca="false">F61/F60</f>
        <v>0.00861576079667865</v>
      </c>
      <c r="G62" s="201" t="n">
        <f aca="false">G61/G60</f>
        <v>0.0183174929131833</v>
      </c>
      <c r="H62" s="201" t="n">
        <f aca="false">H61/H60</f>
        <v>0.0461399962995279</v>
      </c>
      <c r="I62" s="201" t="n">
        <f aca="false">I61/I60</f>
        <v>0.0935199664550779</v>
      </c>
      <c r="J62" s="201" t="n">
        <f aca="false">J61/J60</f>
        <v>0.117157674042982</v>
      </c>
      <c r="K62" s="201" t="n">
        <f aca="false">K61/K60</f>
        <v>0.0116514581010737</v>
      </c>
      <c r="L62" s="201" t="n">
        <f aca="false">L61/L60</f>
        <v>0.00919445639436692</v>
      </c>
      <c r="M62" s="201" t="n">
        <f aca="false">M61/M60</f>
        <v>0.0148950193588744</v>
      </c>
    </row>
    <row r="63" customFormat="false" ht="13.2" hidden="false" customHeight="false" outlineLevel="0" collapsed="false">
      <c r="A63" s="191" t="s">
        <v>257</v>
      </c>
      <c r="B63" s="201" t="n">
        <f aca="false">-LN(B62)/LN(2)</f>
        <v>5.62991468008925</v>
      </c>
      <c r="C63" s="201" t="n">
        <f aca="false">-LN(C62)/LN(2)</f>
        <v>3.59328875049797</v>
      </c>
      <c r="D63" s="201" t="n">
        <f aca="false">-LN(D62)/LN(2)</f>
        <v>8.41165293654974</v>
      </c>
      <c r="E63" s="201" t="n">
        <f aca="false">-LN(E62)/LN(2)</f>
        <v>5.09957803697767</v>
      </c>
      <c r="F63" s="201" t="n">
        <f aca="false">-LN(F62)/LN(2)</f>
        <v>6.85880608842853</v>
      </c>
      <c r="G63" s="201" t="n">
        <f aca="false">-LN(G62)/LN(2)</f>
        <v>5.77063413225854</v>
      </c>
      <c r="H63" s="201" t="n">
        <f aca="false">-LN(H62)/LN(2)</f>
        <v>4.43783830145935</v>
      </c>
      <c r="I63" s="201" t="n">
        <f aca="false">-LN(I62)/LN(2)</f>
        <v>3.41858177738913</v>
      </c>
      <c r="J63" s="201" t="n">
        <f aca="false">-LN(J62)/LN(2)</f>
        <v>3.09347663841444</v>
      </c>
      <c r="K63" s="201" t="n">
        <f aca="false">-LN(K62)/LN(2)</f>
        <v>6.42334568008338</v>
      </c>
      <c r="L63" s="201" t="n">
        <f aca="false">-LN(L62)/LN(2)</f>
        <v>6.76502000424287</v>
      </c>
      <c r="M63" s="201" t="n">
        <f aca="false">-LN(M62)/LN(2)</f>
        <v>6.06902619113297</v>
      </c>
    </row>
    <row r="64" customFormat="false" ht="13.2" hidden="false" customHeight="false" outlineLevel="0" collapsed="false">
      <c r="A64" s="191" t="s">
        <v>258</v>
      </c>
      <c r="B64" s="194" t="n">
        <f aca="false">B63*PBHVL</f>
        <v>1.51930866038945</v>
      </c>
      <c r="C64" s="194" t="n">
        <f aca="false">C63*PBHVL</f>
        <v>0.969697593680943</v>
      </c>
      <c r="D64" s="194" t="n">
        <f aca="false">D63*PBHVL</f>
        <v>2.26999837135858</v>
      </c>
      <c r="E64" s="194" t="n">
        <f aca="false">E63*PBHVL</f>
        <v>1.37619014073393</v>
      </c>
      <c r="F64" s="194" t="n">
        <f aca="false">F63*PBHVL</f>
        <v>1.85094163628003</v>
      </c>
      <c r="G64" s="194" t="n">
        <f aca="false">G63*PBHVL</f>
        <v>1.55728370877201</v>
      </c>
      <c r="H64" s="194" t="n">
        <f aca="false">H63*PBHVL</f>
        <v>1.19761071844668</v>
      </c>
      <c r="I64" s="194" t="n">
        <f aca="false">I63*PBHVL</f>
        <v>0.922550552853944</v>
      </c>
      <c r="J64" s="194" t="n">
        <f aca="false">J63*PBHVL</f>
        <v>0.834816531781081</v>
      </c>
      <c r="K64" s="194" t="n">
        <f aca="false">K63*PBHVL</f>
        <v>1.73342675244079</v>
      </c>
      <c r="L64" s="194" t="n">
        <f aca="false">L63*PBHVL</f>
        <v>1.82563219234987</v>
      </c>
      <c r="M64" s="194" t="n">
        <f aca="false">M63*PBHVL</f>
        <v>1.6378088436986</v>
      </c>
    </row>
    <row r="66" customFormat="false" ht="13.2" hidden="false" customHeight="false" outlineLevel="0" collapsed="false">
      <c r="A66" s="183" t="s">
        <v>259</v>
      </c>
    </row>
    <row r="67" customFormat="false" ht="13.2" hidden="false" customHeight="false" outlineLevel="0" collapsed="false">
      <c r="C67" s="197" t="s">
        <v>250</v>
      </c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customFormat="false" ht="13.2" hidden="false" customHeight="false" outlineLevel="0" collapsed="false">
      <c r="C68" s="193" t="str">
        <f aca="false">C33</f>
        <v>Tech area</v>
      </c>
      <c r="D68" s="193" t="str">
        <f aca="false">D33</f>
        <v>CT Tech area</v>
      </c>
      <c r="E68" s="193" t="str">
        <f aca="false">E33</f>
        <v>US 1</v>
      </c>
      <c r="F68" s="193" t="str">
        <f aca="false">F33</f>
        <v>US 2</v>
      </c>
      <c r="G68" s="193" t="str">
        <f aca="false">G33</f>
        <v>Office 2221</v>
      </c>
      <c r="H68" s="193" t="str">
        <f aca="false">H33</f>
        <v>Office 2302</v>
      </c>
      <c r="I68" s="193" t="str">
        <f aca="false">I33</f>
        <v>Consult A</v>
      </c>
      <c r="J68" s="193" t="str">
        <f aca="false">J33</f>
        <v>Consult B</v>
      </c>
      <c r="K68" s="193" t="str">
        <f aca="false">K33</f>
        <v>Lactation</v>
      </c>
      <c r="L68" s="193" t="str">
        <f aca="false">L33</f>
        <v>Reading Room</v>
      </c>
      <c r="M68" s="193" t="str">
        <f aca="false">M33</f>
        <v>Floor</v>
      </c>
      <c r="N68" s="193" t="str">
        <f aca="false">N33</f>
        <v>Ceiling</v>
      </c>
    </row>
    <row r="69" customFormat="false" ht="13.2" hidden="false" customHeight="false" outlineLevel="0" collapsed="false">
      <c r="A69" s="197" t="s">
        <v>251</v>
      </c>
      <c r="B69" s="191" t="str">
        <f aca="false">A7</f>
        <v>Hot lab</v>
      </c>
      <c r="C69" s="194" t="n">
        <f aca="false">-LN((B$61/C48))/LN(2)*PBHVL</f>
        <v>0.211168284258484</v>
      </c>
      <c r="D69" s="194" t="n">
        <f aca="false">-LN((C$61/D48))/LN(2)*PBHVL</f>
        <v>-0.253754641047476</v>
      </c>
      <c r="E69" s="194" t="n">
        <f aca="false">-LN((D$61/E48))/LN(2)*PBHVL</f>
        <v>0.333676345851738</v>
      </c>
      <c r="F69" s="194" t="n">
        <f aca="false">-LN((E$61/F48))/LN(2)*PBHVL</f>
        <v>0.00905716669200188</v>
      </c>
      <c r="G69" s="194" t="n">
        <f aca="false">-LN((F$61/G48))/LN(2)*PBHVL</f>
        <v>0.48103181625172</v>
      </c>
      <c r="H69" s="194" t="n">
        <f aca="false">-LN((G$61/H48))/LN(2)*PBHVL</f>
        <v>0.209818782805702</v>
      </c>
      <c r="I69" s="194" t="n">
        <f aca="false">-LN((H$61/I48))/LN(2)*PBHVL</f>
        <v>-0.11243236477016</v>
      </c>
      <c r="J69" s="194" t="n">
        <f aca="false">-LN((I$61/J48))/LN(2)*PBHVL</f>
        <v>-0.00360511288080884</v>
      </c>
      <c r="K69" s="194" t="n">
        <f aca="false">-LN((J$61/K48))/LN(2)*PBHVL</f>
        <v>-0.0778194860421551</v>
      </c>
      <c r="L69" s="194" t="n">
        <f aca="false">-LN((K$61/L48))/LN(2)*PBHVL</f>
        <v>0.888025666440856</v>
      </c>
      <c r="M69" s="194" t="n">
        <f aca="false">-LN((L$61/M48))/LN(2)*PBHVL</f>
        <v>0.622998603839819</v>
      </c>
      <c r="N69" s="194" t="n">
        <f aca="false">-LN((M$61/N48))/LN(2)*PBHVL</f>
        <v>0.435175255188542</v>
      </c>
      <c r="O69" s="195"/>
    </row>
    <row r="70" customFormat="false" ht="13.2" hidden="false" customHeight="false" outlineLevel="0" collapsed="false">
      <c r="A70" s="197"/>
      <c r="B70" s="191" t="str">
        <f aca="false">A8</f>
        <v>NM Hold 1</v>
      </c>
      <c r="C70" s="194" t="n">
        <f aca="false">-LN((B$61/C49))/LN(2)*PBHVL</f>
        <v>0.642712607666388</v>
      </c>
      <c r="D70" s="194" t="n">
        <f aca="false">-LN((C$61/D49))/LN(2)*PBHVL</f>
        <v>-0.207898079984298</v>
      </c>
      <c r="E70" s="194" t="n">
        <f aca="false">-LN((D$61/E49))/LN(2)*PBHVL</f>
        <v>0.0705545144889185</v>
      </c>
      <c r="F70" s="194" t="n">
        <f aca="false">-LN((E$61/F49))/LN(2)*PBHVL</f>
        <v>-0.125886336744571</v>
      </c>
      <c r="G70" s="194" t="n">
        <f aca="false">-LN((F$61/G49))/LN(2)*PBHVL</f>
        <v>0.091137075637721</v>
      </c>
      <c r="H70" s="194" t="n">
        <f aca="false">-LN((G$61/H49))/LN(2)*PBHVL</f>
        <v>-0.0249112007252192</v>
      </c>
      <c r="I70" s="194" t="n">
        <f aca="false">-LN((H$61/I49))/LN(2)*PBHVL</f>
        <v>-0.382295896763395</v>
      </c>
      <c r="J70" s="194" t="n">
        <f aca="false">-LN((I$61/J49))/LN(2)*PBHVL</f>
        <v>-0.233528528318103</v>
      </c>
      <c r="K70" s="194" t="n">
        <f aca="false">-LN((J$61/K49))/LN(2)*PBHVL</f>
        <v>0.00426042290356402</v>
      </c>
      <c r="L70" s="194" t="n">
        <f aca="false">-LN((K$61/L49))/LN(2)*PBHVL</f>
        <v>-0.00360511288080892</v>
      </c>
      <c r="M70" s="194" t="n">
        <f aca="false">-LN((L$61/M49))/LN(2)*PBHVL</f>
        <v>0.892862135833055</v>
      </c>
      <c r="N70" s="194" t="n">
        <f aca="false">-LN((M$61/N49))/LN(2)*PBHVL</f>
        <v>0.705038787181777</v>
      </c>
      <c r="O70" s="195"/>
    </row>
    <row r="71" customFormat="false" ht="13.2" hidden="false" customHeight="false" outlineLevel="0" collapsed="false">
      <c r="A71" s="197"/>
      <c r="B71" s="191" t="str">
        <f aca="false">A9</f>
        <v>NM Hold 2</v>
      </c>
      <c r="C71" s="194" t="n">
        <f aca="false">-LN((B$61/C50))/LN(2)*PBHVL</f>
        <v>0.566685284771857</v>
      </c>
      <c r="D71" s="194" t="n">
        <f aca="false">-LN((C$61/D50))/LN(2)*PBHVL</f>
        <v>-0.00360511288080892</v>
      </c>
      <c r="E71" s="194" t="n">
        <f aca="false">-LN((D$61/E50))/LN(2)*PBHVL</f>
        <v>0.435175255188542</v>
      </c>
      <c r="F71" s="194" t="n">
        <f aca="false">-LN((E$61/F50))/LN(2)*PBHVL</f>
        <v>0.148842104743095</v>
      </c>
      <c r="G71" s="194" t="n">
        <f aca="false">-LN((F$61/G50))/LN(2)*PBHVL</f>
        <v>0.526888377314898</v>
      </c>
      <c r="H71" s="194" t="n">
        <f aca="false">-LN((G$61/H50))/LN(2)*PBHVL</f>
        <v>0.296821752778621</v>
      </c>
      <c r="I71" s="194" t="n">
        <f aca="false">-LN((H$61/I50))/LN(2)*PBHVL</f>
        <v>0.00426042290356402</v>
      </c>
      <c r="J71" s="194" t="n">
        <f aca="false">-LN((I$61/J50))/LN(2)*PBHVL</f>
        <v>0.19204404595108</v>
      </c>
      <c r="K71" s="194" t="n">
        <f aca="false">-LN((J$61/K50))/LN(2)*PBHVL</f>
        <v>0.266258419112427</v>
      </c>
      <c r="L71" s="194" t="n">
        <f aca="false">-LN((K$61/L50))/LN(2)*PBHVL</f>
        <v>0.662669194058016</v>
      </c>
      <c r="M71" s="194" t="n">
        <f aca="false">-LN((L$61/M50))/LN(2)*PBHVL</f>
        <v>0.892862135833055</v>
      </c>
      <c r="N71" s="194" t="n">
        <f aca="false">-LN((M$61/N50))/LN(2)*PBHVL</f>
        <v>0.705038787181777</v>
      </c>
      <c r="O71" s="195"/>
    </row>
    <row r="72" customFormat="false" ht="13.2" hidden="false" customHeight="false" outlineLevel="0" collapsed="false">
      <c r="A72" s="197"/>
      <c r="B72" s="191" t="str">
        <f aca="false">A10</f>
        <v>NM Camera 1</v>
      </c>
      <c r="C72" s="194" t="n">
        <f aca="false">-LN((B$61/C51))/LN(2)*PBHVL</f>
        <v>1.04809586194977</v>
      </c>
      <c r="D72" s="194" t="n">
        <f aca="false">-LN((C$61/D51))/LN(2)*PBHVL</f>
        <v>-0.102503847188584</v>
      </c>
      <c r="E72" s="194" t="n">
        <f aca="false">-LN((D$61/E51))/LN(2)*PBHVL</f>
        <v>0.0585474531031583</v>
      </c>
      <c r="F72" s="194" t="n">
        <f aca="false">-LN((E$61/F51))/LN(2)*PBHVL</f>
        <v>-0.127468492548094</v>
      </c>
      <c r="G72" s="194" t="n">
        <f aca="false">-LN((F$61/G51))/LN(2)*PBHVL</f>
        <v>0.0342122988665743</v>
      </c>
      <c r="H72" s="194" t="n">
        <f aca="false">-LN((G$61/H51))/LN(2)*PBHVL</f>
        <v>-0.0875283759921524</v>
      </c>
      <c r="I72" s="194" t="n">
        <f aca="false">-LN((H$61/I51))/LN(2)*PBHVL</f>
        <v>-0.555597412885768</v>
      </c>
      <c r="J72" s="194" t="n">
        <f aca="false">-LN((I$61/J51))/LN(2)*PBHVL</f>
        <v>-0.462312823911911</v>
      </c>
      <c r="K72" s="194" t="n">
        <f aca="false">-LN((J$61/K51))/LN(2)*PBHVL</f>
        <v>-0.323172397171602</v>
      </c>
      <c r="L72" s="194" t="n">
        <f aca="false">-LN((K$61/L51))/LN(2)*PBHVL</f>
        <v>-0.118234918757329</v>
      </c>
      <c r="M72" s="194" t="n">
        <f aca="false">-LN((L$61/M51))/LN(2)*PBHVL</f>
        <v>0.951985635424848</v>
      </c>
      <c r="N72" s="194" t="n">
        <f aca="false">-LN((M$61/N51))/LN(2)*PBHVL</f>
        <v>0.764162286773571</v>
      </c>
      <c r="O72" s="195"/>
    </row>
    <row r="73" customFormat="false" ht="13.2" hidden="false" customHeight="false" outlineLevel="0" collapsed="false">
      <c r="A73" s="197"/>
      <c r="B73" s="191" t="str">
        <f aca="false">A11</f>
        <v>NM Camera 2</v>
      </c>
      <c r="C73" s="194" t="n">
        <f aca="false">-LN((B$61/C52))/LN(2)*PBHVL</f>
        <v>0.843802894846281</v>
      </c>
      <c r="D73" s="194" t="n">
        <f aca="false">-LN((C$61/D52))/LN(2)*PBHVL</f>
        <v>0.486418198808105</v>
      </c>
      <c r="E73" s="194" t="n">
        <f aca="false">-LN((D$61/E52))/LN(2)*PBHVL</f>
        <v>0.689987639215986</v>
      </c>
      <c r="F73" s="194" t="n">
        <f aca="false">-LN((E$61/F52))/LN(2)*PBHVL</f>
        <v>0.320545449312021</v>
      </c>
      <c r="G73" s="194" t="n">
        <f aca="false">-LN((F$61/G52))/LN(2)*PBHVL</f>
        <v>0.610733367821331</v>
      </c>
      <c r="H73" s="194" t="n">
        <f aca="false">-LN((G$61/H52))/LN(2)*PBHVL</f>
        <v>0.374267546159572</v>
      </c>
      <c r="I73" s="194" t="n">
        <f aca="false">-LN((H$61/I52))/LN(2)*PBHVL</f>
        <v>-0.194631141455682</v>
      </c>
      <c r="J73" s="194" t="n">
        <f aca="false">-LN((I$61/J52))/LN(2)*PBHVL</f>
        <v>-0.153639489886935</v>
      </c>
      <c r="K73" s="194" t="n">
        <f aca="false">-LN((J$61/K52))/LN(2)*PBHVL</f>
        <v>-0.153639489886935</v>
      </c>
      <c r="L73" s="194" t="n">
        <f aca="false">-LN((K$61/L52))/LN(2)*PBHVL</f>
        <v>0.721792693649809</v>
      </c>
      <c r="M73" s="194" t="n">
        <f aca="false">-LN((L$61/M52))/LN(2)*PBHVL</f>
        <v>0.951985635424848</v>
      </c>
      <c r="N73" s="194" t="n">
        <f aca="false">-LN((M$61/N52))/LN(2)*PBHVL</f>
        <v>0.764162286773571</v>
      </c>
      <c r="O73" s="195"/>
    </row>
    <row r="74" customFormat="false" ht="13.2" hidden="false" customHeight="false" outlineLevel="0" collapsed="false">
      <c r="A74" s="197"/>
      <c r="B74" s="191" t="str">
        <f aca="false">A12</f>
        <v>Stress Lab</v>
      </c>
      <c r="C74" s="194" t="n">
        <f aca="false">-LN((B$61/C53))/LN(2)*PBHVL</f>
        <v>0.703689285728995</v>
      </c>
      <c r="D74" s="194" t="n">
        <f aca="false">-LN((C$61/D53))/LN(2)*PBHVL</f>
        <v>0.543987486890035</v>
      </c>
      <c r="E74" s="194" t="n">
        <f aca="false">-LN((D$61/E53))/LN(2)*PBHVL</f>
        <v>2.24217979579923</v>
      </c>
      <c r="F74" s="194" t="n">
        <f aca="false">-LN((E$61/F53))/LN(2)*PBHVL</f>
        <v>1.16272566782629</v>
      </c>
      <c r="G74" s="194" t="n">
        <f aca="false">-LN((F$61/G53))/LN(2)*PBHVL</f>
        <v>1.70245273181276</v>
      </c>
      <c r="H74" s="194" t="n">
        <f aca="false">-LN((G$61/H53))/LN(2)*PBHVL</f>
        <v>1.28927291077864</v>
      </c>
      <c r="I74" s="194" t="n">
        <f aca="false">-LN((H$61/I53))/LN(2)*PBHVL</f>
        <v>0.100370649428485</v>
      </c>
      <c r="J74" s="194" t="n">
        <f aca="false">-LN((I$61/J53))/LN(2)*PBHVL</f>
        <v>0.0363350036751326</v>
      </c>
      <c r="K74" s="194" t="n">
        <f aca="false">-LN((J$61/K53))/LN(2)*PBHVL</f>
        <v>-0.0599184319487712</v>
      </c>
      <c r="L74" s="194" t="n">
        <f aca="false">-LN((K$61/L53))/LN(2)*PBHVL</f>
        <v>1.51946585255368</v>
      </c>
      <c r="M74" s="194" t="n">
        <f aca="false">-LN((L$61/M53))/LN(2)*PBHVL</f>
        <v>1.16272566782629</v>
      </c>
      <c r="N74" s="194" t="n">
        <f aca="false">-LN((M$61/N53))/LN(2)*PBHVL</f>
        <v>0.974902319175013</v>
      </c>
      <c r="O74" s="195"/>
    </row>
    <row r="75" customFormat="false" ht="13.2" hidden="false" customHeight="false" outlineLevel="0" collapsed="false">
      <c r="A75" s="197"/>
      <c r="B75" s="191" t="str">
        <f aca="false">A13</f>
        <v>Hot Toilet</v>
      </c>
      <c r="C75" s="194" t="n">
        <f aca="false">-LN((B$61/C54))/LN(2)*PBHVL</f>
        <v>0.614165051236079</v>
      </c>
      <c r="D75" s="194" t="n">
        <f aca="false">-LN((C$61/D54))/LN(2)*PBHVL</f>
        <v>-0.334463744881385</v>
      </c>
      <c r="E75" s="194" t="n">
        <f aca="false">-LN((D$61/E54))/LN(2)*PBHVL</f>
        <v>-0.0941581731949877</v>
      </c>
      <c r="F75" s="194" t="n">
        <f aca="false">-LN((E$61/F54))/LN(2)*PBHVL</f>
        <v>-0.250412729698292</v>
      </c>
      <c r="G75" s="194" t="n">
        <f aca="false">-LN((F$61/G54))/LN(2)*PBHVL</f>
        <v>-0.0610186374962394</v>
      </c>
      <c r="H75" s="194" t="n">
        <f aca="false">-LN((G$61/H54))/LN(2)*PBHVL</f>
        <v>-0.166403742377873</v>
      </c>
      <c r="I75" s="194" t="n">
        <f aca="false">-LN((H$61/I54))/LN(2)*PBHVL</f>
        <v>-0.60432727687462</v>
      </c>
      <c r="J75" s="194" t="n">
        <f aca="false">-LN((I$61/J54))/LN(2)*PBHVL</f>
        <v>-0.436828314739417</v>
      </c>
      <c r="K75" s="194" t="n">
        <f aca="false">-LN((J$61/K54))/LN(2)*PBHVL</f>
        <v>-0.282302197477784</v>
      </c>
      <c r="L75" s="194" t="n">
        <f aca="false">-LN((K$61/L54))/LN(2)*PBHVL</f>
        <v>-0.248225914938965</v>
      </c>
      <c r="M75" s="194" t="n">
        <f aca="false">-LN((L$61/M54))/LN(2)*PBHVL</f>
        <v>0.903255771435996</v>
      </c>
      <c r="N75" s="194" t="n">
        <f aca="false">-LN((M$61/N54))/LN(2)*PBHVL</f>
        <v>0.715432422784719</v>
      </c>
      <c r="O75" s="195"/>
    </row>
    <row r="76" customFormat="false" ht="13.2" hidden="false" customHeight="false" outlineLevel="0" collapsed="false">
      <c r="A76" s="197"/>
      <c r="B76" s="191" t="str">
        <f aca="false">A14</f>
        <v>Radiology Waiting</v>
      </c>
      <c r="C76" s="194" t="n">
        <f aca="false">-LN((B$61/C55))/LN(2)*PBHVL</f>
        <v>0.52654539892616</v>
      </c>
      <c r="D76" s="194" t="n">
        <f aca="false">-LN((C$61/D55))/LN(2)*PBHVL</f>
        <v>0.0859576278567844</v>
      </c>
      <c r="E76" s="194" t="n">
        <f aca="false">-LN((D$61/E55))/LN(2)*PBHVL</f>
        <v>0.857114586314712</v>
      </c>
      <c r="F76" s="194" t="n">
        <f aca="false">-LN((E$61/F55))/LN(2)*PBHVL</f>
        <v>0.796408930919396</v>
      </c>
      <c r="G76" s="194" t="n">
        <f aca="false">-LN((F$61/G55))/LN(2)*PBHVL</f>
        <v>1.19416920731777</v>
      </c>
      <c r="H76" s="194" t="n">
        <f aca="false">-LN((G$61/H55))/LN(2)*PBHVL</f>
        <v>1.13184302780238</v>
      </c>
      <c r="I76" s="194" t="n">
        <f aca="false">-LN((H$61/I55))/LN(2)*PBHVL</f>
        <v>1.10729255458361</v>
      </c>
      <c r="J76" s="194" t="n">
        <f aca="false">-LN((I$61/J55))/LN(2)*PBHVL</f>
        <v>0.635317905023893</v>
      </c>
      <c r="K76" s="194" t="n">
        <f aca="false">-LN((J$61/K55))/LN(2)*PBHVL</f>
        <v>0.319597811967479</v>
      </c>
      <c r="L76" s="194" t="n">
        <f aca="false">-LN((K$61/L55))/LN(2)*PBHVL</f>
        <v>0.979395810178474</v>
      </c>
      <c r="M76" s="194" t="n">
        <f aca="false">-LN((L$61/M55))/LN(2)*PBHVL</f>
        <v>1.33613599490587</v>
      </c>
      <c r="N76" s="194" t="n">
        <f aca="false">-LN((M$61/N55))/LN(2)*PBHVL</f>
        <v>1.14831264625459</v>
      </c>
      <c r="O76" s="195"/>
    </row>
  </sheetData>
  <mergeCells count="7">
    <mergeCell ref="C32:N32"/>
    <mergeCell ref="A34:A41"/>
    <mergeCell ref="C45:N45"/>
    <mergeCell ref="A48:A55"/>
    <mergeCell ref="B58:M58"/>
    <mergeCell ref="C67:N67"/>
    <mergeCell ref="A69:A76"/>
  </mergeCells>
  <conditionalFormatting sqref="C48:C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D48:D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E48:E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F48:F55">
    <cfRule type="colorScale" priority="5">
      <colorScale>
        <cfvo type="min" val="0"/>
        <cfvo type="max" val="0"/>
        <color rgb="FFFFFFFF"/>
        <color rgb="FFFF0000"/>
      </colorScale>
    </cfRule>
  </conditionalFormatting>
  <conditionalFormatting sqref="G48:G55">
    <cfRule type="colorScale" priority="6">
      <colorScale>
        <cfvo type="min" val="0"/>
        <cfvo type="max" val="0"/>
        <color rgb="FFFFFFFF"/>
        <color rgb="FFFF0000"/>
      </colorScale>
    </cfRule>
  </conditionalFormatting>
  <conditionalFormatting sqref="H48:H55">
    <cfRule type="colorScale" priority="7">
      <colorScale>
        <cfvo type="min" val="0"/>
        <cfvo type="max" val="0"/>
        <color rgb="FFFFFFFF"/>
        <color rgb="FFFF0000"/>
      </colorScale>
    </cfRule>
  </conditionalFormatting>
  <conditionalFormatting sqref="I48:I55">
    <cfRule type="colorScale" priority="8">
      <colorScale>
        <cfvo type="min" val="0"/>
        <cfvo type="max" val="0"/>
        <color rgb="FFFFFFFF"/>
        <color rgb="FFFF0000"/>
      </colorScale>
    </cfRule>
  </conditionalFormatting>
  <conditionalFormatting sqref="J48:J55">
    <cfRule type="colorScale" priority="9">
      <colorScale>
        <cfvo type="min" val="0"/>
        <cfvo type="max" val="0"/>
        <color rgb="FFFFFFFF"/>
        <color rgb="FFFF0000"/>
      </colorScale>
    </cfRule>
  </conditionalFormatting>
  <conditionalFormatting sqref="K48:K55">
    <cfRule type="colorScale" priority="10">
      <colorScale>
        <cfvo type="min" val="0"/>
        <cfvo type="max" val="0"/>
        <color rgb="FFFFFFFF"/>
        <color rgb="FFFF0000"/>
      </colorScale>
    </cfRule>
  </conditionalFormatting>
  <conditionalFormatting sqref="L48:L55">
    <cfRule type="colorScale" priority="11">
      <colorScale>
        <cfvo type="min" val="0"/>
        <cfvo type="max" val="0"/>
        <color rgb="FFFFFFFF"/>
        <color rgb="FFFF0000"/>
      </colorScale>
    </cfRule>
  </conditionalFormatting>
  <conditionalFormatting sqref="C69:N76">
    <cfRule type="cellIs" priority="12" operator="lessThan" aboveAverage="0" equalAverage="0" bottom="0" percent="0" rank="0" text="" dxfId="0">
      <formula>0</formula>
    </cfRule>
  </conditionalFormatting>
  <conditionalFormatting sqref="M48:N55">
    <cfRule type="colorScale" priority="13">
      <colorScale>
        <cfvo type="min" val="0"/>
        <cfvo type="max" val="0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125" defaultRowHeight="13.2" zeroHeight="false" outlineLevelRow="0" outlineLevelCol="0"/>
  <cols>
    <col collapsed="false" customWidth="true" hidden="false" outlineLevel="0" max="1" min="1" style="203" width="18.44"/>
    <col collapsed="false" customWidth="true" hidden="false" outlineLevel="0" max="2" min="2" style="203" width="10.66"/>
    <col collapsed="false" customWidth="true" hidden="false" outlineLevel="0" max="3" min="3" style="203" width="8.33"/>
    <col collapsed="false" customWidth="true" hidden="false" outlineLevel="0" max="4" min="4" style="203" width="13"/>
    <col collapsed="false" customWidth="true" hidden="false" outlineLevel="0" max="5" min="5" style="203" width="12.33"/>
    <col collapsed="false" customWidth="true" hidden="false" outlineLevel="0" max="6" min="6" style="203" width="14.11"/>
    <col collapsed="false" customWidth="true" hidden="false" outlineLevel="0" max="7" min="7" style="203" width="13.78"/>
    <col collapsed="false" customWidth="true" hidden="false" outlineLevel="0" max="8" min="8" style="203" width="11.44"/>
    <col collapsed="false" customWidth="true" hidden="false" outlineLevel="0" max="9" min="9" style="203" width="10.11"/>
    <col collapsed="false" customWidth="false" hidden="false" outlineLevel="0" max="10" min="10" style="203" width="9.33"/>
    <col collapsed="false" customWidth="true" hidden="false" outlineLevel="0" max="11" min="11" style="203" width="10.11"/>
    <col collapsed="false" customWidth="false" hidden="false" outlineLevel="0" max="15" min="12" style="203" width="9.33"/>
    <col collapsed="false" customWidth="true" hidden="false" outlineLevel="0" max="16" min="16" style="203" width="11.44"/>
    <col collapsed="false" customWidth="false" hidden="false" outlineLevel="0" max="1024" min="17" style="203" width="9.33"/>
  </cols>
  <sheetData>
    <row r="1" customFormat="false" ht="13.2" hidden="false" customHeight="false" outlineLevel="0" collapsed="false">
      <c r="A1" s="204" t="s">
        <v>260</v>
      </c>
      <c r="B1" s="204"/>
      <c r="C1" s="204"/>
      <c r="D1" s="204"/>
      <c r="J1" s="205" t="s">
        <v>261</v>
      </c>
      <c r="K1" s="206"/>
      <c r="L1" s="206"/>
      <c r="M1" s="206"/>
      <c r="N1" s="206"/>
      <c r="O1" s="206"/>
      <c r="P1" s="206"/>
      <c r="Q1" s="206"/>
      <c r="R1" s="206"/>
      <c r="S1" s="207"/>
    </row>
    <row r="2" customFormat="false" ht="13.2" hidden="false" customHeight="false" outlineLevel="0" collapsed="false">
      <c r="A2" s="204"/>
      <c r="B2" s="204"/>
      <c r="C2" s="204"/>
      <c r="D2" s="204"/>
      <c r="J2" s="208" t="s">
        <v>262</v>
      </c>
      <c r="K2" s="209"/>
      <c r="L2" s="209"/>
      <c r="M2" s="209"/>
      <c r="N2" s="209"/>
      <c r="O2" s="209"/>
      <c r="P2" s="209"/>
      <c r="Q2" s="209"/>
      <c r="R2" s="209"/>
      <c r="S2" s="210"/>
    </row>
    <row r="3" customFormat="false" ht="13.2" hidden="false" customHeight="false" outlineLevel="0" collapsed="false">
      <c r="A3" s="204" t="s">
        <v>263</v>
      </c>
      <c r="B3" s="204"/>
      <c r="C3" s="204"/>
      <c r="D3" s="204"/>
      <c r="J3" s="208" t="s">
        <v>264</v>
      </c>
      <c r="K3" s="209"/>
      <c r="L3" s="209"/>
      <c r="M3" s="209"/>
      <c r="N3" s="209"/>
      <c r="O3" s="209"/>
      <c r="P3" s="209"/>
      <c r="Q3" s="209"/>
      <c r="R3" s="209"/>
      <c r="S3" s="210"/>
    </row>
    <row r="4" customFormat="false" ht="13.2" hidden="false" customHeight="false" outlineLevel="0" collapsed="false">
      <c r="J4" s="208" t="s">
        <v>265</v>
      </c>
      <c r="K4" s="209"/>
      <c r="L4" s="209"/>
      <c r="M4" s="209"/>
      <c r="N4" s="209"/>
      <c r="O4" s="209"/>
      <c r="P4" s="209"/>
      <c r="Q4" s="209"/>
      <c r="R4" s="209"/>
      <c r="S4" s="210"/>
    </row>
    <row r="5" customFormat="false" ht="13.2" hidden="false" customHeight="false" outlineLevel="0" collapsed="false">
      <c r="J5" s="208" t="s">
        <v>266</v>
      </c>
      <c r="K5" s="209"/>
      <c r="L5" s="209"/>
      <c r="M5" s="209"/>
      <c r="N5" s="209"/>
      <c r="O5" s="209"/>
      <c r="P5" s="209"/>
      <c r="Q5" s="209"/>
      <c r="R5" s="209"/>
      <c r="S5" s="210"/>
    </row>
    <row r="6" customFormat="false" ht="13.2" hidden="false" customHeight="false" outlineLevel="0" collapsed="false">
      <c r="A6" s="204" t="s">
        <v>267</v>
      </c>
      <c r="J6" s="208" t="s">
        <v>268</v>
      </c>
      <c r="K6" s="209"/>
      <c r="L6" s="209"/>
      <c r="M6" s="209"/>
      <c r="N6" s="209"/>
      <c r="O6" s="209"/>
      <c r="P6" s="209"/>
      <c r="Q6" s="209"/>
      <c r="R6" s="209"/>
      <c r="S6" s="210"/>
    </row>
    <row r="7" customFormat="false" ht="13.2" hidden="false" customHeight="false" outlineLevel="0" collapsed="false">
      <c r="J7" s="208"/>
      <c r="K7" s="209"/>
      <c r="L7" s="209"/>
      <c r="M7" s="209"/>
      <c r="N7" s="209"/>
      <c r="O7" s="209"/>
      <c r="P7" s="209"/>
      <c r="Q7" s="209"/>
      <c r="R7" s="209"/>
      <c r="S7" s="210"/>
    </row>
    <row r="8" customFormat="false" ht="13.8" hidden="false" customHeight="false" outlineLevel="0" collapsed="false">
      <c r="J8" s="211"/>
      <c r="K8" s="212"/>
      <c r="L8" s="212"/>
      <c r="M8" s="212"/>
      <c r="N8" s="212"/>
      <c r="O8" s="212"/>
      <c r="P8" s="212"/>
      <c r="Q8" s="212"/>
      <c r="R8" s="212"/>
      <c r="S8" s="213"/>
    </row>
    <row r="9" customFormat="false" ht="13.8" hidden="false" customHeight="false" outlineLevel="0" collapsed="false">
      <c r="A9" s="204" t="s">
        <v>232</v>
      </c>
    </row>
    <row r="10" customFormat="false" ht="13.2" hidden="false" customHeight="false" outlineLevel="0" collapsed="false">
      <c r="J10" s="205" t="s">
        <v>269</v>
      </c>
      <c r="K10" s="206"/>
      <c r="L10" s="206"/>
      <c r="M10" s="206"/>
      <c r="N10" s="206"/>
      <c r="O10" s="206"/>
      <c r="P10" s="206"/>
      <c r="Q10" s="206"/>
      <c r="R10" s="206"/>
      <c r="S10" s="207"/>
    </row>
    <row r="11" customFormat="false" ht="13.2" hidden="false" customHeight="false" outlineLevel="0" collapsed="false">
      <c r="J11" s="208" t="s">
        <v>270</v>
      </c>
      <c r="K11" s="209"/>
      <c r="L11" s="209"/>
      <c r="M11" s="209"/>
      <c r="N11" s="209"/>
      <c r="O11" s="209"/>
      <c r="P11" s="209"/>
      <c r="Q11" s="209"/>
      <c r="R11" s="209"/>
      <c r="S11" s="210"/>
    </row>
    <row r="12" customFormat="false" ht="13.2" hidden="false" customHeight="false" outlineLevel="0" collapsed="false">
      <c r="J12" s="208" t="s">
        <v>271</v>
      </c>
      <c r="K12" s="209"/>
      <c r="L12" s="209"/>
      <c r="M12" s="209"/>
      <c r="N12" s="209"/>
      <c r="O12" s="209"/>
      <c r="P12" s="209"/>
      <c r="Q12" s="209"/>
      <c r="R12" s="209"/>
      <c r="S12" s="210"/>
    </row>
    <row r="13" customFormat="false" ht="13.8" hidden="false" customHeight="false" outlineLevel="0" collapsed="false">
      <c r="A13" s="214" t="s">
        <v>272</v>
      </c>
      <c r="B13" s="215" t="s">
        <v>273</v>
      </c>
      <c r="C13" s="216"/>
      <c r="J13" s="208"/>
      <c r="K13" s="209"/>
      <c r="L13" s="209"/>
      <c r="M13" s="209"/>
      <c r="N13" s="209"/>
      <c r="O13" s="209"/>
      <c r="P13" s="209"/>
      <c r="Q13" s="209"/>
      <c r="R13" s="209"/>
      <c r="S13" s="210"/>
    </row>
    <row r="14" customFormat="false" ht="13.8" hidden="false" customHeight="false" outlineLevel="0" collapsed="false">
      <c r="A14" s="217"/>
      <c r="B14" s="218"/>
      <c r="C14" s="219"/>
      <c r="J14" s="208" t="s">
        <v>274</v>
      </c>
      <c r="K14" s="209"/>
      <c r="L14" s="209"/>
      <c r="M14" s="209"/>
      <c r="N14" s="209"/>
      <c r="O14" s="209"/>
      <c r="P14" s="209"/>
      <c r="Q14" s="209"/>
      <c r="R14" s="209"/>
      <c r="S14" s="210"/>
    </row>
    <row r="15" customFormat="false" ht="13.2" hidden="false" customHeight="false" outlineLevel="0" collapsed="false">
      <c r="A15" s="217"/>
      <c r="B15" s="218"/>
      <c r="C15" s="219"/>
      <c r="J15" s="208" t="s">
        <v>275</v>
      </c>
      <c r="K15" s="209"/>
      <c r="L15" s="209"/>
      <c r="M15" s="209"/>
      <c r="N15" s="209"/>
      <c r="O15" s="209"/>
      <c r="P15" s="209"/>
      <c r="Q15" s="209"/>
      <c r="R15" s="209"/>
      <c r="S15" s="210"/>
    </row>
    <row r="16" customFormat="false" ht="13.8" hidden="false" customHeight="false" outlineLevel="0" collapsed="false">
      <c r="A16" s="220"/>
      <c r="B16" s="221"/>
      <c r="C16" s="222"/>
      <c r="J16" s="211" t="s">
        <v>276</v>
      </c>
      <c r="K16" s="212"/>
      <c r="L16" s="212"/>
      <c r="M16" s="212"/>
      <c r="N16" s="212"/>
      <c r="O16" s="212"/>
      <c r="P16" s="212"/>
      <c r="Q16" s="212"/>
      <c r="R16" s="212"/>
      <c r="S16" s="213"/>
    </row>
    <row r="17" customFormat="false" ht="13.8" hidden="false" customHeight="false" outlineLevel="0" collapsed="false"/>
    <row r="18" customFormat="false" ht="13.2" hidden="false" customHeight="false" outlineLevel="0" collapsed="false">
      <c r="A18" s="223" t="s">
        <v>164</v>
      </c>
      <c r="B18" s="224"/>
      <c r="C18" s="224"/>
      <c r="D18" s="224"/>
      <c r="E18" s="224"/>
      <c r="F18" s="224"/>
      <c r="G18" s="225"/>
      <c r="H18" s="209"/>
      <c r="I18" s="209"/>
      <c r="J18" s="205" t="s">
        <v>277</v>
      </c>
      <c r="K18" s="206"/>
      <c r="L18" s="206"/>
      <c r="M18" s="206"/>
      <c r="N18" s="207"/>
      <c r="P18" s="226"/>
      <c r="Q18" s="227" t="s">
        <v>278</v>
      </c>
      <c r="R18" s="227"/>
      <c r="S18" s="227"/>
      <c r="T18" s="227"/>
      <c r="U18" s="227"/>
      <c r="V18" s="227"/>
    </row>
    <row r="19" customFormat="false" ht="13.2" hidden="false" customHeight="false" outlineLevel="0" collapsed="false">
      <c r="A19" s="225"/>
      <c r="B19" s="228" t="s">
        <v>202</v>
      </c>
      <c r="C19" s="229"/>
      <c r="D19" s="209"/>
      <c r="E19" s="228" t="s">
        <v>279</v>
      </c>
      <c r="F19" s="230" t="n">
        <f aca="false">+C19*C20*5</f>
        <v>0</v>
      </c>
      <c r="G19" s="225"/>
      <c r="H19" s="209"/>
      <c r="I19" s="209"/>
      <c r="J19" s="208" t="s">
        <v>280</v>
      </c>
      <c r="K19" s="209"/>
      <c r="L19" s="231" t="n">
        <v>5</v>
      </c>
      <c r="M19" s="232" t="s">
        <v>281</v>
      </c>
      <c r="N19" s="210"/>
      <c r="P19" s="225"/>
      <c r="Q19" s="233" t="s">
        <v>282</v>
      </c>
      <c r="R19" s="233"/>
      <c r="S19" s="233"/>
      <c r="T19" s="76" t="s">
        <v>96</v>
      </c>
      <c r="U19" s="76"/>
      <c r="V19" s="76"/>
    </row>
    <row r="20" customFormat="false" ht="13.8" hidden="false" customHeight="false" outlineLevel="0" collapsed="false">
      <c r="A20" s="225"/>
      <c r="B20" s="228" t="s">
        <v>283</v>
      </c>
      <c r="C20" s="229"/>
      <c r="D20" s="209"/>
      <c r="E20" s="228" t="s">
        <v>284</v>
      </c>
      <c r="F20" s="230" t="n">
        <f aca="false">+F19*52</f>
        <v>0</v>
      </c>
      <c r="G20" s="225"/>
      <c r="H20" s="209"/>
      <c r="I20" s="209"/>
      <c r="J20" s="211" t="s">
        <v>285</v>
      </c>
      <c r="K20" s="212"/>
      <c r="L20" s="234" t="n">
        <v>1</v>
      </c>
      <c r="M20" s="235" t="s">
        <v>281</v>
      </c>
      <c r="N20" s="213"/>
      <c r="P20" s="54" t="s">
        <v>38</v>
      </c>
      <c r="Q20" s="59" t="s">
        <v>41</v>
      </c>
      <c r="R20" s="59" t="s">
        <v>42</v>
      </c>
      <c r="S20" s="236" t="s">
        <v>43</v>
      </c>
      <c r="T20" s="59" t="s">
        <v>41</v>
      </c>
      <c r="U20" s="59" t="s">
        <v>42</v>
      </c>
      <c r="V20" s="236" t="s">
        <v>43</v>
      </c>
    </row>
    <row r="21" customFormat="false" ht="13.8" hidden="false" customHeight="false" outlineLevel="0" collapsed="false">
      <c r="A21" s="225"/>
      <c r="B21" s="228" t="s">
        <v>286</v>
      </c>
      <c r="C21" s="229"/>
      <c r="D21" s="209"/>
      <c r="E21" s="228" t="s">
        <v>287</v>
      </c>
      <c r="F21" s="230" t="n">
        <f aca="false">+F20*C22</f>
        <v>0</v>
      </c>
      <c r="G21" s="225"/>
      <c r="H21" s="209"/>
      <c r="I21" s="209"/>
      <c r="P21" s="237" t="n">
        <v>100</v>
      </c>
      <c r="Q21" s="237" t="n">
        <v>2.507</v>
      </c>
      <c r="R21" s="237" t="n">
        <v>15.33</v>
      </c>
      <c r="S21" s="237" t="n">
        <v>0.9124</v>
      </c>
      <c r="T21" s="237" t="n">
        <v>0.0395</v>
      </c>
      <c r="U21" s="237" t="n">
        <v>0.0844</v>
      </c>
      <c r="V21" s="237" t="n">
        <v>0.5191</v>
      </c>
    </row>
    <row r="22" customFormat="false" ht="13.2" hidden="false" customHeight="false" outlineLevel="0" collapsed="false">
      <c r="A22" s="225"/>
      <c r="B22" s="228" t="s">
        <v>288</v>
      </c>
      <c r="C22" s="229"/>
      <c r="D22" s="209"/>
      <c r="E22" s="228" t="s">
        <v>289</v>
      </c>
      <c r="F22" s="238" t="n">
        <f aca="false">+F19*C22/60</f>
        <v>0</v>
      </c>
      <c r="G22" s="225"/>
      <c r="H22" s="209"/>
      <c r="I22" s="209"/>
      <c r="J22" s="205" t="s">
        <v>290</v>
      </c>
      <c r="K22" s="206"/>
      <c r="L22" s="207"/>
      <c r="P22" s="237" t="n">
        <v>120</v>
      </c>
      <c r="Q22" s="239" t="n">
        <f aca="false">AVERAGE(Q21,Q23)</f>
        <v>2.37</v>
      </c>
      <c r="R22" s="237" t="n">
        <f aca="false">AVERAGE(R21,R23)</f>
        <v>11.609</v>
      </c>
      <c r="S22" s="239" t="n">
        <f aca="false">AVERAGE(S21,S23)</f>
        <v>0.82095</v>
      </c>
      <c r="T22" s="240" t="n">
        <f aca="false">AVERAGE(T21,T23)</f>
        <v>0.0373</v>
      </c>
      <c r="U22" s="237" t="n">
        <f aca="false">AVERAGE(U21,U23)</f>
        <v>0.0752</v>
      </c>
      <c r="V22" s="239" t="n">
        <f aca="false">AVERAGE(V21,V23)</f>
        <v>0.65115</v>
      </c>
    </row>
    <row r="23" customFormat="false" ht="13.2" hidden="false" customHeight="false" outlineLevel="0" collapsed="false">
      <c r="A23" s="220"/>
      <c r="B23" s="241" t="s">
        <v>291</v>
      </c>
      <c r="C23" s="229"/>
      <c r="D23" s="242"/>
      <c r="E23" s="242"/>
      <c r="F23" s="242"/>
      <c r="G23" s="225"/>
      <c r="H23" s="209"/>
      <c r="I23" s="209"/>
      <c r="J23" s="243" t="s">
        <v>292</v>
      </c>
      <c r="K23" s="244"/>
      <c r="L23" s="245" t="n">
        <v>0.27</v>
      </c>
      <c r="M23" s="209"/>
      <c r="N23" s="209"/>
      <c r="O23" s="209"/>
      <c r="P23" s="237" t="n">
        <v>125</v>
      </c>
      <c r="Q23" s="237" t="n">
        <v>2.233</v>
      </c>
      <c r="R23" s="237" t="n">
        <v>7.888</v>
      </c>
      <c r="S23" s="237" t="n">
        <v>0.7295</v>
      </c>
      <c r="T23" s="237" t="n">
        <v>0.0351</v>
      </c>
      <c r="U23" s="237" t="n">
        <v>0.066</v>
      </c>
      <c r="V23" s="237" t="n">
        <v>0.7832</v>
      </c>
    </row>
    <row r="24" customFormat="false" ht="13.8" hidden="false" customHeight="false" outlineLevel="0" collapsed="false">
      <c r="J24" s="246" t="s">
        <v>293</v>
      </c>
      <c r="K24" s="247"/>
      <c r="L24" s="248" t="n">
        <v>0.7973</v>
      </c>
      <c r="M24" s="209"/>
      <c r="N24" s="209"/>
      <c r="O24" s="209"/>
      <c r="P24" s="249"/>
      <c r="Q24" s="227" t="s">
        <v>278</v>
      </c>
      <c r="R24" s="227"/>
      <c r="S24" s="227"/>
      <c r="T24" s="227"/>
      <c r="U24" s="227"/>
      <c r="V24" s="227"/>
    </row>
    <row r="25" customFormat="false" ht="13.2" hidden="false" customHeight="false" outlineLevel="0" collapsed="false">
      <c r="A25" s="223" t="s">
        <v>294</v>
      </c>
      <c r="B25" s="250"/>
      <c r="C25" s="250"/>
      <c r="D25" s="250"/>
      <c r="E25" s="250"/>
      <c r="F25" s="250"/>
      <c r="G25" s="250"/>
      <c r="H25" s="251"/>
      <c r="I25" s="252"/>
      <c r="M25" s="209"/>
      <c r="N25" s="209"/>
      <c r="O25" s="209"/>
      <c r="P25" s="225"/>
      <c r="Q25" s="233" t="s">
        <v>282</v>
      </c>
      <c r="R25" s="233"/>
      <c r="S25" s="233"/>
      <c r="T25" s="37" t="s">
        <v>96</v>
      </c>
      <c r="U25" s="37"/>
      <c r="V25" s="253"/>
    </row>
    <row r="26" customFormat="false" ht="13.2" hidden="false" customHeight="false" outlineLevel="0" collapsed="false">
      <c r="A26" s="254"/>
      <c r="B26" s="255"/>
      <c r="C26" s="255"/>
      <c r="D26" s="255"/>
      <c r="E26" s="255" t="s">
        <v>295</v>
      </c>
      <c r="F26" s="255"/>
      <c r="G26" s="255"/>
      <c r="H26" s="256" t="s">
        <v>296</v>
      </c>
      <c r="L26" s="203" t="s">
        <v>297</v>
      </c>
      <c r="P26" s="54" t="s">
        <v>38</v>
      </c>
      <c r="Q26" s="236" t="s">
        <v>41</v>
      </c>
      <c r="R26" s="236" t="s">
        <v>42</v>
      </c>
      <c r="S26" s="236" t="s">
        <v>43</v>
      </c>
      <c r="T26" s="236" t="s">
        <v>41</v>
      </c>
      <c r="U26" s="236" t="s">
        <v>42</v>
      </c>
      <c r="V26" s="236" t="s">
        <v>43</v>
      </c>
    </row>
    <row r="27" customFormat="false" ht="12.75" hidden="false" customHeight="true" outlineLevel="0" collapsed="false">
      <c r="A27" s="254"/>
      <c r="B27" s="255" t="s">
        <v>298</v>
      </c>
      <c r="C27" s="230"/>
      <c r="D27" s="255"/>
      <c r="E27" s="255" t="s">
        <v>299</v>
      </c>
      <c r="F27" s="255" t="s">
        <v>300</v>
      </c>
      <c r="G27" s="255" t="s">
        <v>300</v>
      </c>
      <c r="H27" s="256" t="s">
        <v>49</v>
      </c>
      <c r="J27" s="257" t="s">
        <v>178</v>
      </c>
      <c r="K27" s="203" t="s">
        <v>295</v>
      </c>
      <c r="L27" s="203" t="s">
        <v>301</v>
      </c>
      <c r="P27" s="237" t="n">
        <v>120</v>
      </c>
      <c r="Q27" s="237" t="n">
        <v>2.2486</v>
      </c>
      <c r="R27" s="237" t="n">
        <v>8.60999999999999</v>
      </c>
      <c r="S27" s="237" t="n">
        <v>0.771026666666667</v>
      </c>
      <c r="T27" s="237" t="n">
        <v>0.0351</v>
      </c>
      <c r="U27" s="237" t="n">
        <v>0.066</v>
      </c>
      <c r="V27" s="237" t="n">
        <v>0.7832</v>
      </c>
    </row>
    <row r="28" customFormat="false" ht="13.8" hidden="false" customHeight="false" outlineLevel="0" collapsed="false">
      <c r="A28" s="258" t="s">
        <v>302</v>
      </c>
      <c r="B28" s="259" t="s">
        <v>303</v>
      </c>
      <c r="C28" s="259" t="s">
        <v>75</v>
      </c>
      <c r="D28" s="259" t="s">
        <v>233</v>
      </c>
      <c r="E28" s="259" t="s">
        <v>304</v>
      </c>
      <c r="F28" s="260" t="s">
        <v>305</v>
      </c>
      <c r="G28" s="259" t="s">
        <v>185</v>
      </c>
      <c r="H28" s="261" t="s">
        <v>306</v>
      </c>
      <c r="J28" s="257"/>
      <c r="K28" s="203" t="s">
        <v>307</v>
      </c>
      <c r="L28" s="203" t="s">
        <v>304</v>
      </c>
      <c r="M28" s="262" t="s">
        <v>195</v>
      </c>
      <c r="O28" s="262" t="s">
        <v>196</v>
      </c>
      <c r="P28" s="262" t="s">
        <v>308</v>
      </c>
    </row>
    <row r="29" customFormat="false" ht="13.2" hidden="false" customHeight="false" outlineLevel="0" collapsed="false">
      <c r="A29" s="263"/>
      <c r="B29" s="264"/>
      <c r="C29" s="80"/>
      <c r="D29" s="80"/>
      <c r="E29" s="230" t="str">
        <f aca="false">IF(A29="","",IF(C29="U",$L$20,IF(OR(C29="",C29="C"),$L$19,"")))</f>
        <v/>
      </c>
      <c r="F29" s="80"/>
      <c r="G29" s="265"/>
      <c r="H29" s="266" t="e">
        <f aca="false">O29</f>
        <v>#DIV/0!</v>
      </c>
      <c r="J29" s="267" t="e">
        <f aca="false">+(G29/B29)^2</f>
        <v>#DIV/0!</v>
      </c>
      <c r="K29" s="268" t="e">
        <f aca="false">+J29*(F29/1000)</f>
        <v>#DIV/0!</v>
      </c>
      <c r="L29" s="269" t="e">
        <f aca="false">IF(AND($F$21="",K29=""),"",$F$21*K29)</f>
        <v>#DIV/0!</v>
      </c>
      <c r="M29" s="267" t="e">
        <f aca="false">+E29/(D29*L29)</f>
        <v>#DIV/0!</v>
      </c>
      <c r="N29" s="267" t="e">
        <f aca="false">-(LN(M29)/LN(2))*$L$23</f>
        <v>#DIV/0!</v>
      </c>
      <c r="O29" s="270" t="e">
        <f aca="false">IF(M29&gt;1,0,LN((M29^(-$S$27)+($R$27/$Q$27))/(1+($R$27/$Q$27)))/($Q$27*$S$27))</f>
        <v>#DIV/0!</v>
      </c>
      <c r="P29" s="270" t="e">
        <f aca="false">IF(M29&gt;1,0,LN((M29^(-$V$27)+($U$27/$T$27))/(1+($U$27/$T$27)))/($T$27*$V$27))</f>
        <v>#DIV/0!</v>
      </c>
    </row>
    <row r="30" customFormat="false" ht="13.2" hidden="false" customHeight="false" outlineLevel="0" collapsed="false">
      <c r="A30" s="263"/>
      <c r="B30" s="264"/>
      <c r="C30" s="80"/>
      <c r="D30" s="80"/>
      <c r="E30" s="230" t="str">
        <f aca="false">IF(A30="","",IF(C30="U",$L$20,IF(OR(C30="",C30="C"),$L$19,"")))</f>
        <v/>
      </c>
      <c r="F30" s="80"/>
      <c r="G30" s="265"/>
      <c r="H30" s="266" t="e">
        <f aca="false">O30</f>
        <v>#DIV/0!</v>
      </c>
      <c r="J30" s="267" t="e">
        <f aca="false">+(G30/B30)^2</f>
        <v>#DIV/0!</v>
      </c>
      <c r="K30" s="268" t="e">
        <f aca="false">+J30*(F30/1000)</f>
        <v>#DIV/0!</v>
      </c>
      <c r="L30" s="269" t="e">
        <f aca="false">IF(AND($F$21="",K30=""),"",$F$21*K30)</f>
        <v>#DIV/0!</v>
      </c>
      <c r="M30" s="267" t="e">
        <f aca="false">+E30/(D30*L30)</f>
        <v>#DIV/0!</v>
      </c>
      <c r="N30" s="267" t="e">
        <f aca="false">-(LN(M30)/LN(2))*$L$23</f>
        <v>#DIV/0!</v>
      </c>
      <c r="O30" s="270" t="e">
        <f aca="false">IF(M30&gt;1,0,LN((M30^(-$S$27)+($R$27/$Q$27))/(1+($R$27/$Q$27)))/($Q$27*$S$27))</f>
        <v>#DIV/0!</v>
      </c>
      <c r="P30" s="270" t="e">
        <f aca="false">IF(M30&gt;1,0,LN((M30^(-$V$27)+($U$27/$T$27))/(1+($U$27/$T$27)))/($T$27*$V$27))</f>
        <v>#DIV/0!</v>
      </c>
    </row>
    <row r="31" customFormat="false" ht="13.2" hidden="false" customHeight="false" outlineLevel="0" collapsed="false">
      <c r="A31" s="263"/>
      <c r="B31" s="264"/>
      <c r="C31" s="80"/>
      <c r="D31" s="80"/>
      <c r="E31" s="230" t="str">
        <f aca="false">IF(A31="","",IF(C31="U",$L$20,IF(OR(C31="",C31="C"),$L$19,"")))</f>
        <v/>
      </c>
      <c r="F31" s="80"/>
      <c r="G31" s="265"/>
      <c r="H31" s="266" t="e">
        <f aca="false">O31</f>
        <v>#DIV/0!</v>
      </c>
      <c r="J31" s="267" t="e">
        <f aca="false">+(G31/B31)^2</f>
        <v>#DIV/0!</v>
      </c>
      <c r="K31" s="268" t="e">
        <f aca="false">+J31*(F31/1000)</f>
        <v>#DIV/0!</v>
      </c>
      <c r="L31" s="269" t="e">
        <f aca="false">IF(AND($F$21="",K31=""),"",$F$21*K31)</f>
        <v>#DIV/0!</v>
      </c>
      <c r="M31" s="267" t="e">
        <f aca="false">+E31/(D31*L31)</f>
        <v>#DIV/0!</v>
      </c>
      <c r="N31" s="267" t="e">
        <f aca="false">-(LN(M31)/LN(2))*$L$23</f>
        <v>#DIV/0!</v>
      </c>
      <c r="O31" s="270" t="e">
        <f aca="false">IF(M31&gt;1,0,LN((M31^(-$S$27)+($R$27/$Q$27))/(1+($R$27/$Q$27)))/($Q$27*$S$27))</f>
        <v>#DIV/0!</v>
      </c>
      <c r="P31" s="270" t="e">
        <f aca="false">IF(M31&gt;1,0,LN((M31^(-$V$27)+($U$27/$T$27))/(1+($U$27/$T$27)))/($T$27*$V$27))</f>
        <v>#DIV/0!</v>
      </c>
    </row>
    <row r="32" customFormat="false" ht="13.2" hidden="false" customHeight="false" outlineLevel="0" collapsed="false">
      <c r="A32" s="263"/>
      <c r="B32" s="264"/>
      <c r="C32" s="80"/>
      <c r="D32" s="80"/>
      <c r="E32" s="230" t="str">
        <f aca="false">IF(A32="","",IF(C32="U",$L$20,IF(OR(C32="",C32="C"),$L$19,"")))</f>
        <v/>
      </c>
      <c r="F32" s="80"/>
      <c r="G32" s="265"/>
      <c r="H32" s="266" t="e">
        <f aca="false">O32</f>
        <v>#DIV/0!</v>
      </c>
      <c r="J32" s="267" t="e">
        <f aca="false">+(G32/B32)^2</f>
        <v>#DIV/0!</v>
      </c>
      <c r="K32" s="268" t="e">
        <f aca="false">+J32*(F32/1000)</f>
        <v>#DIV/0!</v>
      </c>
      <c r="L32" s="269" t="e">
        <f aca="false">IF(AND($F$21="",K32=""),"",$F$21*K32)</f>
        <v>#DIV/0!</v>
      </c>
      <c r="M32" s="267" t="e">
        <f aca="false">+E32/(D32*L32)</f>
        <v>#DIV/0!</v>
      </c>
      <c r="N32" s="267" t="e">
        <f aca="false">-(LN(M32)/LN(2))*$L$23</f>
        <v>#DIV/0!</v>
      </c>
      <c r="O32" s="270" t="e">
        <f aca="false">IF(M32&gt;1,0,LN((M32^(-$S$27)+($R$27/$Q$27))/(1+($R$27/$Q$27)))/($Q$27*$S$27))</f>
        <v>#DIV/0!</v>
      </c>
      <c r="P32" s="270" t="e">
        <f aca="false">IF(M32&gt;1,0,LN((M32^(-$V$27)+($U$27/$T$27))/(1+($U$27/$T$27)))/($T$27*$V$27))</f>
        <v>#DIV/0!</v>
      </c>
    </row>
    <row r="33" customFormat="false" ht="13.2" hidden="false" customHeight="false" outlineLevel="0" collapsed="false">
      <c r="A33" s="263"/>
      <c r="B33" s="264"/>
      <c r="C33" s="80"/>
      <c r="D33" s="80"/>
      <c r="E33" s="230" t="str">
        <f aca="false">IF(A33="","",IF(C33="U",$L$20,IF(OR(C33="",C33="C"),$L$19,"")))</f>
        <v/>
      </c>
      <c r="F33" s="80"/>
      <c r="G33" s="265"/>
      <c r="H33" s="266" t="e">
        <f aca="false">O33</f>
        <v>#DIV/0!</v>
      </c>
      <c r="J33" s="267" t="e">
        <f aca="false">+(G33/B33)^2</f>
        <v>#DIV/0!</v>
      </c>
      <c r="K33" s="268" t="e">
        <f aca="false">+J33*(F33/1000)</f>
        <v>#DIV/0!</v>
      </c>
      <c r="L33" s="269" t="e">
        <f aca="false">IF(AND($F$21="",K33=""),"",$F$21*K33)</f>
        <v>#DIV/0!</v>
      </c>
      <c r="M33" s="267" t="e">
        <f aca="false">+E33/(D33*L33)</f>
        <v>#DIV/0!</v>
      </c>
      <c r="N33" s="267" t="e">
        <f aca="false">-(LN(M33)/LN(2))*$L$23</f>
        <v>#DIV/0!</v>
      </c>
      <c r="O33" s="270" t="e">
        <f aca="false">IF(M33&gt;1,0,LN((M33^(-$S$27)+($R$27/$Q$27))/(1+($R$27/$Q$27)))/($Q$27*$S$27))</f>
        <v>#DIV/0!</v>
      </c>
      <c r="P33" s="270" t="e">
        <f aca="false">IF(M33&gt;1,0,LN((M33^(-$V$27)+($U$27/$T$27))/(1+($U$27/$T$27)))/($T$27*$V$27))</f>
        <v>#DIV/0!</v>
      </c>
    </row>
    <row r="34" customFormat="false" ht="13.2" hidden="false" customHeight="false" outlineLevel="0" collapsed="false">
      <c r="A34" s="263"/>
      <c r="B34" s="264"/>
      <c r="C34" s="80"/>
      <c r="D34" s="80"/>
      <c r="E34" s="230" t="str">
        <f aca="false">IF(A34="","",IF(C34="U",$L$20,IF(OR(C34="",C34="C"),$L$19,"")))</f>
        <v/>
      </c>
      <c r="F34" s="80"/>
      <c r="G34" s="265"/>
      <c r="H34" s="266" t="e">
        <f aca="false">O34</f>
        <v>#DIV/0!</v>
      </c>
      <c r="J34" s="267" t="e">
        <f aca="false">+(G34/B34)^2</f>
        <v>#DIV/0!</v>
      </c>
      <c r="K34" s="268" t="e">
        <f aca="false">+J34*(F34/1000)</f>
        <v>#DIV/0!</v>
      </c>
      <c r="L34" s="269" t="e">
        <f aca="false">IF(AND($F$21="",K34=""),"",$F$21*K34)</f>
        <v>#DIV/0!</v>
      </c>
      <c r="M34" s="267" t="e">
        <f aca="false">+E34/(D34*L34)</f>
        <v>#DIV/0!</v>
      </c>
      <c r="N34" s="267" t="e">
        <f aca="false">-(LN(M34)/LN(2))*$L$23</f>
        <v>#DIV/0!</v>
      </c>
      <c r="O34" s="270" t="e">
        <f aca="false">IF(M34&gt;1,0,LN((M34^(-$S$27)+($R$27/$Q$27))/(1+($R$27/$Q$27)))/($Q$27*$S$27))</f>
        <v>#DIV/0!</v>
      </c>
      <c r="P34" s="270" t="e">
        <f aca="false">IF(M34&gt;1,0,LN((M34^(-$V$27)+($U$27/$T$27))/(1+($U$27/$T$27)))/($T$27*$V$27))</f>
        <v>#DIV/0!</v>
      </c>
    </row>
    <row r="35" customFormat="false" ht="13.2" hidden="false" customHeight="false" outlineLevel="0" collapsed="false">
      <c r="A35" s="263"/>
      <c r="B35" s="264"/>
      <c r="C35" s="80"/>
      <c r="D35" s="80"/>
      <c r="E35" s="230" t="str">
        <f aca="false">IF(A35="","",IF(C35="U",$L$20,IF(OR(C35="",C35="C"),$L$19,"")))</f>
        <v/>
      </c>
      <c r="F35" s="80"/>
      <c r="G35" s="265"/>
      <c r="H35" s="266" t="e">
        <f aca="false">O35</f>
        <v>#DIV/0!</v>
      </c>
      <c r="J35" s="267" t="e">
        <f aca="false">+(G35/B35)^2</f>
        <v>#DIV/0!</v>
      </c>
      <c r="K35" s="268" t="e">
        <f aca="false">+J35*(F35/1000)</f>
        <v>#DIV/0!</v>
      </c>
      <c r="L35" s="269" t="e">
        <f aca="false">IF(AND($F$21="",K35=""),"",$F$21*K35)</f>
        <v>#DIV/0!</v>
      </c>
      <c r="M35" s="267" t="e">
        <f aca="false">+E35/(D35*L35)</f>
        <v>#DIV/0!</v>
      </c>
      <c r="N35" s="267" t="e">
        <f aca="false">-(LN(M35)/LN(2))*$L$23</f>
        <v>#DIV/0!</v>
      </c>
      <c r="O35" s="270" t="e">
        <f aca="false">IF(M35&gt;1,0,LN((M35^(-$S$27)+($R$27/$Q$27))/(1+($R$27/$Q$27)))/($Q$27*$S$27))</f>
        <v>#DIV/0!</v>
      </c>
      <c r="P35" s="270" t="e">
        <f aca="false">IF(M35&gt;1,0,LN((M35^(-$V$27)+($U$27/$T$27))/(1+($U$27/$T$27)))/($T$27*$V$27))</f>
        <v>#DIV/0!</v>
      </c>
    </row>
    <row r="36" customFormat="false" ht="13.2" hidden="false" customHeight="false" outlineLevel="0" collapsed="false">
      <c r="A36" s="263"/>
      <c r="B36" s="264"/>
      <c r="C36" s="80"/>
      <c r="D36" s="80"/>
      <c r="E36" s="233" t="str">
        <f aca="false">IF(A36="","",IF(C36="U",$L$20,IF(OR(C36="",C36="C"),$L$19,"")))</f>
        <v/>
      </c>
      <c r="F36" s="80"/>
      <c r="G36" s="265"/>
      <c r="H36" s="266" t="e">
        <f aca="false">O36</f>
        <v>#DIV/0!</v>
      </c>
      <c r="J36" s="267" t="e">
        <f aca="false">+(G36/B36)^2</f>
        <v>#DIV/0!</v>
      </c>
      <c r="K36" s="268" t="e">
        <f aca="false">+J36*(F36/1000)</f>
        <v>#DIV/0!</v>
      </c>
      <c r="L36" s="269" t="e">
        <f aca="false">IF(AND($F$21="",K36=""),"",$F$21*K36)</f>
        <v>#DIV/0!</v>
      </c>
      <c r="M36" s="267" t="e">
        <f aca="false">+E36/(D36*L36)</f>
        <v>#DIV/0!</v>
      </c>
      <c r="N36" s="267" t="e">
        <f aca="false">-(LN(M36)/LN(2))*$L$23</f>
        <v>#DIV/0!</v>
      </c>
      <c r="O36" s="270" t="e">
        <f aca="false">IF(M36&gt;1,0,LN((M36^(-$S$27)+($R$27/$Q$27))/(1+($R$27/$Q$27)))/($Q$27*$S$27))</f>
        <v>#DIV/0!</v>
      </c>
      <c r="P36" s="270" t="e">
        <f aca="false">IF(M36&gt;1,0,LN((M36^(-$V$27)+($U$27/$T$27))/(1+($U$27/$T$27)))/($T$27*$V$27))</f>
        <v>#DIV/0!</v>
      </c>
    </row>
    <row r="37" customFormat="false" ht="13.2" hidden="false" customHeight="false" outlineLevel="0" collapsed="false">
      <c r="A37" s="263"/>
      <c r="B37" s="264"/>
      <c r="C37" s="80"/>
      <c r="D37" s="80"/>
      <c r="E37" s="233" t="str">
        <f aca="false">IF(A37="","",IF(C37="U",$L$20,IF(OR(C37="",C37="C"),$L$19,"")))</f>
        <v/>
      </c>
      <c r="F37" s="80"/>
      <c r="G37" s="265"/>
      <c r="H37" s="266" t="e">
        <f aca="false">O37</f>
        <v>#DIV/0!</v>
      </c>
      <c r="J37" s="267" t="e">
        <f aca="false">+(G37/B37)^2</f>
        <v>#DIV/0!</v>
      </c>
      <c r="K37" s="268" t="e">
        <f aca="false">+J37*(F37/1000)</f>
        <v>#DIV/0!</v>
      </c>
      <c r="L37" s="269" t="e">
        <f aca="false">IF(AND($F$21="",K37=""),"",$F$21*K37)</f>
        <v>#DIV/0!</v>
      </c>
      <c r="M37" s="267" t="e">
        <f aca="false">+E37/(D37*L37)</f>
        <v>#DIV/0!</v>
      </c>
      <c r="N37" s="267" t="e">
        <f aca="false">-(LN(M37)/LN(2))*$L$23</f>
        <v>#DIV/0!</v>
      </c>
      <c r="O37" s="270" t="e">
        <f aca="false">IF(M37&gt;1,0,LN((M37^(-$S$27)+($R$27/$Q$27))/(1+($R$27/$Q$27)))/($Q$27*$S$27))</f>
        <v>#DIV/0!</v>
      </c>
      <c r="P37" s="270" t="e">
        <f aca="false">IF(M37&gt;1,0,LN((M37^(-$V$27)+($U$27/$T$27))/(1+($U$27/$T$27)))/($T$27*$V$27))</f>
        <v>#DIV/0!</v>
      </c>
    </row>
    <row r="38" customFormat="false" ht="13.2" hidden="false" customHeight="false" outlineLevel="0" collapsed="false">
      <c r="A38" s="263"/>
      <c r="B38" s="264"/>
      <c r="C38" s="80"/>
      <c r="D38" s="80"/>
      <c r="E38" s="233" t="str">
        <f aca="false">IF(A38="","",IF(C38="U",$L$20,IF(OR(C38="",C38="C"),$L$19,"")))</f>
        <v/>
      </c>
      <c r="F38" s="80"/>
      <c r="G38" s="265"/>
      <c r="H38" s="266" t="e">
        <f aca="false">O38</f>
        <v>#DIV/0!</v>
      </c>
      <c r="J38" s="271" t="e">
        <f aca="false">+(G38/B38)^2</f>
        <v>#DIV/0!</v>
      </c>
      <c r="K38" s="268" t="e">
        <f aca="false">+J38*(F38/1000)</f>
        <v>#DIV/0!</v>
      </c>
      <c r="L38" s="269" t="e">
        <f aca="false">IF(AND($F$21="",K38=""),"",$F$21*K38)</f>
        <v>#DIV/0!</v>
      </c>
      <c r="M38" s="271" t="e">
        <f aca="false">+E38/(D38*L38)</f>
        <v>#DIV/0!</v>
      </c>
      <c r="N38" s="267" t="e">
        <f aca="false">-(LN(M38)/LN(2))*$L$23</f>
        <v>#DIV/0!</v>
      </c>
      <c r="O38" s="270" t="e">
        <f aca="false">IF(M38&gt;1,0,LN((M38^(-$S$27)+($R$27/$Q$27))/(1+($R$27/$Q$27)))/($Q$27*$S$27))</f>
        <v>#DIV/0!</v>
      </c>
      <c r="P38" s="270" t="e">
        <f aca="false">IF(M38&gt;1,0,LN((M38^(-$V$27)+($U$27/$T$27))/(1+($U$27/$T$27)))/($T$27*$V$27))</f>
        <v>#DIV/0!</v>
      </c>
    </row>
    <row r="39" customFormat="false" ht="13.2" hidden="false" customHeight="false" outlineLevel="0" collapsed="false">
      <c r="A39" s="263"/>
      <c r="B39" s="264"/>
      <c r="C39" s="80"/>
      <c r="D39" s="80"/>
      <c r="E39" s="233" t="str">
        <f aca="false">IF(A39="","",IF(C39="U",$L$20,IF(OR(C39="",C39="C"),$L$19,"")))</f>
        <v/>
      </c>
      <c r="F39" s="80"/>
      <c r="G39" s="265"/>
      <c r="H39" s="266" t="e">
        <f aca="false">O39</f>
        <v>#DIV/0!</v>
      </c>
      <c r="J39" s="271" t="e">
        <f aca="false">+(G39/B39)^2</f>
        <v>#DIV/0!</v>
      </c>
      <c r="K39" s="268" t="e">
        <f aca="false">+J39*(F39/1000)</f>
        <v>#DIV/0!</v>
      </c>
      <c r="L39" s="269" t="e">
        <f aca="false">IF(AND($F$21="",K39=""),"",$F$21*K39)</f>
        <v>#DIV/0!</v>
      </c>
      <c r="M39" s="271" t="e">
        <f aca="false">+E39/(D39*L39)</f>
        <v>#DIV/0!</v>
      </c>
      <c r="N39" s="267" t="e">
        <f aca="false">-(LN(M39)/LN(2))*$L$23</f>
        <v>#DIV/0!</v>
      </c>
      <c r="O39" s="270" t="e">
        <f aca="false">IF(M39&gt;1,0,LN((M39^(-$S$27)+($R$27/$Q$27))/(1+($R$27/$Q$27)))/($Q$27*$S$27))</f>
        <v>#DIV/0!</v>
      </c>
      <c r="P39" s="270" t="e">
        <f aca="false">IF(M39&gt;1,0,LN((M39^(-$V$27)+($U$27/$T$27))/(1+($U$27/$T$27)))/($T$27*$V$27))</f>
        <v>#DIV/0!</v>
      </c>
    </row>
    <row r="40" customFormat="false" ht="13.2" hidden="false" customHeight="false" outlineLevel="0" collapsed="false">
      <c r="A40" s="263"/>
      <c r="B40" s="264"/>
      <c r="C40" s="80"/>
      <c r="D40" s="80"/>
      <c r="E40" s="233" t="str">
        <f aca="false">IF(A40="","",IF(C40="U",$L$20,IF(OR(C40="",C40="C"),$L$19,"")))</f>
        <v/>
      </c>
      <c r="F40" s="80"/>
      <c r="G40" s="265"/>
      <c r="H40" s="266" t="e">
        <f aca="false">O40</f>
        <v>#DIV/0!</v>
      </c>
      <c r="J40" s="271" t="e">
        <f aca="false">+(G40/B40)^2</f>
        <v>#DIV/0!</v>
      </c>
      <c r="K40" s="268" t="e">
        <f aca="false">+J40*(F40/1000)</f>
        <v>#DIV/0!</v>
      </c>
      <c r="L40" s="269" t="e">
        <f aca="false">IF(AND($F$21="",K40=""),"",$F$21*K40)</f>
        <v>#DIV/0!</v>
      </c>
      <c r="M40" s="271" t="e">
        <f aca="false">+E40/(D40*L40)</f>
        <v>#DIV/0!</v>
      </c>
      <c r="N40" s="267" t="e">
        <f aca="false">-(LN(M40)/LN(2))*$L$23</f>
        <v>#DIV/0!</v>
      </c>
      <c r="O40" s="270" t="e">
        <f aca="false">IF(M40&gt;1,0,LN((M40^(-$S$27)+($R$27/$Q$27))/(1+($R$27/$Q$27)))/($Q$27*$S$27))</f>
        <v>#DIV/0!</v>
      </c>
      <c r="P40" s="270" t="e">
        <f aca="false">IF(M40&gt;1,0,LN((M40^(-$V$27)+($U$27/$T$27))/(1+($U$27/$T$27)))/($T$27*$V$27))</f>
        <v>#DIV/0!</v>
      </c>
    </row>
    <row r="41" customFormat="false" ht="13.2" hidden="false" customHeight="false" outlineLevel="0" collapsed="false">
      <c r="A41" s="263"/>
      <c r="B41" s="264"/>
      <c r="C41" s="80"/>
      <c r="D41" s="80"/>
      <c r="E41" s="233" t="str">
        <f aca="false">IF(A41="","",IF(C41="U",$L$20,IF(OR(C41="",C41="C"),$L$19,"")))</f>
        <v/>
      </c>
      <c r="F41" s="80"/>
      <c r="G41" s="265"/>
      <c r="H41" s="266" t="e">
        <f aca="false">O41</f>
        <v>#DIV/0!</v>
      </c>
      <c r="J41" s="271" t="e">
        <f aca="false">+(G41/B41)^2</f>
        <v>#DIV/0!</v>
      </c>
      <c r="K41" s="268" t="e">
        <f aca="false">+J41*(F41/1000)</f>
        <v>#DIV/0!</v>
      </c>
      <c r="L41" s="269" t="e">
        <f aca="false">IF(AND($F$21="",K41=""),"",$F$21*K41)</f>
        <v>#DIV/0!</v>
      </c>
      <c r="M41" s="271" t="e">
        <f aca="false">+E41/(D41*L41)</f>
        <v>#DIV/0!</v>
      </c>
      <c r="N41" s="267" t="e">
        <f aca="false">-(LN(M41)/LN(2))*$L$23</f>
        <v>#DIV/0!</v>
      </c>
      <c r="O41" s="270" t="e">
        <f aca="false">IF(M41&gt;1,0,LN((M41^(-$S$27)+($R$27/$Q$27))/(1+($R$27/$Q$27)))/($Q$27*$S$27))</f>
        <v>#DIV/0!</v>
      </c>
      <c r="P41" s="270" t="e">
        <f aca="false">IF(M41&gt;1,0,LN((M41^(-$V$27)+($U$27/$T$27))/(1+($U$27/$T$27)))/($T$27*$V$27))</f>
        <v>#DIV/0!</v>
      </c>
    </row>
    <row r="42" customFormat="false" ht="13.2" hidden="false" customHeight="false" outlineLevel="0" collapsed="false">
      <c r="A42" s="263"/>
      <c r="B42" s="80"/>
      <c r="C42" s="80"/>
      <c r="D42" s="80"/>
      <c r="E42" s="233" t="str">
        <f aca="false">IF(A42="","",IF(C42="U",$L$20,IF(OR(C42="",C42="C"),$L$19,"")))</f>
        <v/>
      </c>
      <c r="F42" s="80"/>
      <c r="G42" s="265"/>
      <c r="H42" s="266" t="e">
        <f aca="false">O42</f>
        <v>#DIV/0!</v>
      </c>
      <c r="J42" s="271" t="e">
        <f aca="false">+(G42/B42)^2</f>
        <v>#DIV/0!</v>
      </c>
      <c r="K42" s="268" t="e">
        <f aca="false">+J42*(F42/1000)</f>
        <v>#DIV/0!</v>
      </c>
      <c r="L42" s="269" t="e">
        <f aca="false">IF(AND($F$21="",K42=""),"",$F$21*K42)</f>
        <v>#DIV/0!</v>
      </c>
      <c r="M42" s="271" t="e">
        <f aca="false">+E42/(D42*L42)</f>
        <v>#DIV/0!</v>
      </c>
      <c r="N42" s="267" t="e">
        <f aca="false">-(LN(M42)/LN(2))*$L$23</f>
        <v>#DIV/0!</v>
      </c>
      <c r="O42" s="270" t="e">
        <f aca="false">IF(M42&gt;1,0,LN((M42^(-$S$27)+($R$27/$Q$27))/(1+($R$27/$Q$27)))/($Q$27*$S$27))</f>
        <v>#DIV/0!</v>
      </c>
      <c r="P42" s="270" t="e">
        <f aca="false">IF(M42&gt;1,0,LN((M42^(-$V$27)+($U$27/$T$27))/(1+($U$27/$T$27)))/($T$27*$V$27))</f>
        <v>#DIV/0!</v>
      </c>
    </row>
    <row r="43" customFormat="false" ht="13.2" hidden="false" customHeight="false" outlineLevel="0" collapsed="false">
      <c r="A43" s="263"/>
      <c r="B43" s="80"/>
      <c r="C43" s="80"/>
      <c r="D43" s="80"/>
      <c r="E43" s="272" t="str">
        <f aca="false">IF(A43="","",IF(C43="U",$L$20,IF(OR(C43="",C43="C"),$L$19,"")))</f>
        <v/>
      </c>
      <c r="F43" s="80"/>
      <c r="G43" s="265"/>
      <c r="H43" s="266" t="e">
        <f aca="false">O43</f>
        <v>#DIV/0!</v>
      </c>
      <c r="J43" s="271" t="e">
        <f aca="false">+(G43/B43)^2</f>
        <v>#DIV/0!</v>
      </c>
      <c r="K43" s="268" t="e">
        <f aca="false">+J43*(F43/1000)</f>
        <v>#DIV/0!</v>
      </c>
      <c r="L43" s="269" t="e">
        <f aca="false">IF(AND($F$21="",K43=""),"",$F$21*K43)</f>
        <v>#DIV/0!</v>
      </c>
      <c r="M43" s="271" t="e">
        <f aca="false">+E43/(D43*L43)</f>
        <v>#DIV/0!</v>
      </c>
      <c r="N43" s="267" t="e">
        <f aca="false">-(LN(M43)/LN(2))*$L$23</f>
        <v>#DIV/0!</v>
      </c>
      <c r="O43" s="270" t="e">
        <f aca="false">IF(M43&gt;1,0,LN((M43^(-$S$27)+($R$27/$Q$27))/(1+($R$27/$Q$27)))/($Q$27*$S$27))</f>
        <v>#DIV/0!</v>
      </c>
      <c r="P43" s="270" t="e">
        <f aca="false">IF(M43&gt;1,0,LN((M43^(-$V$27)+($U$27/$T$27))/(1+($U$27/$T$27)))/($T$27*$V$27))</f>
        <v>#DIV/0!</v>
      </c>
    </row>
    <row r="44" customFormat="false" ht="13.2" hidden="false" customHeight="false" outlineLevel="0" collapsed="false">
      <c r="A44" s="273"/>
      <c r="B44" s="274"/>
      <c r="C44" s="274"/>
      <c r="D44" s="274"/>
      <c r="E44" s="275" t="str">
        <f aca="false">IF(A44="","",IF(C44="U",$L$20,IF(OR(C44="",C44="C"),$L$19,"")))</f>
        <v/>
      </c>
      <c r="F44" s="274"/>
      <c r="G44" s="276"/>
      <c r="H44" s="277" t="e">
        <f aca="false">O44</f>
        <v>#DIV/0!</v>
      </c>
      <c r="J44" s="271" t="e">
        <f aca="false">+(G44/C44)^2</f>
        <v>#DIV/0!</v>
      </c>
      <c r="K44" s="268" t="e">
        <f aca="false">+J44*(F44/1000)</f>
        <v>#DIV/0!</v>
      </c>
      <c r="L44" s="269" t="e">
        <f aca="false">IF(AND($F$21="",K44=""),"",$F$21*K44)</f>
        <v>#DIV/0!</v>
      </c>
      <c r="M44" s="271" t="e">
        <f aca="false">+E44/(D44*L44)</f>
        <v>#DIV/0!</v>
      </c>
      <c r="N44" s="267" t="e">
        <f aca="false">-(LN(M44)/LN(2))*$L$23</f>
        <v>#DIV/0!</v>
      </c>
      <c r="O44" s="270" t="e">
        <f aca="false">IF(M44&gt;1,0,LN((M44^(-$S$27)+($R$27/$Q$27))/(1+($R$27/$Q$27)))/($Q$27*$S$27))</f>
        <v>#DIV/0!</v>
      </c>
      <c r="P44" s="270" t="e">
        <f aca="false">IF(M44&gt;1,0,LN((M44^(-$V$27)+($U$27/$T$27))/(1+($U$27/$T$27)))/($T$27*$V$27))</f>
        <v>#DIV/0!</v>
      </c>
    </row>
    <row r="45" customFormat="false" ht="13.2" hidden="false" customHeight="false" outlineLevel="0" collapsed="false">
      <c r="A45" s="209"/>
      <c r="B45" s="209"/>
      <c r="C45" s="209"/>
      <c r="D45" s="209"/>
      <c r="E45" s="209"/>
      <c r="F45" s="209"/>
      <c r="G45" s="209"/>
      <c r="H45" s="209"/>
      <c r="I45" s="278"/>
      <c r="J45" s="271"/>
      <c r="K45" s="230"/>
      <c r="L45" s="269"/>
      <c r="M45" s="271"/>
      <c r="N45" s="271"/>
      <c r="O45" s="279"/>
    </row>
    <row r="46" customFormat="false" ht="13.2" hidden="false" customHeight="false" outlineLevel="0" collapsed="false">
      <c r="I46" s="280"/>
      <c r="J46" s="271"/>
      <c r="K46" s="230"/>
      <c r="L46" s="269"/>
      <c r="M46" s="271"/>
      <c r="N46" s="271"/>
      <c r="O46" s="279"/>
    </row>
    <row r="47" customFormat="false" ht="13.2" hidden="false" customHeight="false" outlineLevel="0" collapsed="false">
      <c r="J47" s="271"/>
      <c r="K47" s="230"/>
      <c r="L47" s="269"/>
      <c r="M47" s="271"/>
      <c r="N47" s="271"/>
      <c r="O47" s="279"/>
    </row>
    <row r="48" customFormat="false" ht="13.2" hidden="false" customHeight="false" outlineLevel="0" collapsed="false">
      <c r="J48" s="271"/>
      <c r="K48" s="230"/>
      <c r="L48" s="269"/>
      <c r="M48" s="271"/>
      <c r="N48" s="271"/>
      <c r="O48" s="279"/>
    </row>
    <row r="49" customFormat="false" ht="13.2" hidden="false" customHeight="false" outlineLevel="0" collapsed="false">
      <c r="A49" s="262" t="s">
        <v>10</v>
      </c>
      <c r="J49" s="271"/>
      <c r="K49" s="230"/>
      <c r="L49" s="269"/>
      <c r="M49" s="271"/>
      <c r="N49" s="271"/>
      <c r="O49" s="279"/>
    </row>
    <row r="50" customFormat="false" ht="13.2" hidden="false" customHeight="false" outlineLevel="0" collapsed="false">
      <c r="A50" s="203" t="s">
        <v>309</v>
      </c>
      <c r="J50" s="271"/>
      <c r="K50" s="230"/>
      <c r="L50" s="269"/>
      <c r="M50" s="271"/>
      <c r="N50" s="271"/>
      <c r="O50" s="279"/>
    </row>
  </sheetData>
  <mergeCells count="5">
    <mergeCell ref="Q18:V18"/>
    <mergeCell ref="Q19:S19"/>
    <mergeCell ref="T19:V19"/>
    <mergeCell ref="Q24:V24"/>
    <mergeCell ref="J27:J2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3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4" activeCellId="0" sqref="A34"/>
    </sheetView>
  </sheetViews>
  <sheetFormatPr defaultColWidth="10.64453125" defaultRowHeight="15.6" zeroHeight="false" outlineLevelRow="0" outlineLevelCol="0"/>
  <cols>
    <col collapsed="false" customWidth="true" hidden="false" outlineLevel="0" max="1" min="1" style="281" width="17.67"/>
    <col collapsed="false" customWidth="true" hidden="false" outlineLevel="0" max="2" min="2" style="281" width="14"/>
    <col collapsed="false" customWidth="false" hidden="false" outlineLevel="0" max="3" min="3" style="281" width="10.66"/>
    <col collapsed="false" customWidth="true" hidden="false" outlineLevel="0" max="4" min="4" style="281" width="12.67"/>
    <col collapsed="false" customWidth="true" hidden="false" outlineLevel="0" max="5" min="5" style="281" width="14"/>
    <col collapsed="false" customWidth="true" hidden="false" outlineLevel="0" max="6" min="6" style="281" width="15.77"/>
    <col collapsed="false" customWidth="false" hidden="false" outlineLevel="0" max="19" min="7" style="281" width="10.66"/>
    <col collapsed="false" customWidth="true" hidden="false" outlineLevel="0" max="20" min="20" style="281" width="11.02"/>
    <col collapsed="false" customWidth="true" hidden="false" outlineLevel="0" max="21" min="21" style="281" width="13.11"/>
    <col collapsed="false" customWidth="true" hidden="false" outlineLevel="0" max="22" min="22" style="281" width="11.02"/>
    <col collapsed="false" customWidth="false" hidden="false" outlineLevel="0" max="1024" min="23" style="281" width="10.66"/>
  </cols>
  <sheetData>
    <row r="1" customFormat="false" ht="15.6" hidden="false" customHeight="false" outlineLevel="0" collapsed="false">
      <c r="D1" s="282" t="s">
        <v>310</v>
      </c>
      <c r="I1" s="283" t="s">
        <v>311</v>
      </c>
      <c r="M1" s="284" t="s">
        <v>1</v>
      </c>
    </row>
    <row r="2" customFormat="false" ht="15.6" hidden="false" customHeight="false" outlineLevel="0" collapsed="false">
      <c r="A2" s="285" t="n">
        <f aca="false">Table!B3</f>
        <v>0</v>
      </c>
      <c r="L2" s="284" t="s">
        <v>3</v>
      </c>
      <c r="M2" s="281" t="s">
        <v>4</v>
      </c>
    </row>
    <row r="3" customFormat="false" ht="15.6" hidden="false" customHeight="false" outlineLevel="0" collapsed="false">
      <c r="A3" s="285"/>
      <c r="L3" s="284" t="s">
        <v>5</v>
      </c>
      <c r="M3" s="281" t="s">
        <v>6</v>
      </c>
    </row>
    <row r="4" customFormat="false" ht="15.6" hidden="false" customHeight="false" outlineLevel="0" collapsed="false">
      <c r="A4" s="285"/>
      <c r="L4" s="284" t="s">
        <v>11</v>
      </c>
      <c r="M4" s="281" t="s">
        <v>12</v>
      </c>
    </row>
    <row r="5" customFormat="false" ht="15" hidden="false" customHeight="false" outlineLevel="0" collapsed="false">
      <c r="A5" s="281" t="s">
        <v>312</v>
      </c>
      <c r="B5" s="286"/>
      <c r="D5" s="287" t="s">
        <v>313</v>
      </c>
      <c r="E5" s="288"/>
      <c r="L5" s="284" t="s">
        <v>16</v>
      </c>
      <c r="M5" s="281" t="s">
        <v>17</v>
      </c>
    </row>
    <row r="6" customFormat="false" ht="15.6" hidden="false" customHeight="false" outlineLevel="0" collapsed="false">
      <c r="L6" s="284" t="s">
        <v>19</v>
      </c>
      <c r="M6" s="281" t="s">
        <v>20</v>
      </c>
    </row>
    <row r="7" customFormat="false" ht="15.6" hidden="false" customHeight="false" outlineLevel="0" collapsed="false">
      <c r="A7" s="285" t="s">
        <v>314</v>
      </c>
      <c r="L7" s="284" t="s">
        <v>23</v>
      </c>
      <c r="M7" s="281" t="s">
        <v>24</v>
      </c>
    </row>
    <row r="8" customFormat="false" ht="15.6" hidden="false" customHeight="false" outlineLevel="0" collapsed="false">
      <c r="L8" s="284" t="s">
        <v>27</v>
      </c>
      <c r="M8" s="281" t="s">
        <v>28</v>
      </c>
    </row>
    <row r="9" customFormat="false" ht="15.6" hidden="false" customHeight="false" outlineLevel="0" collapsed="false">
      <c r="A9" s="281" t="s">
        <v>315</v>
      </c>
      <c r="L9" s="284" t="s">
        <v>31</v>
      </c>
      <c r="M9" s="281" t="s">
        <v>32</v>
      </c>
      <c r="R9" s="289"/>
    </row>
    <row r="10" customFormat="false" ht="15.6" hidden="false" customHeight="false" outlineLevel="0" collapsed="false">
      <c r="V10" s="281" t="s">
        <v>7</v>
      </c>
    </row>
    <row r="11" customFormat="false" ht="16.2" hidden="false" customHeight="false" outlineLevel="0" collapsed="false">
      <c r="L11" s="290" t="s">
        <v>39</v>
      </c>
      <c r="T11" s="291" t="s">
        <v>13</v>
      </c>
      <c r="U11" s="291" t="s">
        <v>14</v>
      </c>
      <c r="V11" s="291" t="s">
        <v>15</v>
      </c>
    </row>
    <row r="12" customFormat="false" ht="15.6" hidden="false" customHeight="false" outlineLevel="0" collapsed="false">
      <c r="A12" s="281" t="s">
        <v>316</v>
      </c>
      <c r="B12" s="281" t="s">
        <v>317</v>
      </c>
      <c r="F12" s="281" t="s">
        <v>318</v>
      </c>
      <c r="L12" s="292" t="s">
        <v>40</v>
      </c>
      <c r="M12" s="293" t="s">
        <v>41</v>
      </c>
      <c r="N12" s="293" t="s">
        <v>42</v>
      </c>
      <c r="O12" s="293" t="s">
        <v>43</v>
      </c>
      <c r="P12" s="294" t="s">
        <v>45</v>
      </c>
      <c r="Q12" s="294" t="s">
        <v>46</v>
      </c>
      <c r="T12" s="281" t="n">
        <v>-25.4</v>
      </c>
      <c r="U12" s="281" t="n">
        <v>-1</v>
      </c>
      <c r="V12" s="295" t="s">
        <v>18</v>
      </c>
    </row>
    <row r="13" customFormat="false" ht="15.6" hidden="false" customHeight="false" outlineLevel="0" collapsed="false">
      <c r="L13" s="296" t="s">
        <v>49</v>
      </c>
      <c r="M13" s="297" t="str">
        <f aca="false">IF(RefkV="","",VLOOKUP(RefkV,FitParameters!$A$5:$AF$30,2))</f>
        <v/>
      </c>
      <c r="N13" s="297" t="str">
        <f aca="false">IF(RefkV="","",VLOOKUP(RefkV,FitParameters!$A$5:$AF$30,3))</f>
        <v/>
      </c>
      <c r="O13" s="297" t="str">
        <f aca="false">IF(RefkV="","",VLOOKUP(RefkV,FitParameters!$A$5:$AF$30,4))</f>
        <v/>
      </c>
      <c r="P13" s="297" t="str">
        <f aca="false">IF(RefkV="","",VLOOKUP(RefkV,FitParameters!$A$5:$AF$30,5))</f>
        <v/>
      </c>
      <c r="Q13" s="297" t="str">
        <f aca="false">IF(RefkV="","",VLOOKUP(RefkV,FitParameters!$A$5:$AF$30,6))</f>
        <v/>
      </c>
      <c r="T13" s="281" t="n">
        <v>0</v>
      </c>
      <c r="U13" s="281" t="n">
        <v>0</v>
      </c>
      <c r="V13" s="298" t="s">
        <v>21</v>
      </c>
    </row>
    <row r="14" customFormat="false" ht="15.6" hidden="false" customHeight="false" outlineLevel="0" collapsed="false">
      <c r="B14" s="281" t="s">
        <v>319</v>
      </c>
      <c r="F14" s="281" t="s">
        <v>298</v>
      </c>
      <c r="G14" s="281" t="s">
        <v>297</v>
      </c>
      <c r="L14" s="296" t="s">
        <v>51</v>
      </c>
      <c r="M14" s="297" t="str">
        <f aca="false">IF(RefkV="","",VLOOKUP(RefkV,FitParameters!$A$5:$AF$30,7))</f>
        <v/>
      </c>
      <c r="N14" s="297" t="str">
        <f aca="false">IF(RefkV="","",VLOOKUP(RefkV,FitParameters!$A$5:$AF$30,8))</f>
        <v/>
      </c>
      <c r="O14" s="297" t="str">
        <f aca="false">IF(RefkV="","",VLOOKUP(RefkV,FitParameters!$A$5:$AF$30,9))</f>
        <v/>
      </c>
      <c r="P14" s="297" t="str">
        <f aca="false">IF(RefkV="","",VLOOKUP(RefkV,FitParameters!$A$5:$AF$30,10))</f>
        <v/>
      </c>
      <c r="Q14" s="297" t="str">
        <f aca="false">IF(RefkV="","",VLOOKUP(RefkV,FitParameters!$A$5:$AF$30,11))</f>
        <v/>
      </c>
      <c r="T14" s="281" t="n">
        <v>0.099218751</v>
      </c>
      <c r="U14" s="299" t="n">
        <v>0.00390625</v>
      </c>
      <c r="V14" s="298" t="n">
        <v>0.0078125</v>
      </c>
    </row>
    <row r="15" customFormat="false" ht="15.6" hidden="false" customHeight="false" outlineLevel="0" collapsed="false">
      <c r="B15" s="281" t="s">
        <v>320</v>
      </c>
      <c r="C15" s="281" t="s">
        <v>291</v>
      </c>
      <c r="D15" s="281" t="s">
        <v>321</v>
      </c>
      <c r="E15" s="281" t="s">
        <v>322</v>
      </c>
      <c r="F15" s="281" t="s">
        <v>303</v>
      </c>
      <c r="G15" s="281" t="s">
        <v>323</v>
      </c>
      <c r="H15" s="281" t="s">
        <v>324</v>
      </c>
      <c r="L15" s="300" t="s">
        <v>53</v>
      </c>
      <c r="M15" s="297" t="str">
        <f aca="false">IF(RefkV="","",VLOOKUP(RefkV,FitParameters!$A$5:$AF$30,12))</f>
        <v/>
      </c>
      <c r="N15" s="297" t="str">
        <f aca="false">IF(RefkV="","",VLOOKUP(RefkV,FitParameters!$A$5:$AF$30,13))</f>
        <v/>
      </c>
      <c r="O15" s="297" t="str">
        <f aca="false">IF(RefkV="","",VLOOKUP(RefkV,FitParameters!$A$5:$AF$30,14))</f>
        <v/>
      </c>
      <c r="P15" s="297" t="str">
        <f aca="false">IF(RefkV="","",VLOOKUP(RefkV,FitParameters!$A$5:$AF$30,15))</f>
        <v/>
      </c>
      <c r="Q15" s="297" t="str">
        <f aca="false">IF(RefkV="","",VLOOKUP(RefkV,FitParameters!$A$5:$AF$30,16))</f>
        <v/>
      </c>
      <c r="T15" s="281" t="n">
        <v>0.198437501</v>
      </c>
      <c r="U15" s="299" t="n">
        <v>0.0078125</v>
      </c>
      <c r="V15" s="298" t="n">
        <v>0.015625</v>
      </c>
    </row>
    <row r="16" customFormat="false" ht="15" hidden="false" customHeight="false" outlineLevel="0" collapsed="false">
      <c r="B16" s="301"/>
      <c r="C16" s="301"/>
      <c r="D16" s="301"/>
      <c r="E16" s="301"/>
      <c r="F16" s="302"/>
      <c r="G16" s="301"/>
      <c r="H16" s="281" t="str">
        <f aca="false">IF(NOT(OR(B16="",D16="")),RefExp/(D16*B16/1000),IF(E16="","",RefExp/E16))</f>
        <v/>
      </c>
      <c r="L16" s="300" t="s">
        <v>55</v>
      </c>
      <c r="M16" s="297" t="str">
        <f aca="false">IF(RefkV="","",VLOOKUP(RefkV,FitParameters!$A$5:$AF$30,17))</f>
        <v/>
      </c>
      <c r="N16" s="297" t="str">
        <f aca="false">IF(RefkV="","",VLOOKUP(RefkV,FitParameters!$A$5:$AF$30,18))</f>
        <v/>
      </c>
      <c r="O16" s="297" t="str">
        <f aca="false">IF(RefkV="","",VLOOKUP(RefkV,FitParameters!$A$5:$AF$30,19))</f>
        <v/>
      </c>
      <c r="P16" s="297" t="str">
        <f aca="false">IF(RefkV="","",VLOOKUP(RefkV,FitParameters!$A$5:$AF$30,20))</f>
        <v/>
      </c>
      <c r="Q16" s="297" t="str">
        <f aca="false">IF(RefkV="","",VLOOKUP(RefkV,FitParameters!$A$5:$AF$30,21))</f>
        <v/>
      </c>
      <c r="T16" s="281" t="n">
        <v>0.396875001</v>
      </c>
      <c r="U16" s="299" t="n">
        <v>0.015625</v>
      </c>
      <c r="V16" s="298" t="n">
        <v>0.03125</v>
      </c>
    </row>
    <row r="17" customFormat="false" ht="15.6" hidden="false" customHeight="false" outlineLevel="0" collapsed="false">
      <c r="L17" s="300" t="s">
        <v>58</v>
      </c>
      <c r="M17" s="297" t="str">
        <f aca="false">IF(RefkV="","",VLOOKUP(RefkV,FitParameters!$A$5:$AF$30,22))</f>
        <v/>
      </c>
      <c r="N17" s="297" t="str">
        <f aca="false">IF(RefkV="","",VLOOKUP(RefkV,FitParameters!$A$5:$AF$30,23))</f>
        <v/>
      </c>
      <c r="O17" s="297" t="str">
        <f aca="false">IF(RefkV="","",VLOOKUP(RefkV,FitParameters!$A$5:$AF$30,24))</f>
        <v/>
      </c>
      <c r="P17" s="297" t="str">
        <f aca="false">IF(RefkV="","",VLOOKUP(RefkV,FitParameters!$A$5:$AF$30,25))</f>
        <v/>
      </c>
      <c r="Q17" s="297" t="str">
        <f aca="false">IF(RefkV="","",VLOOKUP(RefkV,FitParameters!$A$5:$AF$30,26))</f>
        <v/>
      </c>
      <c r="T17" s="281" t="n">
        <v>0.595312501</v>
      </c>
      <c r="U17" s="299" t="n">
        <v>0.0234375</v>
      </c>
      <c r="V17" s="298" t="n">
        <v>0.03125</v>
      </c>
    </row>
    <row r="18" customFormat="false" ht="15.6" hidden="false" customHeight="true" outlineLevel="0" collapsed="false">
      <c r="A18" s="303"/>
      <c r="B18" s="303"/>
      <c r="C18" s="303"/>
      <c r="D18" s="303" t="s">
        <v>325</v>
      </c>
      <c r="E18" s="303" t="s">
        <v>326</v>
      </c>
      <c r="F18" s="304" t="s">
        <v>327</v>
      </c>
      <c r="G18" s="303"/>
      <c r="H18" s="303"/>
      <c r="L18" s="300" t="s">
        <v>59</v>
      </c>
      <c r="M18" s="297" t="str">
        <f aca="false">IF(RefkV="","",VLOOKUP(RefkV,FitParameters!$A$5:$AF$30,27))</f>
        <v/>
      </c>
      <c r="N18" s="297" t="str">
        <f aca="false">IF(RefkV="","",VLOOKUP(RefkV,FitParameters!$A$5:$AF$30,28))</f>
        <v/>
      </c>
      <c r="O18" s="297" t="str">
        <f aca="false">IF(RefkV="","",VLOOKUP(RefkV,FitParameters!$A$5:$AF$30,29))</f>
        <v/>
      </c>
      <c r="P18" s="297" t="str">
        <f aca="false">IF(RefkV="","",VLOOKUP(RefkV,FitParameters!$A$5:$AF$30,30))</f>
        <v/>
      </c>
      <c r="Q18" s="297" t="str">
        <f aca="false">IF(RefkV="","",VLOOKUP(RefkV,FitParameters!$A$5:$AF$30,31))</f>
        <v/>
      </c>
      <c r="T18" s="281" t="n">
        <v>0.793750001</v>
      </c>
      <c r="U18" s="299" t="n">
        <v>0.03125</v>
      </c>
      <c r="V18" s="298" t="n">
        <v>0.03125</v>
      </c>
    </row>
    <row r="19" customFormat="false" ht="15.75" hidden="false" customHeight="true" outlineLevel="0" collapsed="false">
      <c r="A19" s="303"/>
      <c r="B19" s="303"/>
      <c r="C19" s="303" t="s">
        <v>298</v>
      </c>
      <c r="D19" s="303" t="s">
        <v>297</v>
      </c>
      <c r="E19" s="303" t="s">
        <v>297</v>
      </c>
      <c r="F19" s="304"/>
      <c r="G19" s="303" t="s">
        <v>49</v>
      </c>
      <c r="H19" s="303" t="s">
        <v>49</v>
      </c>
      <c r="T19" s="281" t="n">
        <v>0.992187501</v>
      </c>
      <c r="U19" s="299" t="n">
        <v>0.0390625</v>
      </c>
      <c r="V19" s="298" t="n">
        <v>0.0625</v>
      </c>
    </row>
    <row r="20" customFormat="false" ht="15.6" hidden="false" customHeight="false" outlineLevel="0" collapsed="false">
      <c r="A20" s="305" t="s">
        <v>68</v>
      </c>
      <c r="B20" s="305" t="s">
        <v>322</v>
      </c>
      <c r="C20" s="305" t="s">
        <v>303</v>
      </c>
      <c r="D20" s="305" t="s">
        <v>323</v>
      </c>
      <c r="E20" s="305" t="s">
        <v>328</v>
      </c>
      <c r="F20" s="304"/>
      <c r="G20" s="305" t="s">
        <v>306</v>
      </c>
      <c r="H20" s="305" t="s">
        <v>329</v>
      </c>
      <c r="L20" s="306" t="s">
        <v>330</v>
      </c>
      <c r="M20" s="306"/>
      <c r="N20" s="306"/>
      <c r="O20" s="306"/>
      <c r="P20" s="306"/>
      <c r="Q20" s="306"/>
      <c r="R20" s="306"/>
      <c r="T20" s="281" t="n">
        <v>1.190625001</v>
      </c>
      <c r="U20" s="299" t="n">
        <v>0.046875</v>
      </c>
      <c r="V20" s="298" t="n">
        <v>0.0625</v>
      </c>
    </row>
    <row r="21" customFormat="false" ht="15" hidden="false" customHeight="false" outlineLevel="0" collapsed="false">
      <c r="A21" s="301"/>
      <c r="B21" s="301"/>
      <c r="C21" s="302"/>
      <c r="D21" s="307" t="e">
        <f aca="false">RefOutput*(C21/RefDist)^2</f>
        <v>#DIV/0!</v>
      </c>
      <c r="E21" s="308"/>
      <c r="F21" s="309" t="e">
        <f aca="false">IF(OR(D21="TBD",D21=""),"",E21/(D21*1000))</f>
        <v>#DIV/0!</v>
      </c>
      <c r="G21" s="310" t="e">
        <f aca="false">IF(M22="","",M22)</f>
        <v>#DIV/0!</v>
      </c>
      <c r="H21" s="311" t="e">
        <f aca="false">IF(M22="","",VLOOKUP(G21,$T$12:$U$47,2))</f>
        <v>#DIV/0!</v>
      </c>
      <c r="L21" s="284" t="s">
        <v>331</v>
      </c>
      <c r="M21" s="284" t="s">
        <v>49</v>
      </c>
      <c r="N21" s="284" t="s">
        <v>51</v>
      </c>
      <c r="O21" s="284" t="s">
        <v>53</v>
      </c>
      <c r="P21" s="284" t="s">
        <v>55</v>
      </c>
      <c r="Q21" s="284" t="s">
        <v>58</v>
      </c>
      <c r="R21" s="284" t="s">
        <v>59</v>
      </c>
      <c r="T21" s="281" t="n">
        <v>1.389062501</v>
      </c>
      <c r="U21" s="299" t="n">
        <v>0.0546875</v>
      </c>
      <c r="V21" s="298" t="n">
        <v>0.0625</v>
      </c>
    </row>
    <row r="22" customFormat="false" ht="15" hidden="false" customHeight="false" outlineLevel="0" collapsed="false">
      <c r="A22" s="301"/>
      <c r="B22" s="301"/>
      <c r="C22" s="302"/>
      <c r="D22" s="307" t="e">
        <f aca="false">RefOutput*(C22/RefDist)^2</f>
        <v>#DIV/0!</v>
      </c>
      <c r="E22" s="308"/>
      <c r="F22" s="309" t="e">
        <f aca="false">IF(OR(D22="TBD",D22=""),"",E22/(D22*1000))</f>
        <v>#DIV/0!</v>
      </c>
      <c r="G22" s="310" t="e">
        <f aca="false">IF(M23="","",M23)</f>
        <v>#DIV/0!</v>
      </c>
      <c r="H22" s="311" t="e">
        <f aca="false">IF(M23="","",VLOOKUP(G22,$T$12:$U$47,2))</f>
        <v>#DIV/0!</v>
      </c>
      <c r="L22" s="312" t="e">
        <f aca="false">IF(F21="","",F21)</f>
        <v>#DIV/0!</v>
      </c>
      <c r="M22" s="312" t="e">
        <f aca="false">IF($L22="","",LN(($L22^(-$O$13)+($N$13/$M$13))/(1+$N$13/$M$13))/($M$13*$O$13))</f>
        <v>#DIV/0!</v>
      </c>
      <c r="N22" s="312" t="e">
        <f aca="false">IF($L22="","",LN(($L22^(-$O$14)+($N$14/$M$14))/(1+$N$14/$M$14))/($M$14*$O$14))</f>
        <v>#DIV/0!</v>
      </c>
      <c r="O22" s="312" t="e">
        <f aca="false">IF($L22="","",LN(($L22^(-$O$15)+($N$15/$M$15))/(1+$N$15/$M$15))/($M$15*$O$15))</f>
        <v>#DIV/0!</v>
      </c>
      <c r="P22" s="312" t="e">
        <f aca="false">IF($L22="","",LN(($L22^(-$O$16)+($N$16/$M$16))/(1+$N$16/$M$16))/($M$16*$O$16))</f>
        <v>#DIV/0!</v>
      </c>
      <c r="Q22" s="312" t="e">
        <f aca="false">IF($L22="","",LN(($L22^(-$O$17)+($N$17/$M$17))/(1+$N$17/$M$17))/($M$17*$O$17))</f>
        <v>#DIV/0!</v>
      </c>
      <c r="R22" s="312" t="e">
        <f aca="false">IF($L22="","",LN(($L22^(-$O$18)+($N$18/$M$18))/(1+$N$18/$M$18))/($M$18*$O$18))</f>
        <v>#DIV/0!</v>
      </c>
      <c r="T22" s="281" t="n">
        <v>1.587500001</v>
      </c>
      <c r="U22" s="299" t="n">
        <v>0.0625</v>
      </c>
      <c r="V22" s="298" t="n">
        <v>0.0625</v>
      </c>
    </row>
    <row r="23" customFormat="false" ht="15" hidden="false" customHeight="false" outlineLevel="0" collapsed="false">
      <c r="A23" s="301"/>
      <c r="B23" s="301"/>
      <c r="C23" s="302"/>
      <c r="D23" s="307" t="e">
        <f aca="false">RefOutput*(C23/RefDist)^2</f>
        <v>#DIV/0!</v>
      </c>
      <c r="E23" s="308"/>
      <c r="F23" s="309" t="e">
        <f aca="false">IF(OR(D23="TBD",D23=""),"",E23/(D23*1000))</f>
        <v>#DIV/0!</v>
      </c>
      <c r="G23" s="310" t="e">
        <f aca="false">IF(M24="","",M24)</f>
        <v>#DIV/0!</v>
      </c>
      <c r="H23" s="311" t="e">
        <f aca="false">IF(M24="","",VLOOKUP(G23,$T$12:$U$47,2))</f>
        <v>#DIV/0!</v>
      </c>
      <c r="L23" s="312" t="e">
        <f aca="false">IF(F22="","",F22)</f>
        <v>#DIV/0!</v>
      </c>
      <c r="M23" s="312" t="e">
        <f aca="false">IF($L23="","",LN(($L23^(-$O$13)+($N$13/$M$13))/(1+$N$13/$M$13))/($M$13*$O$13))</f>
        <v>#DIV/0!</v>
      </c>
      <c r="N23" s="312" t="e">
        <f aca="false">IF($L23="","",LN(($L23^(-$O$14)+($N$14/$M$14))/(1+$N$14/$M$14))/($M$14*$O$14))</f>
        <v>#DIV/0!</v>
      </c>
      <c r="O23" s="312" t="e">
        <f aca="false">IF($L23="","",LN(($L23^(-$O$15)+($N$15/$M$15))/(1+$N$15/$M$15))/($M$15*$O$15))</f>
        <v>#DIV/0!</v>
      </c>
      <c r="P23" s="312" t="e">
        <f aca="false">IF($L23="","",LN(($L23^(-$O$16)+($N$16/$M$16))/(1+$N$16/$M$16))/($M$16*$O$16))</f>
        <v>#DIV/0!</v>
      </c>
      <c r="Q23" s="312" t="e">
        <f aca="false">IF($L23="","",LN(($L23^(-$O$17)+($N$17/$M$17))/(1+$N$17/$M$17))/($M$17*$O$17))</f>
        <v>#DIV/0!</v>
      </c>
      <c r="R23" s="312" t="e">
        <f aca="false">IF($L23="","",LN(($L23^(-$O$18)+($N$18/$M$18))/(1+$N$18/$M$18))/($M$18*$O$18))</f>
        <v>#DIV/0!</v>
      </c>
      <c r="T23" s="281" t="n">
        <v>1.785937501</v>
      </c>
      <c r="U23" s="299" t="n">
        <v>0.0703125</v>
      </c>
      <c r="V23" s="298" t="n">
        <v>0.09375</v>
      </c>
    </row>
    <row r="24" customFormat="false" ht="15" hidden="false" customHeight="false" outlineLevel="0" collapsed="false">
      <c r="A24" s="301"/>
      <c r="B24" s="301"/>
      <c r="C24" s="302"/>
      <c r="D24" s="307" t="e">
        <f aca="false">RefOutput*(C24/RefDist)^2</f>
        <v>#DIV/0!</v>
      </c>
      <c r="E24" s="308"/>
      <c r="F24" s="309" t="e">
        <f aca="false">IF(OR(D24="TBD",D24=""),"",E24/(D24*1000))</f>
        <v>#DIV/0!</v>
      </c>
      <c r="G24" s="310" t="e">
        <f aca="false">IF(M25="","",M25)</f>
        <v>#DIV/0!</v>
      </c>
      <c r="H24" s="311" t="e">
        <f aca="false">IF(M25="","",VLOOKUP(G24,$T$12:$U$47,2))</f>
        <v>#DIV/0!</v>
      </c>
      <c r="L24" s="312" t="e">
        <f aca="false">IF(F23="","",F23)</f>
        <v>#DIV/0!</v>
      </c>
      <c r="M24" s="312" t="e">
        <f aca="false">IF($L24="","",LN(($L24^(-$O$13)+($N$13/$M$13))/(1+$N$13/$M$13))/($M$13*$O$13))</f>
        <v>#DIV/0!</v>
      </c>
      <c r="N24" s="312" t="e">
        <f aca="false">IF($L24="","",LN(($L24^(-$O$14)+($N$14/$M$14))/(1+$N$14/$M$14))/($M$14*$O$14))</f>
        <v>#DIV/0!</v>
      </c>
      <c r="O24" s="312" t="e">
        <f aca="false">IF($L24="","",LN(($L24^(-$O$15)+($N$15/$M$15))/(1+$N$15/$M$15))/($M$15*$O$15))</f>
        <v>#DIV/0!</v>
      </c>
      <c r="P24" s="312" t="e">
        <f aca="false">IF($L24="","",LN(($L24^(-$O$16)+($N$16/$M$16))/(1+$N$16/$M$16))/($M$16*$O$16))</f>
        <v>#DIV/0!</v>
      </c>
      <c r="Q24" s="312" t="e">
        <f aca="false">IF($L24="","",LN(($L24^(-$O$17)+($N$17/$M$17))/(1+$N$17/$M$17))/($M$17*$O$17))</f>
        <v>#DIV/0!</v>
      </c>
      <c r="R24" s="312" t="e">
        <f aca="false">IF($L24="","",LN(($L24^(-$O$18)+($N$18/$M$18))/(1+$N$18/$M$18))/($M$18*$O$18))</f>
        <v>#DIV/0!</v>
      </c>
      <c r="T24" s="281" t="n">
        <v>1.984375001</v>
      </c>
      <c r="U24" s="299" t="n">
        <v>0.078125</v>
      </c>
      <c r="V24" s="298" t="n">
        <v>0.09375</v>
      </c>
    </row>
    <row r="25" customFormat="false" ht="15" hidden="false" customHeight="false" outlineLevel="0" collapsed="false">
      <c r="A25" s="301"/>
      <c r="B25" s="301"/>
      <c r="C25" s="302"/>
      <c r="D25" s="307" t="e">
        <f aca="false">RefOutput*(C25/RefDist)^2</f>
        <v>#DIV/0!</v>
      </c>
      <c r="E25" s="308"/>
      <c r="F25" s="309" t="e">
        <f aca="false">IF(OR(D25="TBD",D25=""),"",E25/(D25*1000))</f>
        <v>#DIV/0!</v>
      </c>
      <c r="G25" s="310" t="e">
        <f aca="false">IF(M26="","",M26)</f>
        <v>#DIV/0!</v>
      </c>
      <c r="H25" s="311" t="e">
        <f aca="false">IF(M26="","",VLOOKUP(G25,$T$12:$U$47,2))</f>
        <v>#DIV/0!</v>
      </c>
      <c r="L25" s="312" t="e">
        <f aca="false">IF(F24="","",F24)</f>
        <v>#DIV/0!</v>
      </c>
      <c r="M25" s="312" t="e">
        <f aca="false">IF($L25="","",LN(($L25^(-$O$13)+($N$13/$M$13))/(1+$N$13/$M$13))/($M$13*$O$13))</f>
        <v>#DIV/0!</v>
      </c>
      <c r="N25" s="312" t="e">
        <f aca="false">IF($L25="","",LN(($L25^(-$O$14)+($N$14/$M$14))/(1+$N$14/$M$14))/($M$14*$O$14))</f>
        <v>#DIV/0!</v>
      </c>
      <c r="O25" s="312" t="e">
        <f aca="false">IF($L25="","",LN(($L25^(-$O$15)+($N$15/$M$15))/(1+$N$15/$M$15))/($M$15*$O$15))</f>
        <v>#DIV/0!</v>
      </c>
      <c r="P25" s="312" t="e">
        <f aca="false">IF($L25="","",LN(($L25^(-$O$16)+($N$16/$M$16))/(1+$N$16/$M$16))/($M$16*$O$16))</f>
        <v>#DIV/0!</v>
      </c>
      <c r="Q25" s="312" t="e">
        <f aca="false">IF($L25="","",LN(($L25^(-$O$17)+($N$17/$M$17))/(1+$N$17/$M$17))/($M$17*$O$17))</f>
        <v>#DIV/0!</v>
      </c>
      <c r="R25" s="312" t="e">
        <f aca="false">IF($L25="","",LN(($L25^(-$O$18)+($N$18/$M$18))/(1+$N$18/$M$18))/($M$18*$O$18))</f>
        <v>#DIV/0!</v>
      </c>
      <c r="T25" s="281" t="n">
        <v>2.182812501</v>
      </c>
      <c r="U25" s="299" t="n">
        <v>0.0859375</v>
      </c>
      <c r="V25" s="298" t="n">
        <v>0.09375</v>
      </c>
    </row>
    <row r="26" customFormat="false" ht="15" hidden="false" customHeight="false" outlineLevel="0" collapsed="false">
      <c r="A26" s="301"/>
      <c r="B26" s="301"/>
      <c r="C26" s="302"/>
      <c r="D26" s="307" t="e">
        <f aca="false">RefOutput*(C26/RefDist)^2</f>
        <v>#DIV/0!</v>
      </c>
      <c r="E26" s="308"/>
      <c r="F26" s="309" t="e">
        <f aca="false">IF(OR(D26="TBD",D26=""),"",E26/(D26*1000))</f>
        <v>#DIV/0!</v>
      </c>
      <c r="G26" s="310" t="e">
        <f aca="false">IF(M27="","",M27)</f>
        <v>#DIV/0!</v>
      </c>
      <c r="H26" s="311" t="e">
        <f aca="false">IF(M27="","",VLOOKUP(G26,$T$12:$U$47,2))</f>
        <v>#DIV/0!</v>
      </c>
      <c r="L26" s="312" t="e">
        <f aca="false">IF(F25="","",F25)</f>
        <v>#DIV/0!</v>
      </c>
      <c r="M26" s="312" t="e">
        <f aca="false">IF($L26="","",LN(($L26^(-$O$13)+($N$13/$M$13))/(1+$N$13/$M$13))/($M$13*$O$13))</f>
        <v>#DIV/0!</v>
      </c>
      <c r="N26" s="312" t="e">
        <f aca="false">IF($L26="","",LN(($L26^(-$O$14)+($N$14/$M$14))/(1+$N$14/$M$14))/($M$14*$O$14))</f>
        <v>#DIV/0!</v>
      </c>
      <c r="O26" s="312" t="e">
        <f aca="false">IF($L26="","",LN(($L26^(-$O$15)+($N$15/$M$15))/(1+$N$15/$M$15))/($M$15*$O$15))</f>
        <v>#DIV/0!</v>
      </c>
      <c r="P26" s="312" t="e">
        <f aca="false">IF($L26="","",LN(($L26^(-$O$16)+($N$16/$M$16))/(1+$N$16/$M$16))/($M$16*$O$16))</f>
        <v>#DIV/0!</v>
      </c>
      <c r="Q26" s="312" t="e">
        <f aca="false">IF($L26="","",LN(($L26^(-$O$17)+($N$17/$M$17))/(1+$N$17/$M$17))/($M$17*$O$17))</f>
        <v>#DIV/0!</v>
      </c>
      <c r="R26" s="312" t="e">
        <f aca="false">IF($L26="","",LN(($L26^(-$O$18)+($N$18/$M$18))/(1+$N$18/$M$18))/($M$18*$O$18))</f>
        <v>#DIV/0!</v>
      </c>
      <c r="T26" s="281" t="n">
        <v>2.381250001</v>
      </c>
      <c r="U26" s="299" t="n">
        <v>0.09375</v>
      </c>
      <c r="V26" s="298" t="n">
        <v>0.09375</v>
      </c>
    </row>
    <row r="27" customFormat="false" ht="15" hidden="false" customHeight="false" outlineLevel="0" collapsed="false">
      <c r="A27" s="301"/>
      <c r="B27" s="301"/>
      <c r="C27" s="302"/>
      <c r="D27" s="307" t="e">
        <f aca="false">RefOutput*(C27/RefDist)^2</f>
        <v>#DIV/0!</v>
      </c>
      <c r="E27" s="301"/>
      <c r="F27" s="309" t="e">
        <f aca="false">IF(OR(D27="TBD",D27=""),"",E27/(D27*1000))</f>
        <v>#DIV/0!</v>
      </c>
      <c r="G27" s="310" t="e">
        <f aca="false">IF(M28="","",M28)</f>
        <v>#DIV/0!</v>
      </c>
      <c r="H27" s="311" t="e">
        <f aca="false">IF(M28="","",VLOOKUP(G27,$T$12:$U$47,2))</f>
        <v>#DIV/0!</v>
      </c>
      <c r="L27" s="312" t="e">
        <f aca="false">IF(F26="","",F26)</f>
        <v>#DIV/0!</v>
      </c>
      <c r="M27" s="312" t="e">
        <f aca="false">IF($L27="","",LN(($L27^(-$O$13)+($N$13/$M$13))/(1+$N$13/$M$13))/($M$13*$O$13))</f>
        <v>#DIV/0!</v>
      </c>
      <c r="N27" s="312" t="e">
        <f aca="false">IF($L27="","",LN(($L27^(-$O$14)+($N$14/$M$14))/(1+$N$14/$M$14))/($M$14*$O$14))</f>
        <v>#DIV/0!</v>
      </c>
      <c r="O27" s="312" t="e">
        <f aca="false">IF($L27="","",LN(($L27^(-$O$15)+($N$15/$M$15))/(1+$N$15/$M$15))/($M$15*$O$15))</f>
        <v>#DIV/0!</v>
      </c>
      <c r="P27" s="312" t="e">
        <f aca="false">IF($L27="","",LN(($L27^(-$O$16)+($N$16/$M$16))/(1+$N$16/$M$16))/($M$16*$O$16))</f>
        <v>#DIV/0!</v>
      </c>
      <c r="Q27" s="312" t="e">
        <f aca="false">IF($L27="","",LN(($L27^(-$O$17)+($N$17/$M$17))/(1+$N$17/$M$17))/($M$17*$O$17))</f>
        <v>#DIV/0!</v>
      </c>
      <c r="R27" s="312" t="e">
        <f aca="false">IF($L27="","",LN(($L27^(-$O$18)+($N$18/$M$18))/(1+$N$18/$M$18))/($M$18*$O$18))</f>
        <v>#DIV/0!</v>
      </c>
      <c r="T27" s="281" t="n">
        <v>2.579687501</v>
      </c>
      <c r="U27" s="299" t="n">
        <v>0.1015625</v>
      </c>
      <c r="V27" s="298" t="n">
        <v>0.125</v>
      </c>
    </row>
    <row r="28" customFormat="false" ht="15" hidden="false" customHeight="false" outlineLevel="0" collapsed="false">
      <c r="A28" s="301"/>
      <c r="B28" s="301"/>
      <c r="C28" s="302"/>
      <c r="D28" s="307" t="e">
        <f aca="false">RefOutput*(C28/RefDist)^2</f>
        <v>#DIV/0!</v>
      </c>
      <c r="E28" s="301"/>
      <c r="F28" s="309" t="e">
        <f aca="false">IF(OR(D28="TBD",D28=""),"",E28/(D28*1000))</f>
        <v>#DIV/0!</v>
      </c>
      <c r="G28" s="313" t="e">
        <f aca="false">IF(M29="","",M29)</f>
        <v>#DIV/0!</v>
      </c>
      <c r="H28" s="311" t="e">
        <f aca="false">IF(M29="","",VLOOKUP(G28,$T$12:$U$47,2))</f>
        <v>#DIV/0!</v>
      </c>
      <c r="L28" s="312" t="e">
        <f aca="false">IF(F27="","",F27)</f>
        <v>#DIV/0!</v>
      </c>
      <c r="M28" s="312" t="e">
        <f aca="false">IF($L28="","",LN(($L28^(-$O$13)+($N$13/$M$13))/(1+$N$13/$M$13))/($M$13*$O$13))</f>
        <v>#DIV/0!</v>
      </c>
      <c r="N28" s="312" t="e">
        <f aca="false">IF($L28="","",LN(($L28^(-$O$14)+($N$14/$M$14))/(1+$N$14/$M$14))/($M$14*$O$14))</f>
        <v>#DIV/0!</v>
      </c>
      <c r="O28" s="312" t="e">
        <f aca="false">IF($L28="","",LN(($L28^(-$O$15)+($N$15/$M$15))/(1+$N$15/$M$15))/($M$15*$O$15))</f>
        <v>#DIV/0!</v>
      </c>
      <c r="P28" s="312" t="e">
        <f aca="false">IF($L28="","",LN(($L28^(-$O$16)+($N$16/$M$16))/(1+$N$16/$M$16))/($M$16*$O$16))</f>
        <v>#DIV/0!</v>
      </c>
      <c r="Q28" s="312" t="e">
        <f aca="false">IF($L28="","",LN(($L28^(-$O$17)+($N$17/$M$17))/(1+$N$17/$M$17))/($M$17*$O$17))</f>
        <v>#DIV/0!</v>
      </c>
      <c r="R28" s="312" t="e">
        <f aca="false">IF($L28="","",LN(($L28^(-$O$18)+($N$18/$M$18))/(1+$N$18/$M$18))/($M$18*$O$18))</f>
        <v>#DIV/0!</v>
      </c>
      <c r="T28" s="281" t="n">
        <v>2.778125001</v>
      </c>
      <c r="U28" s="299" t="n">
        <v>0.109375</v>
      </c>
      <c r="V28" s="298" t="n">
        <v>0.125</v>
      </c>
    </row>
    <row r="29" customFormat="false" ht="15.6" hidden="false" customHeight="false" outlineLevel="0" collapsed="false">
      <c r="F29" s="313"/>
      <c r="G29" s="313"/>
      <c r="H29" s="311" t="str">
        <f aca="false">IF(M30="","",VLOOKUP(G29,$T$12:$U$47,2))</f>
        <v/>
      </c>
      <c r="L29" s="312" t="e">
        <f aca="false">IF(F28="","",F28)</f>
        <v>#DIV/0!</v>
      </c>
      <c r="M29" s="312" t="e">
        <f aca="false">IF($L29="","",LN(($L29^(-$O$13)+($N$13/$M$13))/(1+$N$13/$M$13))/($M$13*$O$13))</f>
        <v>#DIV/0!</v>
      </c>
      <c r="N29" s="312" t="e">
        <f aca="false">IF($L29="","",LN(($L29^(-$O$14)+($N$14/$M$14))/(1+$N$14/$M$14))/($M$14*$O$14))</f>
        <v>#DIV/0!</v>
      </c>
      <c r="O29" s="312" t="e">
        <f aca="false">IF($L29="","",LN(($L29^(-$O$15)+($N$15/$M$15))/(1+$N$15/$M$15))/($M$15*$O$15))</f>
        <v>#DIV/0!</v>
      </c>
      <c r="P29" s="312" t="e">
        <f aca="false">IF($L29="","",LN(($L29^(-$O$16)+($N$16/$M$16))/(1+$N$16/$M$16))/($M$16*$O$16))</f>
        <v>#DIV/0!</v>
      </c>
      <c r="Q29" s="312" t="e">
        <f aca="false">IF($L29="","",LN(($L29^(-$O$17)+($N$17/$M$17))/(1+$N$17/$M$17))/($M$17*$O$17))</f>
        <v>#DIV/0!</v>
      </c>
      <c r="R29" s="312" t="e">
        <f aca="false">IF($L29="","",LN(($L29^(-$O$18)+($N$18/$M$18))/(1+$N$18/$M$18))/($M$18*$O$18))</f>
        <v>#DIV/0!</v>
      </c>
      <c r="T29" s="281" t="n">
        <v>2.976562501</v>
      </c>
      <c r="U29" s="299" t="n">
        <v>0.1171875</v>
      </c>
      <c r="V29" s="298" t="n">
        <v>0.125</v>
      </c>
    </row>
    <row r="30" customFormat="false" ht="15.6" hidden="false" customHeight="false" outlineLevel="0" collapsed="false">
      <c r="F30" s="313"/>
      <c r="G30" s="313"/>
      <c r="H30" s="311" t="str">
        <f aca="false">IF(M31="","",VLOOKUP(G30,$T$12:$U$47,2))</f>
        <v/>
      </c>
      <c r="L30" s="312" t="str">
        <f aca="false">IF(F29="","",F29)</f>
        <v/>
      </c>
      <c r="M30" s="312" t="str">
        <f aca="false">IF($L30="","",LN(($L30^(-$O$13)+($N$13/$M$13))/(1+$N$13/$M$13))/($M$13*$O$13))</f>
        <v/>
      </c>
      <c r="N30" s="312" t="str">
        <f aca="false">IF($L30="","",LN(($L30^(-$O$14)+($N$14/$M$14))/(1+$N$14/$M$14))/($M$14*$O$14))</f>
        <v/>
      </c>
      <c r="O30" s="312" t="str">
        <f aca="false">IF($L30="","",LN(($L30^(-$O$15)+($N$15/$M$15))/(1+$N$15/$M$15))/($M$15*$O$15))</f>
        <v/>
      </c>
      <c r="P30" s="312" t="str">
        <f aca="false">IF($L30="","",LN(($L30^(-$O$16)+($N$16/$M$16))/(1+$N$16/$M$16))/($M$16*$O$16))</f>
        <v/>
      </c>
      <c r="Q30" s="312" t="str">
        <f aca="false">IF($L30="","",LN(($L30^(-$O$17)+($N$17/$M$17))/(1+$N$17/$M$17))/($M$17*$O$17))</f>
        <v/>
      </c>
      <c r="R30" s="312" t="str">
        <f aca="false">IF($L30="","",LN(($L30^(-$O$18)+($N$18/$M$18))/(1+$N$18/$M$18))/($M$18*$O$18))</f>
        <v/>
      </c>
      <c r="T30" s="281" t="n">
        <v>3.175000001</v>
      </c>
      <c r="U30" s="299" t="n">
        <v>0.125</v>
      </c>
      <c r="V30" s="298" t="n">
        <v>0.125</v>
      </c>
    </row>
    <row r="31" customFormat="false" ht="15.6" hidden="false" customHeight="false" outlineLevel="0" collapsed="false">
      <c r="L31" s="312" t="str">
        <f aca="false">IF(F30="","",F30)</f>
        <v/>
      </c>
      <c r="M31" s="312" t="str">
        <f aca="false">IF($L31="","",LN(($L31^(-$O$13)+($N$13/$M$13))/(1+$N$13/$M$13))/($M$13*$O$13))</f>
        <v/>
      </c>
      <c r="N31" s="312" t="str">
        <f aca="false">IF($L31="","",LN(($L31^(-$O$14)+($N$14/$M$14))/(1+$N$14/$M$14))/($M$14*$O$14))</f>
        <v/>
      </c>
      <c r="O31" s="312" t="str">
        <f aca="false">IF($L31="","",LN(($L31^(-$O$15)+($N$15/$M$15))/(1+$N$15/$M$15))/($M$15*$O$15))</f>
        <v/>
      </c>
      <c r="P31" s="312" t="str">
        <f aca="false">IF($L31="","",LN(($L31^(-$O$16)+($N$16/$M$16))/(1+$N$16/$M$16))/($M$16*$O$16))</f>
        <v/>
      </c>
      <c r="Q31" s="312" t="str">
        <f aca="false">IF($L31="","",LN(($L31^(-$O$17)+($N$17/$M$17))/(1+$N$17/$M$17))/($M$17*$O$17))</f>
        <v/>
      </c>
      <c r="R31" s="312" t="str">
        <f aca="false">IF($L31="","",LN(($L31^(-$O$18)+($N$18/$M$18))/(1+$N$18/$M$18))/($M$18*$O$18))</f>
        <v/>
      </c>
      <c r="T31" s="281" t="n">
        <v>3.373437501</v>
      </c>
      <c r="U31" s="299" t="n">
        <v>0.1328125</v>
      </c>
      <c r="V31" s="298" t="n">
        <v>0.15625</v>
      </c>
    </row>
    <row r="32" customFormat="false" ht="15.6" hidden="false" customHeight="false" outlineLevel="0" collapsed="false">
      <c r="A32" s="305"/>
      <c r="B32" s="305"/>
      <c r="C32" s="305"/>
      <c r="D32" s="305"/>
      <c r="T32" s="281" t="n">
        <v>3.571875001</v>
      </c>
      <c r="U32" s="299" t="n">
        <v>0.140625</v>
      </c>
      <c r="V32" s="298" t="n">
        <v>0.15625</v>
      </c>
    </row>
    <row r="33" customFormat="false" ht="15.6" hidden="false" customHeight="false" outlineLevel="0" collapsed="false">
      <c r="A33" s="281" t="s">
        <v>106</v>
      </c>
      <c r="T33" s="281" t="n">
        <v>3.770312501</v>
      </c>
      <c r="U33" s="299" t="n">
        <v>0.1484375</v>
      </c>
      <c r="V33" s="298" t="n">
        <v>0.15625</v>
      </c>
    </row>
    <row r="34" customFormat="false" ht="15.6" hidden="false" customHeight="false" outlineLevel="0" collapsed="false">
      <c r="A34" s="281" t="s">
        <v>332</v>
      </c>
      <c r="T34" s="281" t="n">
        <v>3.968750001</v>
      </c>
      <c r="U34" s="299" t="n">
        <v>0.15625</v>
      </c>
      <c r="V34" s="298" t="n">
        <v>0.15625</v>
      </c>
    </row>
    <row r="35" customFormat="false" ht="15.6" hidden="false" customHeight="false" outlineLevel="0" collapsed="false">
      <c r="T35" s="281" t="n">
        <v>4.167187501</v>
      </c>
      <c r="U35" s="299" t="n">
        <v>0.1640625</v>
      </c>
      <c r="V35" s="298" t="n">
        <v>0.1875</v>
      </c>
    </row>
    <row r="36" customFormat="false" ht="15.6" hidden="false" customHeight="false" outlineLevel="0" collapsed="false">
      <c r="T36" s="281" t="n">
        <v>4.365625001</v>
      </c>
      <c r="U36" s="299" t="n">
        <v>0.171875</v>
      </c>
      <c r="V36" s="298" t="n">
        <v>0.1875</v>
      </c>
    </row>
    <row r="37" customFormat="false" ht="15.6" hidden="false" customHeight="false" outlineLevel="0" collapsed="false">
      <c r="T37" s="281" t="n">
        <v>4.564062501</v>
      </c>
      <c r="U37" s="299" t="n">
        <v>0.1796875</v>
      </c>
      <c r="V37" s="298" t="n">
        <v>0.1875</v>
      </c>
    </row>
    <row r="38" customFormat="false" ht="15.6" hidden="false" customHeight="false" outlineLevel="0" collapsed="false">
      <c r="T38" s="281" t="n">
        <v>4.762500001</v>
      </c>
      <c r="U38" s="299" t="n">
        <v>0.1875</v>
      </c>
      <c r="V38" s="298" t="n">
        <v>0.1875</v>
      </c>
    </row>
    <row r="39" customFormat="false" ht="15.6" hidden="false" customHeight="false" outlineLevel="0" collapsed="false">
      <c r="T39" s="281" t="n">
        <v>4.960937501</v>
      </c>
      <c r="U39" s="299" t="n">
        <v>0.1953125</v>
      </c>
      <c r="V39" s="298" t="n">
        <v>0.21875</v>
      </c>
    </row>
    <row r="40" customFormat="false" ht="15.6" hidden="false" customHeight="false" outlineLevel="0" collapsed="false">
      <c r="T40" s="281" t="n">
        <v>5.159375001</v>
      </c>
      <c r="U40" s="299" t="n">
        <v>0.203125</v>
      </c>
      <c r="V40" s="298" t="n">
        <v>0.21875</v>
      </c>
    </row>
    <row r="41" customFormat="false" ht="15.6" hidden="false" customHeight="false" outlineLevel="0" collapsed="false">
      <c r="T41" s="281" t="n">
        <v>5.357812501</v>
      </c>
      <c r="U41" s="299" t="n">
        <v>0.2109375</v>
      </c>
      <c r="V41" s="298" t="n">
        <v>0.21875</v>
      </c>
    </row>
    <row r="42" customFormat="false" ht="15.6" hidden="false" customHeight="false" outlineLevel="0" collapsed="false">
      <c r="T42" s="281" t="n">
        <v>5.556250001</v>
      </c>
      <c r="U42" s="299" t="n">
        <v>0.21875</v>
      </c>
      <c r="V42" s="298" t="n">
        <v>0.21875</v>
      </c>
    </row>
    <row r="43" customFormat="false" ht="15.6" hidden="false" customHeight="false" outlineLevel="0" collapsed="false">
      <c r="T43" s="281" t="n">
        <v>5.754687501</v>
      </c>
      <c r="U43" s="299" t="n">
        <v>0.2265625</v>
      </c>
      <c r="V43" s="298" t="n">
        <v>0.25</v>
      </c>
    </row>
    <row r="44" customFormat="false" ht="15.6" hidden="false" customHeight="false" outlineLevel="0" collapsed="false">
      <c r="T44" s="281" t="n">
        <v>5.953125001</v>
      </c>
      <c r="U44" s="299" t="n">
        <v>0.234375</v>
      </c>
      <c r="V44" s="298" t="n">
        <v>0.25</v>
      </c>
    </row>
    <row r="45" customFormat="false" ht="15.6" hidden="false" customHeight="false" outlineLevel="0" collapsed="false">
      <c r="T45" s="281" t="n">
        <v>6.151562501</v>
      </c>
      <c r="U45" s="299" t="n">
        <v>0.2421875</v>
      </c>
      <c r="V45" s="298" t="n">
        <v>0.25</v>
      </c>
    </row>
    <row r="46" customFormat="false" ht="15.6" hidden="false" customHeight="false" outlineLevel="0" collapsed="false">
      <c r="T46" s="281" t="n">
        <v>6.350000001</v>
      </c>
      <c r="U46" s="299" t="n">
        <v>0.25</v>
      </c>
      <c r="V46" s="298" t="s">
        <v>87</v>
      </c>
    </row>
    <row r="47" customFormat="false" ht="15.6" hidden="false" customHeight="false" outlineLevel="0" collapsed="false">
      <c r="T47" s="281" t="n">
        <v>25.400000001</v>
      </c>
    </row>
  </sheetData>
  <mergeCells count="2">
    <mergeCell ref="F18:F20"/>
    <mergeCell ref="L20:R2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2421875" defaultRowHeight="13.2" zeroHeight="false" outlineLevelRow="0" outlineLevelCol="0"/>
  <cols>
    <col collapsed="false" customWidth="false" hidden="false" outlineLevel="0" max="1024" min="1" style="314" width="10.34"/>
  </cols>
  <sheetData>
    <row r="1" customFormat="false" ht="13.8" hidden="false" customHeight="false" outlineLevel="0" collapsed="false">
      <c r="A1" s="315" t="s">
        <v>90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6" t="s">
        <v>90</v>
      </c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</row>
    <row r="2" customFormat="false" ht="13.2" hidden="false" customHeight="false" outlineLevel="0" collapsed="false">
      <c r="A2" s="317"/>
      <c r="B2" s="318"/>
      <c r="C2" s="319"/>
      <c r="D2" s="319"/>
      <c r="E2" s="320"/>
      <c r="F2" s="321"/>
      <c r="G2" s="319"/>
      <c r="H2" s="319"/>
      <c r="I2" s="319"/>
      <c r="J2" s="320"/>
      <c r="K2" s="321"/>
      <c r="L2" s="320"/>
      <c r="M2" s="320"/>
      <c r="N2" s="320"/>
      <c r="O2" s="320"/>
      <c r="P2" s="321"/>
      <c r="Q2" s="322"/>
      <c r="R2" s="320"/>
      <c r="S2" s="320"/>
      <c r="T2" s="320"/>
      <c r="U2" s="321"/>
      <c r="V2" s="320"/>
      <c r="W2" s="320"/>
      <c r="X2" s="320"/>
      <c r="Y2" s="320"/>
      <c r="Z2" s="321"/>
      <c r="AA2" s="320"/>
      <c r="AB2" s="320"/>
      <c r="AC2" s="320"/>
      <c r="AD2" s="320"/>
      <c r="AE2" s="321"/>
      <c r="AF2" s="323"/>
    </row>
    <row r="3" customFormat="false" ht="13.2" hidden="false" customHeight="false" outlineLevel="0" collapsed="false">
      <c r="A3" s="324"/>
      <c r="B3" s="325" t="s">
        <v>95</v>
      </c>
      <c r="C3" s="325"/>
      <c r="D3" s="325"/>
      <c r="E3" s="326"/>
      <c r="F3" s="326"/>
      <c r="G3" s="325" t="s">
        <v>96</v>
      </c>
      <c r="H3" s="325"/>
      <c r="I3" s="325"/>
      <c r="J3" s="326"/>
      <c r="K3" s="326"/>
      <c r="L3" s="325" t="s">
        <v>53</v>
      </c>
      <c r="M3" s="325"/>
      <c r="N3" s="325"/>
      <c r="O3" s="326"/>
      <c r="P3" s="326"/>
      <c r="Q3" s="327" t="s">
        <v>55</v>
      </c>
      <c r="R3" s="327"/>
      <c r="S3" s="327"/>
      <c r="T3" s="326"/>
      <c r="U3" s="326"/>
      <c r="V3" s="325" t="s">
        <v>97</v>
      </c>
      <c r="W3" s="325"/>
      <c r="X3" s="325"/>
      <c r="Y3" s="326"/>
      <c r="Z3" s="326"/>
      <c r="AA3" s="325" t="s">
        <v>59</v>
      </c>
      <c r="AB3" s="325"/>
      <c r="AC3" s="325"/>
      <c r="AD3" s="326"/>
      <c r="AE3" s="326"/>
      <c r="AF3" s="328"/>
    </row>
    <row r="4" customFormat="false" ht="13.2" hidden="false" customHeight="false" outlineLevel="0" collapsed="false">
      <c r="A4" s="329" t="s">
        <v>38</v>
      </c>
      <c r="B4" s="330" t="s">
        <v>41</v>
      </c>
      <c r="C4" s="330" t="s">
        <v>42</v>
      </c>
      <c r="D4" s="330" t="s">
        <v>43</v>
      </c>
      <c r="E4" s="331" t="s">
        <v>45</v>
      </c>
      <c r="F4" s="331" t="s">
        <v>46</v>
      </c>
      <c r="G4" s="330" t="s">
        <v>41</v>
      </c>
      <c r="H4" s="330" t="s">
        <v>42</v>
      </c>
      <c r="I4" s="330" t="s">
        <v>43</v>
      </c>
      <c r="J4" s="331" t="s">
        <v>45</v>
      </c>
      <c r="K4" s="331" t="s">
        <v>46</v>
      </c>
      <c r="L4" s="330" t="s">
        <v>41</v>
      </c>
      <c r="M4" s="330" t="s">
        <v>42</v>
      </c>
      <c r="N4" s="330" t="s">
        <v>43</v>
      </c>
      <c r="O4" s="331" t="s">
        <v>45</v>
      </c>
      <c r="P4" s="331" t="s">
        <v>46</v>
      </c>
      <c r="Q4" s="332" t="s">
        <v>41</v>
      </c>
      <c r="R4" s="330" t="s">
        <v>42</v>
      </c>
      <c r="S4" s="330" t="s">
        <v>43</v>
      </c>
      <c r="T4" s="331" t="s">
        <v>45</v>
      </c>
      <c r="U4" s="331" t="s">
        <v>46</v>
      </c>
      <c r="V4" s="330" t="s">
        <v>41</v>
      </c>
      <c r="W4" s="330" t="s">
        <v>42</v>
      </c>
      <c r="X4" s="330" t="s">
        <v>43</v>
      </c>
      <c r="Y4" s="331" t="s">
        <v>45</v>
      </c>
      <c r="Z4" s="331" t="s">
        <v>46</v>
      </c>
      <c r="AA4" s="330" t="s">
        <v>41</v>
      </c>
      <c r="AB4" s="330" t="s">
        <v>42</v>
      </c>
      <c r="AC4" s="330" t="s">
        <v>43</v>
      </c>
      <c r="AD4" s="331" t="s">
        <v>45</v>
      </c>
      <c r="AE4" s="331" t="s">
        <v>46</v>
      </c>
      <c r="AF4" s="333" t="s">
        <v>98</v>
      </c>
    </row>
    <row r="5" customFormat="false" ht="13.2" hidden="false" customHeight="false" outlineLevel="0" collapsed="false">
      <c r="A5" s="334" t="n">
        <v>25</v>
      </c>
      <c r="B5" s="335" t="n">
        <v>49.52</v>
      </c>
      <c r="C5" s="335" t="n">
        <v>194</v>
      </c>
      <c r="D5" s="335" t="n">
        <v>0.3037</v>
      </c>
      <c r="E5" s="335" t="n">
        <f aca="false">IF(B5="","",LN(2)/B5)</f>
        <v>0.0139973178626806</v>
      </c>
      <c r="F5" s="335" t="n">
        <f aca="false">IF(E5="","",(LN(10)/LN(2))*E5)</f>
        <v>0.0464980834611075</v>
      </c>
      <c r="G5" s="335" t="n">
        <v>0.3904</v>
      </c>
      <c r="H5" s="335" t="n">
        <v>1.645</v>
      </c>
      <c r="I5" s="335" t="n">
        <v>0.2757</v>
      </c>
      <c r="J5" s="335" t="n">
        <f aca="false">IF(G5="","",LN(2)/G5)</f>
        <v>1.7754794584015</v>
      </c>
      <c r="K5" s="335" t="n">
        <f aca="false">IF(J5="","",(LN(10)/LN(2))*J5)</f>
        <v>5.89801509475934</v>
      </c>
      <c r="L5" s="335" t="n">
        <v>0.1576</v>
      </c>
      <c r="M5" s="335" t="n">
        <v>0.7175</v>
      </c>
      <c r="N5" s="335" t="n">
        <v>0.3048</v>
      </c>
      <c r="O5" s="335" t="n">
        <f aca="false">IF(L5="","",LN(2)/L5)</f>
        <v>4.3981420086291</v>
      </c>
      <c r="P5" s="335" t="n">
        <f aca="false">IF(O5="","",(LN(10)/LN(2))*O5)</f>
        <v>14.6103115037693</v>
      </c>
      <c r="Q5" s="324" t="n">
        <v>9.364</v>
      </c>
      <c r="R5" s="335" t="n">
        <v>41.25</v>
      </c>
      <c r="S5" s="335" t="n">
        <v>0.3202</v>
      </c>
      <c r="T5" s="335" t="n">
        <f aca="false">IF(Q5="","",LN(2)/Q5)</f>
        <v>0.0740225523878626</v>
      </c>
      <c r="U5" s="335" t="n">
        <f aca="false">IF(T5="","",(LN(10)/LN(2))*T5)</f>
        <v>0.245897596432512</v>
      </c>
      <c r="V5" s="335" t="n">
        <v>0.3804</v>
      </c>
      <c r="W5" s="335" t="n">
        <v>1.543</v>
      </c>
      <c r="X5" s="335" t="n">
        <v>0.2869</v>
      </c>
      <c r="Y5" s="335" t="n">
        <f aca="false">IF(V5="","",LN(2)/V5)</f>
        <v>1.82215347150354</v>
      </c>
      <c r="Z5" s="335" t="n">
        <f aca="false">IF(Y5="","",(LN(10)/LN(2))*Y5)</f>
        <v>6.05306281018414</v>
      </c>
      <c r="AA5" s="335" t="n">
        <v>0.0223</v>
      </c>
      <c r="AB5" s="335" t="n">
        <v>0.0434</v>
      </c>
      <c r="AC5" s="335" t="n">
        <v>0.1937</v>
      </c>
      <c r="AD5" s="335" t="n">
        <f aca="false">IF(AA5="","",LN(2)/AA5)</f>
        <v>31.0828332089662</v>
      </c>
      <c r="AE5" s="335" t="n">
        <f aca="false">IF(AD5="","",(LN(10)/LN(2))*AD5)</f>
        <v>103.254936905563</v>
      </c>
      <c r="AF5" s="328" t="n">
        <f aca="false">0.1965*A5-3.429</f>
        <v>1.4835</v>
      </c>
    </row>
    <row r="6" customFormat="false" ht="13.2" hidden="false" customHeight="false" outlineLevel="0" collapsed="false">
      <c r="A6" s="334" t="n">
        <v>30</v>
      </c>
      <c r="B6" s="335" t="n">
        <v>38.8</v>
      </c>
      <c r="C6" s="335" t="n">
        <v>178</v>
      </c>
      <c r="D6" s="335" t="n">
        <v>0.3473</v>
      </c>
      <c r="E6" s="335" t="n">
        <f aca="false">IF(B6="","",LN(2)/B6)</f>
        <v>0.0178646180556687</v>
      </c>
      <c r="F6" s="335" t="n">
        <f aca="false">IF(E6="","",(LN(10)/LN(2))*E6)</f>
        <v>0.0593449766235579</v>
      </c>
      <c r="G6" s="335" t="n">
        <v>0.3173</v>
      </c>
      <c r="H6" s="335" t="n">
        <v>1.698</v>
      </c>
      <c r="I6" s="335" t="n">
        <v>0.3593</v>
      </c>
      <c r="J6" s="335" t="n">
        <f aca="false">IF(G6="","",LN(2)/G6)</f>
        <v>2.1845167997477</v>
      </c>
      <c r="K6" s="335" t="n">
        <f aca="false">IF(J6="","",(LN(10)/LN(2))*J6)</f>
        <v>7.25680773083532</v>
      </c>
      <c r="L6" s="335" t="n">
        <v>0.1208</v>
      </c>
      <c r="M6" s="335" t="n">
        <v>0.7043</v>
      </c>
      <c r="N6" s="335" t="n">
        <v>0.3613</v>
      </c>
      <c r="O6" s="335" t="n">
        <f aca="false">IF(L6="","",LN(2)/L6)</f>
        <v>5.73797334900617</v>
      </c>
      <c r="P6" s="335" t="n">
        <f aca="false">IF(O6="","",(LN(10)/LN(2))*O6)</f>
        <v>19.0611348757785</v>
      </c>
      <c r="Q6" s="324" t="n">
        <v>7.406</v>
      </c>
      <c r="R6" s="335" t="n">
        <v>41.93</v>
      </c>
      <c r="S6" s="335" t="n">
        <v>0.3959</v>
      </c>
      <c r="T6" s="335" t="n">
        <f aca="false">IF(Q6="","",LN(2)/Q6)</f>
        <v>0.0935926519794687</v>
      </c>
      <c r="U6" s="335" t="n">
        <f aca="false">IF(T6="","",(LN(10)/LN(2))*T6)</f>
        <v>0.310908060085612</v>
      </c>
      <c r="V6" s="335" t="n">
        <v>0.3061</v>
      </c>
      <c r="W6" s="335" t="n">
        <v>1.599</v>
      </c>
      <c r="X6" s="335" t="n">
        <v>0.3693</v>
      </c>
      <c r="Y6" s="335" t="n">
        <f aca="false">IF(V6="","",LN(2)/V6)</f>
        <v>2.26444684926477</v>
      </c>
      <c r="Z6" s="335" t="n">
        <f aca="false">IF(Y6="","",(LN(10)/LN(2))*Y6)</f>
        <v>7.5223296079518</v>
      </c>
      <c r="AA6" s="335" t="n">
        <v>0.02166</v>
      </c>
      <c r="AB6" s="335" t="n">
        <v>0.03966</v>
      </c>
      <c r="AC6" s="335" t="n">
        <v>0.2843</v>
      </c>
      <c r="AD6" s="335" t="n">
        <f aca="false">IF(AA6="","",LN(2)/AA6)</f>
        <v>32.001254873497</v>
      </c>
      <c r="AE6" s="335" t="n">
        <f aca="false">IF(AD6="","",(LN(10)/LN(2))*AD6)</f>
        <v>106.305867635921</v>
      </c>
      <c r="AF6" s="328" t="n">
        <f aca="false">0.1965*A6-3.429</f>
        <v>2.466</v>
      </c>
    </row>
    <row r="7" customFormat="false" ht="13.2" hidden="false" customHeight="false" outlineLevel="0" collapsed="false">
      <c r="A7" s="334" t="n">
        <v>35</v>
      </c>
      <c r="B7" s="335" t="n">
        <v>29.55</v>
      </c>
      <c r="C7" s="335" t="n">
        <v>164.7</v>
      </c>
      <c r="D7" s="335" t="n">
        <v>0.3948</v>
      </c>
      <c r="E7" s="335" t="n">
        <f aca="false">IF(B7="","",LN(2)/B7)</f>
        <v>0.0234567573793552</v>
      </c>
      <c r="F7" s="335" t="n">
        <f aca="false">IF(E7="","",(LN(10)/LN(2))*E7)</f>
        <v>0.0779216613534364</v>
      </c>
      <c r="G7" s="335" t="n">
        <v>0.2528</v>
      </c>
      <c r="H7" s="335" t="n">
        <v>1.807</v>
      </c>
      <c r="I7" s="335" t="n">
        <v>0.4648</v>
      </c>
      <c r="J7" s="335" t="n">
        <f aca="false">IF(G7="","",LN(2)/G7)</f>
        <v>2.74187966993649</v>
      </c>
      <c r="K7" s="335" t="n">
        <f aca="false">IF(J7="","",(LN(10)/LN(2))*J7)</f>
        <v>9.10832710836252</v>
      </c>
      <c r="L7" s="335" t="n">
        <v>0.08878</v>
      </c>
      <c r="M7" s="335" t="n">
        <v>0.6988</v>
      </c>
      <c r="N7" s="335" t="n">
        <v>0.4245</v>
      </c>
      <c r="O7" s="335" t="n">
        <f aca="false">IF(L7="","",LN(2)/L7)</f>
        <v>7.80746993196604</v>
      </c>
      <c r="P7" s="335" t="n">
        <f aca="false">IF(O7="","",(LN(10)/LN(2))*O7)</f>
        <v>25.9358537169863</v>
      </c>
      <c r="Q7" s="324" t="n">
        <v>5.716</v>
      </c>
      <c r="R7" s="335" t="n">
        <v>43.41</v>
      </c>
      <c r="S7" s="335" t="n">
        <v>0.4857</v>
      </c>
      <c r="T7" s="335" t="n">
        <f aca="false">IF(Q7="","",LN(2)/Q7)</f>
        <v>0.121264377284805</v>
      </c>
      <c r="U7" s="335" t="n">
        <f aca="false">IF(T7="","",(LN(10)/LN(2))*T7)</f>
        <v>0.402831541811415</v>
      </c>
      <c r="V7" s="335" t="n">
        <v>0.2396</v>
      </c>
      <c r="W7" s="335" t="n">
        <v>1.694</v>
      </c>
      <c r="X7" s="335" t="n">
        <v>0.4683</v>
      </c>
      <c r="Y7" s="335" t="n">
        <f aca="false">IF(V7="","",LN(2)/V7)</f>
        <v>2.89293481035036</v>
      </c>
      <c r="Z7" s="335" t="n">
        <f aca="false">IF(Y7="","",(LN(10)/LN(2))*Y7)</f>
        <v>9.61012142318049</v>
      </c>
      <c r="AA7" s="335" t="n">
        <v>0.01901</v>
      </c>
      <c r="AB7" s="335" t="n">
        <v>0.03873</v>
      </c>
      <c r="AC7" s="335" t="n">
        <v>0.3732</v>
      </c>
      <c r="AD7" s="335" t="n">
        <f aca="false">IF(AA7="","",LN(2)/AA7)</f>
        <v>36.462239903206</v>
      </c>
      <c r="AE7" s="335" t="n">
        <f aca="false">IF(AD7="","",(LN(10)/LN(2))*AD7)</f>
        <v>121.124939136983</v>
      </c>
      <c r="AF7" s="328" t="n">
        <f aca="false">0.1965*A7-3.429</f>
        <v>3.4485</v>
      </c>
    </row>
    <row r="8" customFormat="false" ht="13.2" hidden="false" customHeight="false" outlineLevel="0" collapsed="false">
      <c r="A8" s="334" t="n">
        <v>40</v>
      </c>
      <c r="B8" s="335"/>
      <c r="C8" s="335"/>
      <c r="D8" s="335"/>
      <c r="E8" s="335" t="str">
        <f aca="false">IF(B8="","",LN(2)/B8)</f>
        <v/>
      </c>
      <c r="F8" s="335" t="str">
        <f aca="false">IF(E8="","",(LN(10)/LN(2))*E8)</f>
        <v/>
      </c>
      <c r="G8" s="335" t="n">
        <v>0.1297</v>
      </c>
      <c r="H8" s="335" t="n">
        <v>0.178</v>
      </c>
      <c r="I8" s="335" t="n">
        <v>0.2189</v>
      </c>
      <c r="J8" s="335" t="n">
        <f aca="false">IF(G8="","",LN(2)/G8)</f>
        <v>5.34423423716226</v>
      </c>
      <c r="K8" s="335" t="n">
        <f aca="false">IF(J8="","",(LN(10)/LN(2))*J8)</f>
        <v>17.7531618580882</v>
      </c>
      <c r="L8" s="335"/>
      <c r="M8" s="335"/>
      <c r="N8" s="335"/>
      <c r="O8" s="335" t="str">
        <f aca="false">IF(L8="","",LN(2)/L8)</f>
        <v/>
      </c>
      <c r="P8" s="335" t="str">
        <f aca="false">IF(O8="","",(LN(10)/LN(2))*O8)</f>
        <v/>
      </c>
      <c r="Q8" s="324"/>
      <c r="R8" s="335"/>
      <c r="S8" s="335"/>
      <c r="T8" s="335" t="str">
        <f aca="false">IF(Q8="","",LN(2)/Q8)</f>
        <v/>
      </c>
      <c r="U8" s="335" t="str">
        <f aca="false">IF(T8="","",(LN(10)/LN(2))*T8)</f>
        <v/>
      </c>
      <c r="V8" s="335"/>
      <c r="W8" s="335"/>
      <c r="X8" s="335"/>
      <c r="Y8" s="335" t="str">
        <f aca="false">IF(V8="","",LN(2)/V8)</f>
        <v/>
      </c>
      <c r="Z8" s="335" t="str">
        <f aca="false">IF(Y8="","",(LN(10)/LN(2))*Y8)</f>
        <v/>
      </c>
      <c r="AA8" s="335"/>
      <c r="AB8" s="335"/>
      <c r="AC8" s="335"/>
      <c r="AD8" s="335" t="str">
        <f aca="false">IF(AA8="","",LN(2)/AA8)</f>
        <v/>
      </c>
      <c r="AE8" s="335" t="str">
        <f aca="false">IF(AD8="","",(LN(10)/LN(2))*AD8)</f>
        <v/>
      </c>
      <c r="AF8" s="328" t="n">
        <f aca="false">1.222-0.05664*A8+0.001227*A8^2-0.000003136*A8^3</f>
        <v>0.718896</v>
      </c>
    </row>
    <row r="9" customFormat="false" ht="13.2" hidden="false" customHeight="false" outlineLevel="0" collapsed="false">
      <c r="A9" s="334" t="n">
        <v>45</v>
      </c>
      <c r="B9" s="335"/>
      <c r="C9" s="335"/>
      <c r="D9" s="335"/>
      <c r="E9" s="335" t="str">
        <f aca="false">IF(B9="","",LN(2)/B9)</f>
        <v/>
      </c>
      <c r="F9" s="335" t="str">
        <f aca="false">IF(E9="","",(LN(10)/LN(2))*E9)</f>
        <v/>
      </c>
      <c r="G9" s="335" t="n">
        <v>0.1095</v>
      </c>
      <c r="H9" s="335" t="n">
        <v>0.1741</v>
      </c>
      <c r="I9" s="335" t="n">
        <v>0.2269</v>
      </c>
      <c r="J9" s="335" t="n">
        <f aca="false">IF(G9="","",LN(2)/G9)</f>
        <v>6.33011123799037</v>
      </c>
      <c r="K9" s="335" t="n">
        <f aca="false">IF(J9="","",(LN(10)/LN(2))*J9)</f>
        <v>21.0281743652424</v>
      </c>
      <c r="L9" s="335"/>
      <c r="M9" s="335"/>
      <c r="N9" s="335"/>
      <c r="O9" s="335" t="str">
        <f aca="false">IF(L9="","",LN(2)/L9)</f>
        <v/>
      </c>
      <c r="P9" s="335" t="str">
        <f aca="false">IF(O9="","",(LN(10)/LN(2))*O9)</f>
        <v/>
      </c>
      <c r="Q9" s="324"/>
      <c r="R9" s="335"/>
      <c r="S9" s="335"/>
      <c r="T9" s="335" t="str">
        <f aca="false">IF(Q9="","",LN(2)/Q9)</f>
        <v/>
      </c>
      <c r="U9" s="335" t="str">
        <f aca="false">IF(T9="","",(LN(10)/LN(2))*T9)</f>
        <v/>
      </c>
      <c r="V9" s="335"/>
      <c r="W9" s="335"/>
      <c r="X9" s="335"/>
      <c r="Y9" s="335" t="str">
        <f aca="false">IF(V9="","",LN(2)/V9)</f>
        <v/>
      </c>
      <c r="Z9" s="335" t="str">
        <f aca="false">IF(Y9="","",(LN(10)/LN(2))*Y9)</f>
        <v/>
      </c>
      <c r="AA9" s="335"/>
      <c r="AB9" s="335"/>
      <c r="AC9" s="335"/>
      <c r="AD9" s="335" t="str">
        <f aca="false">IF(AA9="","",LN(2)/AA9)</f>
        <v/>
      </c>
      <c r="AE9" s="335" t="str">
        <f aca="false">IF(AD9="","",(LN(10)/LN(2))*AD9)</f>
        <v/>
      </c>
      <c r="AF9" s="328" t="n">
        <f aca="false">1.222-0.05664*A9+0.001227*A9^2-0.000003136*A9^3</f>
        <v>0.872107</v>
      </c>
    </row>
    <row r="10" customFormat="false" ht="13.2" hidden="false" customHeight="false" outlineLevel="0" collapsed="false">
      <c r="A10" s="334" t="n">
        <v>50</v>
      </c>
      <c r="B10" s="335" t="n">
        <v>8.801</v>
      </c>
      <c r="C10" s="335" t="n">
        <v>27.28</v>
      </c>
      <c r="D10" s="335" t="n">
        <v>0.2957</v>
      </c>
      <c r="E10" s="335" t="n">
        <f aca="false">IF(B10="","",LN(2)/B10)</f>
        <v>0.0787577753164351</v>
      </c>
      <c r="F10" s="335" t="n">
        <f aca="false">IF(E10="","",(LN(10)/LN(2))*E10)</f>
        <v>0.261627666514492</v>
      </c>
      <c r="G10" s="335" t="n">
        <v>0.0932</v>
      </c>
      <c r="H10" s="335" t="n">
        <v>0.1712</v>
      </c>
      <c r="I10" s="335" t="n">
        <v>0.2324</v>
      </c>
      <c r="J10" s="335" t="n">
        <f aca="false">IF(G10="","",LN(2)/G10)</f>
        <v>7.43720150815392</v>
      </c>
      <c r="K10" s="335" t="n">
        <f aca="false">IF(J10="","",(LN(10)/LN(2))*J10)</f>
        <v>24.7058486372752</v>
      </c>
      <c r="L10" s="335" t="n">
        <v>0.03883</v>
      </c>
      <c r="M10" s="335" t="n">
        <v>0.0873</v>
      </c>
      <c r="N10" s="335" t="n">
        <v>0.5105</v>
      </c>
      <c r="O10" s="335" t="n">
        <f aca="false">IF(L10="","",LN(2)/L10)</f>
        <v>17.8508158784431</v>
      </c>
      <c r="P10" s="335" t="n">
        <f aca="false">IF(O10="","",(LN(10)/LN(2))*O10)</f>
        <v>59.2991267832615</v>
      </c>
      <c r="Q10" s="324" t="n">
        <v>1.817</v>
      </c>
      <c r="R10" s="335" t="n">
        <v>4.84</v>
      </c>
      <c r="S10" s="335" t="n">
        <v>0.4021</v>
      </c>
      <c r="T10" s="335" t="n">
        <f aca="false">IF(Q10="","",LN(2)/Q10)</f>
        <v>0.38147891059986</v>
      </c>
      <c r="U10" s="335" t="n">
        <f aca="false">IF(T10="","",(LN(10)/LN(2))*T10)</f>
        <v>1.2672455107287</v>
      </c>
      <c r="V10" s="335" t="n">
        <v>0.09721</v>
      </c>
      <c r="W10" s="335" t="n">
        <v>0.1799</v>
      </c>
      <c r="X10" s="335" t="n">
        <v>0.4912</v>
      </c>
      <c r="Y10" s="335" t="n">
        <f aca="false">IF(V10="","",LN(2)/V10)</f>
        <v>7.13041025161964</v>
      </c>
      <c r="Z10" s="335" t="n">
        <f aca="false">IF(Y10="","",(LN(10)/LN(2))*Y10)</f>
        <v>23.6867101429282</v>
      </c>
      <c r="AA10" s="335" t="n">
        <v>0.01076</v>
      </c>
      <c r="AB10" s="335" t="n">
        <v>0.001862</v>
      </c>
      <c r="AC10" s="335" t="n">
        <v>1.17</v>
      </c>
      <c r="AD10" s="335" t="n">
        <f aca="false">IF(AA10="","",LN(2)/AA10)</f>
        <v>64.4188829516678</v>
      </c>
      <c r="AE10" s="335" t="n">
        <f aca="false">IF(AD10="","",(LN(10)/LN(2))*AD10)</f>
        <v>213.994897118406</v>
      </c>
      <c r="AF10" s="328" t="n">
        <f aca="false">1.222-0.05664*A10+0.001227*A10^2-0.000003136*A10^3</f>
        <v>1.0655</v>
      </c>
    </row>
    <row r="11" customFormat="false" ht="13.2" hidden="false" customHeight="false" outlineLevel="0" collapsed="false">
      <c r="A11" s="334" t="n">
        <v>55</v>
      </c>
      <c r="B11" s="335" t="n">
        <v>7.839</v>
      </c>
      <c r="C11" s="335" t="n">
        <v>25.92</v>
      </c>
      <c r="D11" s="335" t="n">
        <v>0.3499</v>
      </c>
      <c r="E11" s="335" t="n">
        <f aca="false">IF(B11="","",LN(2)/B11)</f>
        <v>0.0884229086056825</v>
      </c>
      <c r="F11" s="335" t="n">
        <f aca="false">IF(E11="","",(LN(10)/LN(2))*E11)</f>
        <v>0.293734544328874</v>
      </c>
      <c r="G11" s="335" t="n">
        <v>0.07422</v>
      </c>
      <c r="H11" s="335" t="n">
        <v>0.1697</v>
      </c>
      <c r="I11" s="335" t="n">
        <v>0.2454</v>
      </c>
      <c r="J11" s="335" t="n">
        <f aca="false">IF(G11="","",LN(2)/G11)</f>
        <v>9.33908893236251</v>
      </c>
      <c r="K11" s="335" t="n">
        <f aca="false">IF(J11="","",(LN(10)/LN(2))*J11)</f>
        <v>31.0237819050666</v>
      </c>
      <c r="L11" s="335" t="n">
        <v>0.03419</v>
      </c>
      <c r="M11" s="335" t="n">
        <v>0.08315</v>
      </c>
      <c r="N11" s="335" t="n">
        <v>0.5606</v>
      </c>
      <c r="O11" s="335" t="n">
        <f aca="false">IF(L11="","",LN(2)/L11)</f>
        <v>20.273389311493</v>
      </c>
      <c r="P11" s="335" t="n">
        <f aca="false">IF(O11="","",(LN(10)/LN(2))*O11)</f>
        <v>67.3467415324377</v>
      </c>
      <c r="Q11" s="324" t="n">
        <v>1.493</v>
      </c>
      <c r="R11" s="335" t="n">
        <v>4.515</v>
      </c>
      <c r="S11" s="335" t="n">
        <v>0.4293</v>
      </c>
      <c r="T11" s="335" t="n">
        <f aca="false">IF(Q11="","",LN(2)/Q11)</f>
        <v>0.464264688921598</v>
      </c>
      <c r="U11" s="335" t="n">
        <f aca="false">IF(T11="","",(LN(10)/LN(2))*T11)</f>
        <v>1.5422539135928</v>
      </c>
      <c r="V11" s="335" t="n">
        <v>0.08552</v>
      </c>
      <c r="W11" s="335" t="n">
        <v>0.1661</v>
      </c>
      <c r="X11" s="335" t="n">
        <v>0.5112</v>
      </c>
      <c r="Y11" s="335" t="n">
        <f aca="false">IF(V11="","",LN(2)/V11)</f>
        <v>8.10508864078514</v>
      </c>
      <c r="Z11" s="335" t="n">
        <f aca="false">IF(Y11="","",(LN(10)/LN(2))*Y11)</f>
        <v>26.9245216673766</v>
      </c>
      <c r="AA11" s="335" t="n">
        <v>0.01012</v>
      </c>
      <c r="AB11" s="335" t="n">
        <v>0.001404</v>
      </c>
      <c r="AC11" s="335" t="n">
        <v>1.269</v>
      </c>
      <c r="AD11" s="335" t="n">
        <f aca="false">IF(AA11="","",LN(2)/AA11)</f>
        <v>68.4928044031566</v>
      </c>
      <c r="AE11" s="335" t="n">
        <f aca="false">IF(AD11="","",(LN(10)/LN(2))*AD11)</f>
        <v>227.528171244471</v>
      </c>
      <c r="AF11" s="328" t="n">
        <f aca="false">1.222-0.05664*A11+0.001227*A11^2-0.000003136*A11^3</f>
        <v>1.296723</v>
      </c>
    </row>
    <row r="12" customFormat="false" ht="13.2" hidden="false" customHeight="false" outlineLevel="0" collapsed="false">
      <c r="A12" s="334" t="n">
        <v>60</v>
      </c>
      <c r="B12" s="335" t="n">
        <v>6.951</v>
      </c>
      <c r="C12" s="335" t="n">
        <v>24.89</v>
      </c>
      <c r="D12" s="335" t="n">
        <v>0.4198</v>
      </c>
      <c r="E12" s="335" t="n">
        <f aca="false">IF(B12="","",LN(2)/B12)</f>
        <v>0.0997190592087391</v>
      </c>
      <c r="F12" s="335" t="n">
        <f aca="false">IF(E12="","",(LN(10)/LN(2))*E12)</f>
        <v>0.331259544381247</v>
      </c>
      <c r="G12" s="335" t="n">
        <v>0.06251</v>
      </c>
      <c r="H12" s="335" t="n">
        <v>0.1692</v>
      </c>
      <c r="I12" s="335" t="n">
        <v>0.2733</v>
      </c>
      <c r="J12" s="335" t="n">
        <f aca="false">IF(G12="","",LN(2)/G12)</f>
        <v>11.0885807160446</v>
      </c>
      <c r="K12" s="335" t="n">
        <f aca="false">IF(J12="","",(LN(10)/LN(2))*J12)</f>
        <v>36.8354678130546</v>
      </c>
      <c r="L12" s="335" t="n">
        <v>0.02985</v>
      </c>
      <c r="M12" s="335" t="n">
        <v>0.07961</v>
      </c>
      <c r="N12" s="335" t="n">
        <v>0.6169</v>
      </c>
      <c r="O12" s="335" t="n">
        <f aca="false">IF(L12="","",LN(2)/L12)</f>
        <v>23.221011074035</v>
      </c>
      <c r="P12" s="335" t="n">
        <f aca="false">IF(O12="","",(LN(10)/LN(2))*O12)</f>
        <v>77.1385290785275</v>
      </c>
      <c r="Q12" s="324" t="n">
        <v>1.183</v>
      </c>
      <c r="R12" s="335" t="n">
        <v>4.219</v>
      </c>
      <c r="S12" s="335" t="n">
        <v>0.4571</v>
      </c>
      <c r="T12" s="335" t="n">
        <f aca="false">IF(Q12="","",LN(2)/Q12)</f>
        <v>0.58592322955194</v>
      </c>
      <c r="U12" s="335" t="n">
        <f aca="false">IF(T12="","",(LN(10)/LN(2))*T12)</f>
        <v>1.94639483769573</v>
      </c>
      <c r="V12" s="335" t="n">
        <v>0.07452</v>
      </c>
      <c r="W12" s="335" t="n">
        <v>0.1539</v>
      </c>
      <c r="X12" s="335" t="n">
        <v>0.5304</v>
      </c>
      <c r="Y12" s="335" t="n">
        <f aca="false">IF(V12="","",LN(2)/V12)</f>
        <v>9.30149195598424</v>
      </c>
      <c r="Z12" s="335" t="n">
        <f aca="false">IF(Y12="","",(LN(10)/LN(2))*Y12)</f>
        <v>30.8988874529528</v>
      </c>
      <c r="AA12" s="335" t="n">
        <v>0.009512</v>
      </c>
      <c r="AB12" s="335" t="n">
        <v>0.0009672</v>
      </c>
      <c r="AC12" s="335" t="n">
        <v>1.333</v>
      </c>
      <c r="AD12" s="335" t="n">
        <f aca="false">IF(AA12="","",LN(2)/AA12)</f>
        <v>72.8708137678664</v>
      </c>
      <c r="AE12" s="335" t="n">
        <f aca="false">IF(AD12="","",(LN(10)/LN(2))*AD12)</f>
        <v>242.07160355278</v>
      </c>
      <c r="AF12" s="328" t="n">
        <f aca="false">1.222-0.05664*A12+0.001227*A12^2-0.000003136*A12^3</f>
        <v>1.563424</v>
      </c>
    </row>
    <row r="13" customFormat="false" ht="13.2" hidden="false" customHeight="false" outlineLevel="0" collapsed="false">
      <c r="A13" s="334" t="n">
        <v>65</v>
      </c>
      <c r="B13" s="336" t="n">
        <v>6.13</v>
      </c>
      <c r="C13" s="336" t="n">
        <v>24.09</v>
      </c>
      <c r="D13" s="336" t="n">
        <v>0.5019</v>
      </c>
      <c r="E13" s="335" t="n">
        <f aca="false">IF(B13="","",LN(2)/B13)</f>
        <v>0.113074580841753</v>
      </c>
      <c r="F13" s="335" t="n">
        <f aca="false">IF(E13="","",(LN(10)/LN(2))*E13)</f>
        <v>0.375625626915831</v>
      </c>
      <c r="G13" s="336" t="n">
        <v>0.05528</v>
      </c>
      <c r="H13" s="336" t="n">
        <v>0.1696</v>
      </c>
      <c r="I13" s="336" t="n">
        <v>0.3217</v>
      </c>
      <c r="J13" s="335" t="n">
        <f aca="false">IF(G13="","",LN(2)/G13)</f>
        <v>12.5388419059324</v>
      </c>
      <c r="K13" s="335" t="n">
        <f aca="false">IF(J13="","",(LN(10)/LN(2))*J13)</f>
        <v>41.653131204668</v>
      </c>
      <c r="L13" s="336" t="n">
        <v>0.02609</v>
      </c>
      <c r="M13" s="336" t="n">
        <v>0.07597</v>
      </c>
      <c r="N13" s="336" t="n">
        <v>0.6756</v>
      </c>
      <c r="O13" s="335" t="n">
        <f aca="false">IF(L13="","",LN(2)/L13)</f>
        <v>26.5675423748542</v>
      </c>
      <c r="P13" s="335" t="n">
        <f aca="false">IF(O13="","",(LN(10)/LN(2))*O13)</f>
        <v>88.2554654271386</v>
      </c>
      <c r="Q13" s="324" t="n">
        <v>0.9172</v>
      </c>
      <c r="R13" s="336" t="n">
        <v>3.982</v>
      </c>
      <c r="S13" s="336" t="n">
        <v>0.4922</v>
      </c>
      <c r="T13" s="335" t="n">
        <f aca="false">IF(Q13="","",LN(2)/Q13)</f>
        <v>0.755720868469195</v>
      </c>
      <c r="U13" s="335" t="n">
        <f aca="false">IF(T13="","",(LN(10)/LN(2))*T13)</f>
        <v>2.51045038486049</v>
      </c>
      <c r="V13" s="336" t="n">
        <v>0.06514</v>
      </c>
      <c r="W13" s="336" t="n">
        <v>0.1443</v>
      </c>
      <c r="X13" s="336" t="n">
        <v>0.5582</v>
      </c>
      <c r="Y13" s="335" t="n">
        <f aca="false">IF(V13="","",LN(2)/V13)</f>
        <v>10.6408839508742</v>
      </c>
      <c r="Z13" s="335" t="n">
        <f aca="false">IF(Y13="","",(LN(10)/LN(2))*Y13)</f>
        <v>35.348251350845</v>
      </c>
      <c r="AA13" s="336" t="n">
        <v>0.00899</v>
      </c>
      <c r="AB13" s="336" t="n">
        <v>0.000647</v>
      </c>
      <c r="AC13" s="336" t="n">
        <v>1.353</v>
      </c>
      <c r="AD13" s="335" t="n">
        <f aca="false">IF(AA13="","",LN(2)/AA13)</f>
        <v>77.1020223092264</v>
      </c>
      <c r="AE13" s="335" t="n">
        <f aca="false">IF(AD13="","",(LN(10)/LN(2))*AD13)</f>
        <v>256.127374081651</v>
      </c>
      <c r="AF13" s="328" t="n">
        <f aca="false">1.222-0.05664*A13+0.001227*A13^2-0.000003136*A13^3</f>
        <v>1.863251</v>
      </c>
    </row>
    <row r="14" customFormat="false" ht="13.2" hidden="false" customHeight="false" outlineLevel="0" collapsed="false">
      <c r="A14" s="334" t="n">
        <v>70</v>
      </c>
      <c r="B14" s="336" t="n">
        <v>5.369</v>
      </c>
      <c r="C14" s="336" t="n">
        <v>23.49</v>
      </c>
      <c r="D14" s="336" t="n">
        <v>0.5881</v>
      </c>
      <c r="E14" s="335" t="n">
        <f aca="false">IF(B14="","",LN(2)/B14)</f>
        <v>0.129101728545343</v>
      </c>
      <c r="F14" s="335" t="n">
        <f aca="false">IF(E14="","",(LN(10)/LN(2))*E14)</f>
        <v>0.428866659153296</v>
      </c>
      <c r="G14" s="336" t="n">
        <v>0.05087</v>
      </c>
      <c r="H14" s="336" t="n">
        <v>0.1696</v>
      </c>
      <c r="I14" s="336" t="n">
        <v>0.3847</v>
      </c>
      <c r="J14" s="335" t="n">
        <f aca="false">IF(G14="","",LN(2)/G14)</f>
        <v>13.6258537558472</v>
      </c>
      <c r="K14" s="335" t="n">
        <f aca="false">IF(J14="","",(LN(10)/LN(2))*J14)</f>
        <v>45.2641064083752</v>
      </c>
      <c r="L14" s="336" t="n">
        <v>0.02302</v>
      </c>
      <c r="M14" s="336" t="n">
        <v>0.07163</v>
      </c>
      <c r="N14" s="336" t="n">
        <v>0.7299</v>
      </c>
      <c r="O14" s="335" t="n">
        <f aca="false">IF(L14="","",LN(2)/L14)</f>
        <v>30.1106507628126</v>
      </c>
      <c r="P14" s="335" t="n">
        <f aca="false">IF(O14="","",(LN(10)/LN(2))*O14)</f>
        <v>100.025416724329</v>
      </c>
      <c r="Q14" s="324" t="n">
        <v>0.7149</v>
      </c>
      <c r="R14" s="336" t="n">
        <v>3.798</v>
      </c>
      <c r="S14" s="336" t="n">
        <v>0.5378</v>
      </c>
      <c r="T14" s="335" t="n">
        <f aca="false">IF(Q14="","",LN(2)/Q14)</f>
        <v>0.969572220674144</v>
      </c>
      <c r="U14" s="335" t="n">
        <f aca="false">IF(T14="","",(LN(10)/LN(2))*T14)</f>
        <v>3.22084919987977</v>
      </c>
      <c r="V14" s="336" t="n">
        <v>0.05791</v>
      </c>
      <c r="W14" s="336" t="n">
        <v>0.1357</v>
      </c>
      <c r="X14" s="336" t="n">
        <v>0.5967</v>
      </c>
      <c r="Y14" s="335" t="n">
        <f aca="false">IF(V14="","",LN(2)/V14)</f>
        <v>11.969386644102</v>
      </c>
      <c r="Z14" s="335" t="n">
        <f aca="false">IF(Y14="","",(LN(10)/LN(2))*Y14)</f>
        <v>39.7614417716119</v>
      </c>
      <c r="AA14" s="336" t="n">
        <v>0.00855</v>
      </c>
      <c r="AB14" s="336" t="n">
        <v>0.000539</v>
      </c>
      <c r="AC14" s="336" t="n">
        <v>1.194</v>
      </c>
      <c r="AD14" s="335" t="n">
        <f aca="false">IF(AA14="","",LN(2)/AA14)</f>
        <v>81.0698456795258</v>
      </c>
      <c r="AE14" s="335" t="n">
        <f aca="false">IF(AD14="","",(LN(10)/LN(2))*AD14)</f>
        <v>269.308198010999</v>
      </c>
      <c r="AF14" s="328" t="n">
        <f aca="false">1.222-0.05664*A14+0.001227*A14^2-0.000003136*A14^3</f>
        <v>2.193852</v>
      </c>
    </row>
    <row r="15" customFormat="false" ht="13.2" hidden="false" customHeight="false" outlineLevel="0" collapsed="false">
      <c r="A15" s="334" t="n">
        <v>75</v>
      </c>
      <c r="B15" s="336" t="n">
        <v>4.666</v>
      </c>
      <c r="C15" s="336" t="n">
        <v>22.69</v>
      </c>
      <c r="D15" s="336" t="n">
        <v>0.6618</v>
      </c>
      <c r="E15" s="335" t="n">
        <f aca="false">IF(B15="","",LN(2)/B15)</f>
        <v>0.148552760514347</v>
      </c>
      <c r="F15" s="335" t="n">
        <f aca="false">IF(E15="","",(LN(10)/LN(2))*E15)</f>
        <v>0.493481588725685</v>
      </c>
      <c r="G15" s="336" t="n">
        <v>0.04797</v>
      </c>
      <c r="H15" s="336" t="n">
        <v>0.1663</v>
      </c>
      <c r="I15" s="336" t="n">
        <v>0.4492</v>
      </c>
      <c r="J15" s="335" t="n">
        <f aca="false">IF(G15="","",LN(2)/G15)</f>
        <v>14.449597259953</v>
      </c>
      <c r="K15" s="335" t="n">
        <f aca="false">IF(J15="","",(LN(10)/LN(2))*J15)</f>
        <v>48.0005230976453</v>
      </c>
      <c r="L15" s="336" t="n">
        <v>0.02066</v>
      </c>
      <c r="M15" s="336" t="n">
        <v>0.06649</v>
      </c>
      <c r="N15" s="336" t="n">
        <v>0.775</v>
      </c>
      <c r="O15" s="335" t="n">
        <f aca="false">IF(L15="","",LN(2)/L15)</f>
        <v>33.550202350433</v>
      </c>
      <c r="P15" s="335" t="n">
        <f aca="false">IF(O15="","",(LN(10)/LN(2))*O15)</f>
        <v>111.451359777059</v>
      </c>
      <c r="Q15" s="322" t="n">
        <v>0.5793</v>
      </c>
      <c r="R15" s="336" t="n">
        <v>3.629</v>
      </c>
      <c r="S15" s="336" t="n">
        <v>0.5908</v>
      </c>
      <c r="T15" s="335" t="n">
        <f aca="false">IF(Q15="","",LN(2)/Q15)</f>
        <v>1.19652542820636</v>
      </c>
      <c r="U15" s="335" t="n">
        <f aca="false">IF(T15="","",(LN(10)/LN(2))*T15)</f>
        <v>3.97477143620584</v>
      </c>
      <c r="V15" s="336" t="n">
        <v>0.05291</v>
      </c>
      <c r="W15" s="336" t="n">
        <v>0.128</v>
      </c>
      <c r="X15" s="336" t="n">
        <v>0.6478</v>
      </c>
      <c r="Y15" s="335" t="n">
        <f aca="false">IF(V15="","",LN(2)/V15)</f>
        <v>13.1004948130778</v>
      </c>
      <c r="Z15" s="335" t="n">
        <f aca="false">IF(Y15="","",(LN(10)/LN(2))*Y15)</f>
        <v>43.5189017764892</v>
      </c>
      <c r="AA15" s="336" t="n">
        <v>0.005203</v>
      </c>
      <c r="AB15" s="336" t="n">
        <v>0.0006421</v>
      </c>
      <c r="AC15" s="336" t="n">
        <v>1.062</v>
      </c>
      <c r="AD15" s="335" t="n">
        <f aca="false">IF(AA15="","",LN(2)/AA15)</f>
        <v>133.220676640389</v>
      </c>
      <c r="AE15" s="335" t="n">
        <f aca="false">IF(AD15="","",(LN(10)/LN(2))*AD15)</f>
        <v>442.549508551614</v>
      </c>
      <c r="AF15" s="328" t="n">
        <f aca="false">1.222-0.05664*A15+0.001227*A15^2-0.000003136*A15^3</f>
        <v>2.552875</v>
      </c>
    </row>
    <row r="16" customFormat="false" ht="13.2" hidden="false" customHeight="false" outlineLevel="0" collapsed="false">
      <c r="A16" s="334" t="n">
        <v>80</v>
      </c>
      <c r="B16" s="336" t="n">
        <v>4.04</v>
      </c>
      <c r="C16" s="336" t="n">
        <v>21.69</v>
      </c>
      <c r="D16" s="336" t="n">
        <v>0.7187</v>
      </c>
      <c r="E16" s="335" t="n">
        <f aca="false">IF(B16="","",LN(2)/B16)</f>
        <v>0.171571084297016</v>
      </c>
      <c r="F16" s="335" t="n">
        <f aca="false">IF(E16="","",(LN(10)/LN(2))*E16)</f>
        <v>0.569946805196546</v>
      </c>
      <c r="G16" s="336" t="n">
        <v>0.04583</v>
      </c>
      <c r="H16" s="336" t="n">
        <v>0.1549</v>
      </c>
      <c r="I16" s="336" t="n">
        <v>0.4926</v>
      </c>
      <c r="J16" s="335" t="n">
        <f aca="false">IF(G16="","",LN(2)/G16)</f>
        <v>15.1243111621197</v>
      </c>
      <c r="K16" s="335" t="n">
        <f aca="false">IF(J16="","",(LN(10)/LN(2))*J16)</f>
        <v>50.2418741652639</v>
      </c>
      <c r="L16" s="336" t="n">
        <v>0.01886</v>
      </c>
      <c r="M16" s="336" t="n">
        <v>0.06093</v>
      </c>
      <c r="N16" s="336" t="n">
        <v>0.8103</v>
      </c>
      <c r="O16" s="335" t="n">
        <f aca="false">IF(L16="","",LN(2)/L16)</f>
        <v>36.7522365090109</v>
      </c>
      <c r="P16" s="335" t="n">
        <f aca="false">IF(O16="","",(LN(10)/LN(2))*O16)</f>
        <v>122.088287009228</v>
      </c>
      <c r="Q16" s="322" t="n">
        <v>0.4921</v>
      </c>
      <c r="R16" s="336" t="n">
        <v>3.428</v>
      </c>
      <c r="S16" s="336" t="n">
        <v>0.6427</v>
      </c>
      <c r="T16" s="335" t="n">
        <f aca="false">IF(Q16="","",LN(2)/Q16)</f>
        <v>1.40854944230836</v>
      </c>
      <c r="U16" s="335" t="n">
        <f aca="false">IF(T16="","",(LN(10)/LN(2))*T16)</f>
        <v>4.67909996544208</v>
      </c>
      <c r="V16" s="336" t="n">
        <v>0.04955</v>
      </c>
      <c r="W16" s="336" t="n">
        <v>0.1208</v>
      </c>
      <c r="X16" s="336" t="n">
        <v>0.7097</v>
      </c>
      <c r="Y16" s="335" t="n">
        <f aca="false">IF(V16="","",LN(2)/V16)</f>
        <v>13.9888431999989</v>
      </c>
      <c r="Z16" s="335" t="n">
        <f aca="false">IF(Y16="","",(LN(10)/LN(2))*Y16)</f>
        <v>46.4699312410504</v>
      </c>
      <c r="AA16" s="336" t="n">
        <v>0.007903</v>
      </c>
      <c r="AB16" s="336" t="n">
        <v>0.000864</v>
      </c>
      <c r="AC16" s="336" t="n">
        <v>0.9703</v>
      </c>
      <c r="AD16" s="335" t="n">
        <f aca="false">IF(AA16="","",LN(2)/AA16)</f>
        <v>87.7068430418759</v>
      </c>
      <c r="AE16" s="335" t="n">
        <f aca="false">IF(AD16="","",(LN(10)/LN(2))*AD16)</f>
        <v>291.355826014684</v>
      </c>
      <c r="AF16" s="328" t="n">
        <f aca="false">1.222-0.05664*A16+0.001227*A16^2-0.000003136*A16^3</f>
        <v>2.937968</v>
      </c>
    </row>
    <row r="17" customFormat="false" ht="13.2" hidden="false" customHeight="false" outlineLevel="0" collapsed="false">
      <c r="A17" s="334" t="n">
        <v>85</v>
      </c>
      <c r="B17" s="336" t="n">
        <v>3.504</v>
      </c>
      <c r="C17" s="336" t="n">
        <v>20.37</v>
      </c>
      <c r="D17" s="336" t="n">
        <v>0.755</v>
      </c>
      <c r="E17" s="335" t="n">
        <f aca="false">IF(B17="","",LN(2)/B17)</f>
        <v>0.197815976187199</v>
      </c>
      <c r="F17" s="335" t="n">
        <f aca="false">IF(E17="","",(LN(10)/LN(2))*E17)</f>
        <v>0.657130448913826</v>
      </c>
      <c r="G17" s="336" t="n">
        <v>0.04398</v>
      </c>
      <c r="H17" s="336" t="n">
        <v>0.1348</v>
      </c>
      <c r="I17" s="336" t="n">
        <v>0.4943</v>
      </c>
      <c r="J17" s="335" t="n">
        <f aca="false">IF(G17="","",LN(2)/G17)</f>
        <v>15.7605088803989</v>
      </c>
      <c r="K17" s="335" t="n">
        <f aca="false">IF(J17="","",(LN(10)/LN(2))*J17)</f>
        <v>52.355277239519</v>
      </c>
      <c r="L17" s="336" t="n">
        <v>0.01746</v>
      </c>
      <c r="M17" s="336" t="n">
        <v>0.05558</v>
      </c>
      <c r="N17" s="336" t="n">
        <v>0.8392</v>
      </c>
      <c r="O17" s="335" t="n">
        <f aca="false">IF(L17="","",LN(2)/L17)</f>
        <v>39.6991512348193</v>
      </c>
      <c r="P17" s="335" t="n">
        <f aca="false">IF(O17="","",(LN(10)/LN(2))*O17)</f>
        <v>131.877725830129</v>
      </c>
      <c r="Q17" s="322" t="n">
        <v>0.4355</v>
      </c>
      <c r="R17" s="336" t="n">
        <v>3.178</v>
      </c>
      <c r="S17" s="336" t="n">
        <v>0.6861</v>
      </c>
      <c r="T17" s="335" t="n">
        <f aca="false">IF(Q17="","",LN(2)/Q17)</f>
        <v>1.59161235490229</v>
      </c>
      <c r="U17" s="335" t="n">
        <f aca="false">IF(T17="","",(LN(10)/LN(2))*T17)</f>
        <v>5.28722179791974</v>
      </c>
      <c r="V17" s="336" t="n">
        <v>0.04721</v>
      </c>
      <c r="W17" s="336" t="n">
        <v>0.114</v>
      </c>
      <c r="X17" s="336" t="n">
        <v>0.7786</v>
      </c>
      <c r="Y17" s="335" t="n">
        <f aca="false">IF(V17="","",LN(2)/V17)</f>
        <v>14.6822109841124</v>
      </c>
      <c r="Z17" s="335" t="n">
        <f aca="false">IF(Y17="","",(LN(10)/LN(2))*Y17)</f>
        <v>48.7732491631867</v>
      </c>
      <c r="AA17" s="336" t="n">
        <v>0.007686</v>
      </c>
      <c r="AB17" s="336" t="n">
        <v>0.001056</v>
      </c>
      <c r="AC17" s="336" t="n">
        <v>1.015</v>
      </c>
      <c r="AD17" s="335" t="n">
        <f aca="false">IF(AA17="","",LN(2)/AA17)</f>
        <v>90.183083601346</v>
      </c>
      <c r="AE17" s="335" t="n">
        <f aca="false">IF(AD17="","",(LN(10)/LN(2))*AD17)</f>
        <v>299.581719098887</v>
      </c>
      <c r="AF17" s="328" t="n">
        <f aca="false">1.222-0.05664*A17+0.001227*A17^2-0.000003136*A17^3</f>
        <v>3.346779</v>
      </c>
    </row>
    <row r="18" customFormat="false" ht="13.2" hidden="false" customHeight="false" outlineLevel="0" collapsed="false">
      <c r="A18" s="334" t="n">
        <v>90</v>
      </c>
      <c r="B18" s="336" t="n">
        <v>3.067</v>
      </c>
      <c r="C18" s="336" t="n">
        <v>18.83</v>
      </c>
      <c r="D18" s="336" t="n">
        <v>0.7726</v>
      </c>
      <c r="E18" s="335" t="n">
        <f aca="false">IF(B18="","",LN(2)/B18)</f>
        <v>0.226001689129425</v>
      </c>
      <c r="F18" s="335" t="n">
        <f aca="false">IF(E18="","",(LN(10)/LN(2))*E18)</f>
        <v>0.750761360611035</v>
      </c>
      <c r="G18" s="336" t="n">
        <v>0.04228</v>
      </c>
      <c r="H18" s="336" t="n">
        <v>0.1137</v>
      </c>
      <c r="I18" s="336" t="n">
        <v>0.469</v>
      </c>
      <c r="J18" s="335" t="n">
        <f aca="false">IF(G18="","",LN(2)/G18)</f>
        <v>16.3942095685891</v>
      </c>
      <c r="K18" s="335" t="n">
        <f aca="false">IF(J18="","",(LN(10)/LN(2))*J18)</f>
        <v>54.4603853593672</v>
      </c>
      <c r="L18" s="336" t="n">
        <v>0.01663</v>
      </c>
      <c r="M18" s="336" t="n">
        <v>0.05039</v>
      </c>
      <c r="N18" s="336" t="n">
        <v>0.8585</v>
      </c>
      <c r="O18" s="335" t="n">
        <f aca="false">IF(L18="","",LN(2)/L18)</f>
        <v>41.6805279951861</v>
      </c>
      <c r="P18" s="335" t="n">
        <f aca="false">IF(O18="","",(LN(10)/LN(2))*O18)</f>
        <v>138.459716956948</v>
      </c>
      <c r="Q18" s="322" t="n">
        <v>0.3971</v>
      </c>
      <c r="R18" s="336" t="n">
        <v>2.913</v>
      </c>
      <c r="S18" s="336" t="n">
        <v>0.7204</v>
      </c>
      <c r="T18" s="335" t="n">
        <f aca="false">IF(Q18="","",LN(2)/Q18)</f>
        <v>1.74552299309984</v>
      </c>
      <c r="U18" s="335" t="n">
        <f aca="false">IF(T18="","",(LN(10)/LN(2))*T18)</f>
        <v>5.79850187105023</v>
      </c>
      <c r="V18" s="336" t="n">
        <v>0.0455</v>
      </c>
      <c r="W18" s="336" t="n">
        <v>0.1077</v>
      </c>
      <c r="X18" s="336" t="n">
        <v>0.8522</v>
      </c>
      <c r="Y18" s="335" t="n">
        <f aca="false">IF(V18="","",LN(2)/V18)</f>
        <v>15.2340039683504</v>
      </c>
      <c r="Z18" s="335" t="n">
        <f aca="false">IF(Y18="","",(LN(10)/LN(2))*Y18)</f>
        <v>50.6062657800889</v>
      </c>
      <c r="AA18" s="336" t="n">
        <v>0.007511</v>
      </c>
      <c r="AB18" s="336" t="n">
        <v>0.001159</v>
      </c>
      <c r="AC18" s="336" t="n">
        <v>1.081</v>
      </c>
      <c r="AD18" s="335" t="n">
        <f aca="false">IF(AA18="","",LN(2)/AA18)</f>
        <v>92.28427380641</v>
      </c>
      <c r="AE18" s="335" t="n">
        <f aca="false">IF(AD18="","",(LN(10)/LN(2))*AD18)</f>
        <v>306.561721873791</v>
      </c>
      <c r="AF18" s="328" t="n">
        <f aca="false">1.222-0.05664*A18+0.001227*A18^2-0.000003136*A18^3</f>
        <v>3.776956</v>
      </c>
    </row>
    <row r="19" customFormat="false" ht="13.2" hidden="false" customHeight="false" outlineLevel="0" collapsed="false">
      <c r="A19" s="334" t="n">
        <v>95</v>
      </c>
      <c r="B19" s="336" t="n">
        <v>2.731</v>
      </c>
      <c r="C19" s="336" t="n">
        <v>17.07</v>
      </c>
      <c r="D19" s="336" t="n">
        <v>0.7714</v>
      </c>
      <c r="E19" s="335" t="n">
        <f aca="false">IF(B19="","",LN(2)/B19)</f>
        <v>0.253807096506754</v>
      </c>
      <c r="F19" s="335" t="n">
        <f aca="false">IF(E19="","",(LN(10)/LN(2))*E19)</f>
        <v>0.843128924567574</v>
      </c>
      <c r="G19" s="336" t="n">
        <v>0.04068</v>
      </c>
      <c r="H19" s="336" t="n">
        <v>0.09705</v>
      </c>
      <c r="I19" s="336" t="n">
        <v>0.4406</v>
      </c>
      <c r="J19" s="335" t="n">
        <f aca="false">IF(G19="","",LN(2)/G19)</f>
        <v>17.0390162379534</v>
      </c>
      <c r="K19" s="335" t="n">
        <f aca="false">IF(J19="","",(LN(10)/LN(2))*J19)</f>
        <v>56.6023867500994</v>
      </c>
      <c r="L19" s="336" t="n">
        <v>0.01543</v>
      </c>
      <c r="M19" s="336" t="n">
        <v>0.04571</v>
      </c>
      <c r="N19" s="336" t="n">
        <v>0.8763</v>
      </c>
      <c r="O19" s="335" t="n">
        <f aca="false">IF(L19="","",LN(2)/L19)</f>
        <v>44.9220466986355</v>
      </c>
      <c r="P19" s="335" t="n">
        <f aca="false">IF(O19="","",(LN(10)/LN(2))*O19)</f>
        <v>149.227809008039</v>
      </c>
      <c r="Q19" s="322" t="n">
        <v>0.3681</v>
      </c>
      <c r="R19" s="336" t="n">
        <v>2.654</v>
      </c>
      <c r="S19" s="336" t="n">
        <v>0.7461</v>
      </c>
      <c r="T19" s="335" t="n">
        <f aca="false">IF(Q19="","",LN(2)/Q19)</f>
        <v>1.88304042531906</v>
      </c>
      <c r="U19" s="335" t="n">
        <f aca="false">IF(T19="","",(LN(10)/LN(2))*T19)</f>
        <v>6.25532489267603</v>
      </c>
      <c r="V19" s="336" t="n">
        <v>0.0441</v>
      </c>
      <c r="W19" s="336" t="n">
        <v>0.1013</v>
      </c>
      <c r="X19" s="336" t="n">
        <v>0.9222</v>
      </c>
      <c r="Y19" s="335" t="n">
        <f aca="false">IF(V19="","",LN(2)/V19)</f>
        <v>15.7176231419489</v>
      </c>
      <c r="Z19" s="335" t="n">
        <f aca="false">IF(Y19="","",(LN(10)/LN(2))*Y19)</f>
        <v>52.2128139000917</v>
      </c>
      <c r="AA19" s="336" t="n">
        <v>0.007345</v>
      </c>
      <c r="AB19" s="336" t="n">
        <v>0.001133</v>
      </c>
      <c r="AC19" s="336" t="n">
        <v>1.116</v>
      </c>
      <c r="AD19" s="335" t="n">
        <f aca="false">IF(AA19="","",LN(2)/AA19)</f>
        <v>94.3699360871267</v>
      </c>
      <c r="AE19" s="335" t="n">
        <f aca="false">IF(AD19="","",(LN(10)/LN(2))*AD19)</f>
        <v>313.490142000551</v>
      </c>
      <c r="AF19" s="328" t="n">
        <f aca="false">1.222-0.05664*A19+0.001227*A19^2-0.000003136*A19^3</f>
        <v>4.226147</v>
      </c>
    </row>
    <row r="20" customFormat="false" ht="13.2" hidden="false" customHeight="false" outlineLevel="0" collapsed="false">
      <c r="A20" s="334" t="n">
        <v>100</v>
      </c>
      <c r="B20" s="336" t="n">
        <v>2.5</v>
      </c>
      <c r="C20" s="336" t="n">
        <v>15.28</v>
      </c>
      <c r="D20" s="336" t="n">
        <v>0.7557</v>
      </c>
      <c r="E20" s="335" t="n">
        <f aca="false">IF(B20="","",LN(2)/B20)</f>
        <v>0.277258872223978</v>
      </c>
      <c r="F20" s="335" t="n">
        <f aca="false">IF(E20="","",(LN(10)/LN(2))*E20)</f>
        <v>0.921034037197618</v>
      </c>
      <c r="G20" s="336" t="n">
        <v>0.03925</v>
      </c>
      <c r="H20" s="336" t="n">
        <v>0.08567</v>
      </c>
      <c r="I20" s="336" t="n">
        <v>0.4273</v>
      </c>
      <c r="J20" s="335" t="n">
        <f aca="false">IF(G20="","",LN(2)/G20)</f>
        <v>17.6598007785973</v>
      </c>
      <c r="K20" s="335" t="n">
        <f aca="false">IF(J20="","",(LN(10)/LN(2))*J20)</f>
        <v>58.6645883565362</v>
      </c>
      <c r="L20" s="336" t="n">
        <v>0.01466</v>
      </c>
      <c r="M20" s="336" t="n">
        <v>0.04171</v>
      </c>
      <c r="N20" s="336" t="n">
        <v>0.8939</v>
      </c>
      <c r="O20" s="335" t="n">
        <f aca="false">IF(L20="","",LN(2)/L20)</f>
        <v>47.2815266411968</v>
      </c>
      <c r="P20" s="335" t="n">
        <f aca="false">IF(O20="","",(LN(10)/LN(2))*O20)</f>
        <v>157.065831718557</v>
      </c>
      <c r="Q20" s="322" t="n">
        <v>0.3415</v>
      </c>
      <c r="R20" s="336" t="n">
        <v>2.42</v>
      </c>
      <c r="S20" s="336" t="n">
        <v>0.7645</v>
      </c>
      <c r="T20" s="335" t="n">
        <f aca="false">IF(Q20="","",LN(2)/Q20)</f>
        <v>2.02971355947275</v>
      </c>
      <c r="U20" s="335" t="n">
        <f aca="false">IF(T20="","",(LN(10)/LN(2))*T20)</f>
        <v>6.74256249778637</v>
      </c>
      <c r="V20" s="336" t="n">
        <v>0.04278</v>
      </c>
      <c r="W20" s="336" t="n">
        <v>0.09466</v>
      </c>
      <c r="X20" s="336" t="n">
        <v>0.9791</v>
      </c>
      <c r="Y20" s="335" t="n">
        <f aca="false">IF(V20="","",LN(2)/V20)</f>
        <v>16.2025988910693</v>
      </c>
      <c r="Z20" s="335" t="n">
        <f aca="false">IF(Y20="","",(LN(10)/LN(2))*Y20)</f>
        <v>53.823868466434</v>
      </c>
      <c r="AA20" s="336" t="n">
        <v>0.00723</v>
      </c>
      <c r="AB20" s="336" t="n">
        <v>0.0009343</v>
      </c>
      <c r="AC20" s="336" t="n">
        <v>1.309</v>
      </c>
      <c r="AD20" s="335" t="n">
        <f aca="false">IF(AA20="","",LN(2)/AA20)</f>
        <v>95.8709793305595</v>
      </c>
      <c r="AE20" s="335" t="n">
        <f aca="false">IF(AD20="","",(LN(10)/LN(2))*AD20)</f>
        <v>318.476499722551</v>
      </c>
      <c r="AF20" s="328" t="n">
        <f aca="false">1.222-0.05664*A20+0.001227*A20^2-0.000003136*A20^3</f>
        <v>4.692</v>
      </c>
    </row>
    <row r="21" customFormat="false" ht="13.2" hidden="false" customHeight="false" outlineLevel="0" collapsed="false">
      <c r="A21" s="334" t="n">
        <v>105</v>
      </c>
      <c r="B21" s="336" t="n">
        <v>2.364</v>
      </c>
      <c r="C21" s="336" t="n">
        <v>13.41</v>
      </c>
      <c r="D21" s="336" t="n">
        <v>0.7239</v>
      </c>
      <c r="E21" s="335" t="n">
        <f aca="false">IF(B21="","",LN(2)/B21)</f>
        <v>0.29320946724194</v>
      </c>
      <c r="F21" s="335" t="n">
        <f aca="false">IF(E21="","",(LN(10)/LN(2))*E21)</f>
        <v>0.974020766917955</v>
      </c>
      <c r="G21" s="336" t="n">
        <v>0.03808</v>
      </c>
      <c r="H21" s="336" t="n">
        <v>0.07862</v>
      </c>
      <c r="I21" s="336" t="n">
        <v>0.4394</v>
      </c>
      <c r="J21" s="335" t="n">
        <f aca="false">IF(G21="","",LN(2)/G21)</f>
        <v>18.2023944474776</v>
      </c>
      <c r="K21" s="335" t="n">
        <f aca="false">IF(J21="","",(LN(10)/LN(2))*J21)</f>
        <v>60.4670455092974</v>
      </c>
      <c r="L21" s="336" t="n">
        <v>0.01397</v>
      </c>
      <c r="M21" s="336" t="n">
        <v>0.03815</v>
      </c>
      <c r="N21" s="336" t="n">
        <v>0.908</v>
      </c>
      <c r="O21" s="335" t="n">
        <f aca="false">IF(L21="","",LN(2)/L21)</f>
        <v>49.6168346857513</v>
      </c>
      <c r="P21" s="335" t="n">
        <f aca="false">IF(O21="","",(LN(10)/LN(2))*O21)</f>
        <v>164.823557121979</v>
      </c>
      <c r="Q21" s="322" t="n">
        <v>0.3135</v>
      </c>
      <c r="R21" s="336" t="n">
        <v>2.227</v>
      </c>
      <c r="S21" s="336" t="n">
        <v>0.7788</v>
      </c>
      <c r="T21" s="335" t="n">
        <f aca="false">IF(Q21="","",LN(2)/Q21)</f>
        <v>2.21099579125979</v>
      </c>
      <c r="U21" s="335" t="n">
        <f aca="false">IF(T21="","",(LN(10)/LN(2))*T21)</f>
        <v>7.34476903666362</v>
      </c>
      <c r="V21" s="336" t="n">
        <v>0.04143</v>
      </c>
      <c r="W21" s="336" t="n">
        <v>0.08751</v>
      </c>
      <c r="X21" s="336" t="n">
        <v>1.014</v>
      </c>
      <c r="Y21" s="335" t="n">
        <f aca="false">IF(V21="","",LN(2)/V21)</f>
        <v>16.7305619251737</v>
      </c>
      <c r="Z21" s="335" t="n">
        <f aca="false">IF(Y21="","",(LN(10)/LN(2))*Y21)</f>
        <v>55.5777237024872</v>
      </c>
      <c r="AA21" s="336" t="n">
        <v>0.00705</v>
      </c>
      <c r="AB21" s="336" t="n">
        <v>0.0006199</v>
      </c>
      <c r="AC21" s="336" t="n">
        <v>1.365</v>
      </c>
      <c r="AD21" s="335" t="n">
        <f aca="false">IF(AA21="","",LN(2)/AA21)</f>
        <v>98.3187490155951</v>
      </c>
      <c r="AE21" s="335" t="n">
        <f aca="false">IF(AD21="","",(LN(10)/LN(2))*AD21)</f>
        <v>326.607814609085</v>
      </c>
      <c r="AF21" s="328" t="n">
        <f aca="false">1.222-0.05664*A21+0.001227*A21^2-0.000003136*A21^3</f>
        <v>5.172163</v>
      </c>
    </row>
    <row r="22" customFormat="false" ht="13.2" hidden="false" customHeight="false" outlineLevel="0" collapsed="false">
      <c r="A22" s="334" t="n">
        <v>110</v>
      </c>
      <c r="B22" s="336" t="n">
        <v>2.296</v>
      </c>
      <c r="C22" s="336" t="n">
        <v>11.7</v>
      </c>
      <c r="D22" s="336" t="n">
        <v>0.6827</v>
      </c>
      <c r="E22" s="335" t="n">
        <f aca="false">IF(B22="","",LN(2)/B22)</f>
        <v>0.301893371324018</v>
      </c>
      <c r="F22" s="335" t="n">
        <f aca="false">IF(E22="","",(LN(10)/LN(2))*E22)</f>
        <v>1.00286807186152</v>
      </c>
      <c r="G22" s="336" t="n">
        <v>0.03715</v>
      </c>
      <c r="H22" s="336" t="n">
        <v>0.07436</v>
      </c>
      <c r="I22" s="336" t="n">
        <v>0.4752</v>
      </c>
      <c r="J22" s="335" t="n">
        <f aca="false">IF(G22="","",LN(2)/G22)</f>
        <v>18.6580667714656</v>
      </c>
      <c r="K22" s="335" t="n">
        <f aca="false">IF(J22="","",(LN(10)/LN(2))*J22)</f>
        <v>61.9807562044158</v>
      </c>
      <c r="L22" s="336" t="n">
        <v>0.01336</v>
      </c>
      <c r="M22" s="336" t="n">
        <v>0.03521</v>
      </c>
      <c r="N22" s="336" t="n">
        <v>0.9244</v>
      </c>
      <c r="O22" s="335" t="n">
        <f aca="false">IF(L22="","",LN(2)/L22)</f>
        <v>51.8822739940079</v>
      </c>
      <c r="P22" s="335" t="n">
        <f aca="false">IF(O22="","",(LN(10)/LN(2))*O22)</f>
        <v>172.349183607339</v>
      </c>
      <c r="Q22" s="322" t="n">
        <v>0.2849</v>
      </c>
      <c r="R22" s="336" t="n">
        <v>2.061</v>
      </c>
      <c r="S22" s="336" t="n">
        <v>0.7897</v>
      </c>
      <c r="T22" s="335" t="n">
        <f aca="false">IF(Q22="","",LN(2)/Q22)</f>
        <v>2.43294903671444</v>
      </c>
      <c r="U22" s="335" t="n">
        <f aca="false">IF(T22="","",(LN(10)/LN(2))*T22)</f>
        <v>8.08208175849086</v>
      </c>
      <c r="V22" s="336" t="n">
        <v>0.04008</v>
      </c>
      <c r="W22" s="336" t="n">
        <v>0.08047</v>
      </c>
      <c r="X22" s="336" t="n">
        <v>1.03</v>
      </c>
      <c r="Y22" s="335" t="n">
        <f aca="false">IF(V22="","",LN(2)/V22)</f>
        <v>17.294091331336</v>
      </c>
      <c r="Z22" s="335" t="n">
        <f aca="false">IF(Y22="","",(LN(10)/LN(2))*Y22)</f>
        <v>57.4497278691129</v>
      </c>
      <c r="AA22" s="336" t="n">
        <v>0.006921</v>
      </c>
      <c r="AB22" s="336" t="n">
        <v>0.0001976</v>
      </c>
      <c r="AC22" s="336" t="n">
        <v>3.309</v>
      </c>
      <c r="AD22" s="335" t="n">
        <f aca="false">IF(AA22="","",LN(2)/AA22)</f>
        <v>100.151304805656</v>
      </c>
      <c r="AE22" s="335" t="n">
        <f aca="false">IF(AD22="","",(LN(10)/LN(2))*AD22)</f>
        <v>332.695433173536</v>
      </c>
      <c r="AF22" s="328" t="n">
        <f aca="false">1.222-0.05664*A22+0.001227*A22^2-0.000003136*A22^3</f>
        <v>5.664284</v>
      </c>
    </row>
    <row r="23" customFormat="false" ht="13.2" hidden="false" customHeight="false" outlineLevel="0" collapsed="false">
      <c r="A23" s="334" t="n">
        <v>115</v>
      </c>
      <c r="B23" s="336" t="n">
        <v>2.265</v>
      </c>
      <c r="C23" s="336" t="n">
        <v>10.21</v>
      </c>
      <c r="D23" s="336" t="n">
        <v>0.6363</v>
      </c>
      <c r="E23" s="335" t="n">
        <f aca="false">IF(B23="","",LN(2)/B23)</f>
        <v>0.306025245280329</v>
      </c>
      <c r="F23" s="335" t="n">
        <f aca="false">IF(E23="","",(LN(10)/LN(2))*E23)</f>
        <v>1.01659386004152</v>
      </c>
      <c r="G23" s="336" t="n">
        <v>0.03636</v>
      </c>
      <c r="H23" s="336" t="n">
        <v>0.07201</v>
      </c>
      <c r="I23" s="336" t="n">
        <v>0.5319</v>
      </c>
      <c r="J23" s="335" t="n">
        <f aca="false">IF(G23="","",LN(2)/G23)</f>
        <v>19.0634538107796</v>
      </c>
      <c r="K23" s="335" t="n">
        <f aca="false">IF(J23="","",(LN(10)/LN(2))*J23)</f>
        <v>63.3274227996162</v>
      </c>
      <c r="L23" s="336" t="n">
        <v>0.01283</v>
      </c>
      <c r="M23" s="336" t="n">
        <v>0.06271</v>
      </c>
      <c r="N23" s="336" t="n">
        <v>0.9423</v>
      </c>
      <c r="O23" s="335" t="n">
        <f aca="false">IF(L23="","",LN(2)/L23)</f>
        <v>54.0255012127783</v>
      </c>
      <c r="P23" s="335" t="n">
        <f aca="false">IF(O23="","",(LN(10)/LN(2))*O23)</f>
        <v>179.468830319099</v>
      </c>
      <c r="Q23" s="322" t="n">
        <v>0.2579</v>
      </c>
      <c r="R23" s="336" t="n">
        <v>1.922</v>
      </c>
      <c r="S23" s="336" t="n">
        <v>0.8008</v>
      </c>
      <c r="T23" s="335" t="n">
        <f aca="false">IF(Q23="","",LN(2)/Q23)</f>
        <v>2.68765870709556</v>
      </c>
      <c r="U23" s="335" t="n">
        <f aca="false">IF(T23="","",(LN(10)/LN(2))*T23)</f>
        <v>8.92820896856939</v>
      </c>
      <c r="V23" s="336" t="n">
        <v>0.03878</v>
      </c>
      <c r="W23" s="336" t="n">
        <v>0.07394</v>
      </c>
      <c r="X23" s="336" t="n">
        <v>1.033</v>
      </c>
      <c r="Y23" s="335" t="n">
        <f aca="false">IF(V23="","",LN(2)/V23)</f>
        <v>17.8738313708083</v>
      </c>
      <c r="Z23" s="335" t="n">
        <f aca="false">IF(Y23="","",(LN(10)/LN(2))*Y23)</f>
        <v>59.3755825939671</v>
      </c>
      <c r="AA23" s="336" t="n">
        <v>0.006864</v>
      </c>
      <c r="AB23" s="336" t="n">
        <v>-0.0003908</v>
      </c>
      <c r="AC23" s="336" t="n">
        <v>0.6469</v>
      </c>
      <c r="AD23" s="335" t="n">
        <f aca="false">IF(AA23="","",LN(2)/AA23)</f>
        <v>100.982980850808</v>
      </c>
      <c r="AE23" s="335" t="n">
        <f aca="false">IF(AD23="","",(LN(10)/LN(2))*AD23)</f>
        <v>335.458201193771</v>
      </c>
      <c r="AF23" s="328" t="n">
        <f aca="false">1.222-0.05664*A23+0.001227*A23^2-0.000003136*A23^3</f>
        <v>6.166011</v>
      </c>
    </row>
    <row r="24" customFormat="false" ht="13.2" hidden="false" customHeight="false" outlineLevel="0" collapsed="false">
      <c r="A24" s="334" t="n">
        <v>120</v>
      </c>
      <c r="B24" s="336" t="n">
        <v>2.246</v>
      </c>
      <c r="C24" s="336" t="n">
        <v>8.95</v>
      </c>
      <c r="D24" s="336" t="n">
        <v>0.5873</v>
      </c>
      <c r="E24" s="335" t="n">
        <f aca="false">IF(B24="","",LN(2)/B24)</f>
        <v>0.3086140608014</v>
      </c>
      <c r="F24" s="335" t="n">
        <f aca="false">IF(E24="","",(LN(10)/LN(2))*E24)</f>
        <v>1.02519371905345</v>
      </c>
      <c r="G24" s="336" t="n">
        <v>0.03566</v>
      </c>
      <c r="H24" s="336" t="n">
        <v>0.07109</v>
      </c>
      <c r="I24" s="336" t="n">
        <v>0.6073</v>
      </c>
      <c r="J24" s="335" t="n">
        <f aca="false">IF(G24="","",LN(2)/G24)</f>
        <v>19.4376663084673</v>
      </c>
      <c r="K24" s="335" t="n">
        <f aca="false">IF(J24="","",(LN(10)/LN(2))*J24)</f>
        <v>64.5705298091432</v>
      </c>
      <c r="L24" s="336" t="n">
        <v>0.01235</v>
      </c>
      <c r="M24" s="336" t="n">
        <v>0.03047</v>
      </c>
      <c r="N24" s="336" t="n">
        <v>0.9566</v>
      </c>
      <c r="O24" s="335" t="n">
        <f aca="false">IF(L24="","",LN(2)/L24)</f>
        <v>56.1252777781332</v>
      </c>
      <c r="P24" s="335" t="n">
        <f aca="false">IF(O24="","",(LN(10)/LN(2))*O24)</f>
        <v>186.444137084538</v>
      </c>
      <c r="Q24" s="322" t="n">
        <v>0.2336</v>
      </c>
      <c r="R24" s="336" t="n">
        <v>1.797</v>
      </c>
      <c r="S24" s="336" t="n">
        <v>0.8116</v>
      </c>
      <c r="T24" s="335" t="n">
        <f aca="false">IF(Q24="","",LN(2)/Q24)</f>
        <v>2.96723964280798</v>
      </c>
      <c r="U24" s="335" t="n">
        <f aca="false">IF(T24="","",(LN(10)/LN(2))*T24)</f>
        <v>9.85695673370739</v>
      </c>
      <c r="V24" s="336" t="n">
        <v>0.03758</v>
      </c>
      <c r="W24" s="336" t="n">
        <v>0.06808</v>
      </c>
      <c r="X24" s="336" t="n">
        <v>1.031</v>
      </c>
      <c r="Y24" s="335" t="n">
        <f aca="false">IF(V24="","",LN(2)/V24)</f>
        <v>18.4445763853099</v>
      </c>
      <c r="Z24" s="335" t="n">
        <f aca="false">IF(Y24="","",(LN(10)/LN(2))*Y24)</f>
        <v>61.2715564926569</v>
      </c>
      <c r="AA24" s="336" t="n">
        <v>0.006726</v>
      </c>
      <c r="AB24" s="336" t="n">
        <v>-0.0008308</v>
      </c>
      <c r="AC24" s="336" t="n">
        <v>1.006</v>
      </c>
      <c r="AD24" s="335" t="n">
        <f aca="false">IF(AA24="","",LN(2)/AA24)</f>
        <v>103.054888575668</v>
      </c>
      <c r="AE24" s="335" t="n">
        <f aca="false">IF(AD24="","",(LN(10)/LN(2))*AD24)</f>
        <v>342.340929674999</v>
      </c>
      <c r="AF24" s="328" t="n">
        <f aca="false">1.222-0.05664*A24+0.001227*A24^2-0.000003136*A24^3</f>
        <v>6.674992</v>
      </c>
    </row>
    <row r="25" customFormat="false" ht="13.2" hidden="false" customHeight="false" outlineLevel="0" collapsed="false">
      <c r="A25" s="334" t="n">
        <v>125</v>
      </c>
      <c r="B25" s="336" t="n">
        <v>2.219</v>
      </c>
      <c r="C25" s="336" t="n">
        <v>7.923</v>
      </c>
      <c r="D25" s="336" t="n">
        <v>0.5386</v>
      </c>
      <c r="E25" s="335" t="n">
        <f aca="false">IF(B25="","",LN(2)/B25)</f>
        <v>0.312369166543463</v>
      </c>
      <c r="F25" s="335" t="n">
        <f aca="false">IF(E25="","",(LN(10)/LN(2))*E25)</f>
        <v>1.03766791031728</v>
      </c>
      <c r="G25" s="336" t="n">
        <v>0.03502</v>
      </c>
      <c r="H25" s="336" t="n">
        <v>0.07113</v>
      </c>
      <c r="I25" s="336" t="n">
        <v>0.6974</v>
      </c>
      <c r="J25" s="335" t="n">
        <f aca="false">IF(G25="","",LN(2)/G25)</f>
        <v>19.7928949331795</v>
      </c>
      <c r="K25" s="335" t="n">
        <f aca="false">IF(J25="","",(LN(10)/LN(2))*J25)</f>
        <v>65.7505737576826</v>
      </c>
      <c r="L25" s="336" t="n">
        <v>0.01192</v>
      </c>
      <c r="M25" s="336" t="n">
        <v>0.02863</v>
      </c>
      <c r="N25" s="336" t="n">
        <v>0.9684</v>
      </c>
      <c r="O25" s="335" t="n">
        <f aca="false">IF(L25="","",LN(2)/L25)</f>
        <v>58.149931255029</v>
      </c>
      <c r="P25" s="335" t="n">
        <f aca="false">IF(O25="","",(LN(10)/LN(2))*O25)</f>
        <v>193.169890351849</v>
      </c>
      <c r="Q25" s="322" t="n">
        <v>0.213</v>
      </c>
      <c r="R25" s="336" t="n">
        <v>1.677</v>
      </c>
      <c r="S25" s="336" t="n">
        <v>0.8217</v>
      </c>
      <c r="T25" s="335" t="n">
        <f aca="false">IF(Q25="","",LN(2)/Q25)</f>
        <v>3.25421211530491</v>
      </c>
      <c r="U25" s="335" t="n">
        <f aca="false">IF(T25="","",(LN(10)/LN(2))*T25)</f>
        <v>10.8102586525542</v>
      </c>
      <c r="V25" s="336" t="n">
        <v>0.03652</v>
      </c>
      <c r="W25" s="336" t="n">
        <v>0.06304</v>
      </c>
      <c r="X25" s="336" t="n">
        <v>1.031</v>
      </c>
      <c r="Y25" s="335" t="n">
        <f aca="false">IF(V25="","",LN(2)/V25)</f>
        <v>18.9799337502723</v>
      </c>
      <c r="Z25" s="335" t="n">
        <f aca="false">IF(Y25="","",(LN(10)/LN(2))*Y25)</f>
        <v>63.0499751641305</v>
      </c>
      <c r="AA25" s="336" t="n">
        <v>0.006584</v>
      </c>
      <c r="AB25" s="336" t="n">
        <v>-0.001214</v>
      </c>
      <c r="AC25" s="336" t="n">
        <v>1.192</v>
      </c>
      <c r="AD25" s="335" t="n">
        <f aca="false">IF(AA25="","",LN(2)/AA25)</f>
        <v>105.277518311049</v>
      </c>
      <c r="AE25" s="335" t="n">
        <f aca="false">IF(AD25="","",(LN(10)/LN(2))*AD25)</f>
        <v>349.724345837492</v>
      </c>
      <c r="AF25" s="328" t="n">
        <f aca="false">1.222-0.05664*A25+0.001227*A25^2-0.000003136*A25^3</f>
        <v>7.188875</v>
      </c>
    </row>
    <row r="26" customFormat="false" ht="13.2" hidden="false" customHeight="false" outlineLevel="0" collapsed="false">
      <c r="A26" s="334" t="n">
        <v>130</v>
      </c>
      <c r="B26" s="336" t="n">
        <v>2.17</v>
      </c>
      <c r="C26" s="336" t="n">
        <v>7.094</v>
      </c>
      <c r="D26" s="336" t="n">
        <v>0.4909</v>
      </c>
      <c r="E26" s="335" t="n">
        <f aca="false">IF(B26="","",LN(2)/B26)</f>
        <v>0.319422663852509</v>
      </c>
      <c r="F26" s="335" t="n">
        <f aca="false">IF(E26="","",(LN(10)/LN(2))*E26)</f>
        <v>1.06109912119541</v>
      </c>
      <c r="G26" s="336" t="n">
        <v>0.03445</v>
      </c>
      <c r="H26" s="336" t="n">
        <v>0.0716</v>
      </c>
      <c r="I26" s="336" t="n">
        <v>0.7969</v>
      </c>
      <c r="J26" s="335" t="n">
        <f aca="false">IF(G26="","",LN(2)/G26)</f>
        <v>20.1203825997081</v>
      </c>
      <c r="K26" s="335" t="n">
        <f aca="false">IF(J26="","",(LN(10)/LN(2))*J26)</f>
        <v>66.8384642378533</v>
      </c>
      <c r="L26" s="336" t="n">
        <v>0.01155</v>
      </c>
      <c r="M26" s="336" t="n">
        <v>0.02702</v>
      </c>
      <c r="N26" s="336" t="n">
        <v>0.9802</v>
      </c>
      <c r="O26" s="335" t="n">
        <f aca="false">IF(L26="","",LN(2)/L26)</f>
        <v>60.012742905623</v>
      </c>
      <c r="P26" s="335" t="n">
        <f aca="false">IF(O26="","",(LN(10)/LN(2))*O26)</f>
        <v>199.358016709441</v>
      </c>
      <c r="Q26" s="322" t="n">
        <v>0.1969</v>
      </c>
      <c r="R26" s="336" t="n">
        <v>1.557</v>
      </c>
      <c r="S26" s="336" t="n">
        <v>0.8309</v>
      </c>
      <c r="T26" s="335" t="n">
        <f aca="false">IF(Q26="","",LN(2)/Q26)</f>
        <v>3.52030056150302</v>
      </c>
      <c r="U26" s="335" t="n">
        <f aca="false">IF(T26="","",(LN(10)/LN(2))*T26)</f>
        <v>11.6941853377047</v>
      </c>
      <c r="V26" s="336" t="n">
        <v>0.03561</v>
      </c>
      <c r="W26" s="336" t="n">
        <v>0.05874</v>
      </c>
      <c r="X26" s="336" t="n">
        <v>1.037</v>
      </c>
      <c r="Y26" s="335" t="n">
        <f aca="false">IF(V26="","",LN(2)/V26)</f>
        <v>19.4649587351852</v>
      </c>
      <c r="Z26" s="335" t="n">
        <f aca="false">IF(Y26="","",(LN(10)/LN(2))*Y26)</f>
        <v>64.6611932882349</v>
      </c>
      <c r="AA26" s="336" t="n">
        <v>0.006472</v>
      </c>
      <c r="AB26" s="336" t="n">
        <v>-0.001539</v>
      </c>
      <c r="AC26" s="336" t="n">
        <v>1.285</v>
      </c>
      <c r="AD26" s="335" t="n">
        <f aca="false">IF(AA26="","",LN(2)/AA26)</f>
        <v>107.099378949312</v>
      </c>
      <c r="AE26" s="335" t="n">
        <f aca="false">IF(AD26="","",(LN(10)/LN(2))*AD26)</f>
        <v>355.776435876707</v>
      </c>
      <c r="AF26" s="328" t="n">
        <f aca="false">1.222-0.05664*A26+0.001227*A26^2-0.000003136*A26^3</f>
        <v>7.705308</v>
      </c>
    </row>
    <row r="27" customFormat="false" ht="13.2" hidden="false" customHeight="false" outlineLevel="0" collapsed="false">
      <c r="A27" s="334" t="n">
        <v>135</v>
      </c>
      <c r="B27" s="336" t="n">
        <v>2.102</v>
      </c>
      <c r="C27" s="336" t="n">
        <v>6.45</v>
      </c>
      <c r="D27" s="336" t="n">
        <v>0.4469</v>
      </c>
      <c r="E27" s="335" t="n">
        <f aca="false">IF(B27="","",LN(2)/B27)</f>
        <v>0.32975603261653</v>
      </c>
      <c r="F27" s="335" t="n">
        <f aca="false">IF(E27="","",(LN(10)/LN(2))*E27)</f>
        <v>1.09542582920744</v>
      </c>
      <c r="G27" s="336" t="n">
        <v>0.03394</v>
      </c>
      <c r="H27" s="336" t="n">
        <v>0.07263</v>
      </c>
      <c r="I27" s="336" t="n">
        <v>0.9099</v>
      </c>
      <c r="J27" s="335" t="n">
        <f aca="false">IF(G27="","",LN(2)/G27)</f>
        <v>20.4227218786077</v>
      </c>
      <c r="K27" s="335" t="n">
        <f aca="false">IF(J27="","",(LN(10)/LN(2))*J27)</f>
        <v>67.8428135826177</v>
      </c>
      <c r="L27" s="336" t="n">
        <v>0.01122</v>
      </c>
      <c r="M27" s="336" t="n">
        <v>0.02561</v>
      </c>
      <c r="N27" s="336" t="n">
        <v>0.9901</v>
      </c>
      <c r="O27" s="335" t="n">
        <f aca="false">IF(L27="","",LN(2)/L27)</f>
        <v>61.7778235793178</v>
      </c>
      <c r="P27" s="335" t="n">
        <f aca="false">IF(O27="","",(LN(10)/LN(2))*O27)</f>
        <v>205.221487789131</v>
      </c>
      <c r="Q27" s="322" t="n">
        <v>0.1838</v>
      </c>
      <c r="R27" s="336" t="n">
        <v>1.44</v>
      </c>
      <c r="S27" s="336" t="n">
        <v>0.8391</v>
      </c>
      <c r="T27" s="335" t="n">
        <f aca="false">IF(Q27="","",LN(2)/Q27)</f>
        <v>3.77120337627827</v>
      </c>
      <c r="U27" s="335" t="n">
        <f aca="false">IF(T27="","",(LN(10)/LN(2))*T27)</f>
        <v>12.5276664471929</v>
      </c>
      <c r="V27" s="336" t="n">
        <v>0.03481</v>
      </c>
      <c r="W27" s="336" t="n">
        <v>0.05519</v>
      </c>
      <c r="X27" s="336" t="n">
        <v>1.049</v>
      </c>
      <c r="Y27" s="335" t="n">
        <f aca="false">IF(V27="","",LN(2)/V27)</f>
        <v>19.9123005044512</v>
      </c>
      <c r="Z27" s="335" t="n">
        <f aca="false">IF(Y27="","",(LN(10)/LN(2))*Y27)</f>
        <v>66.1472304795762</v>
      </c>
      <c r="AA27" s="336" t="n">
        <v>0.006306</v>
      </c>
      <c r="AB27" s="336" t="n">
        <v>-0.001731</v>
      </c>
      <c r="AC27" s="336" t="n">
        <v>1.465</v>
      </c>
      <c r="AD27" s="335" t="n">
        <f aca="false">IF(AA27="","",LN(2)/AA27)</f>
        <v>109.918677538843</v>
      </c>
      <c r="AE27" s="335" t="n">
        <f aca="false">IF(AD27="","",(LN(10)/LN(2))*AD27)</f>
        <v>365.141943069148</v>
      </c>
      <c r="AF27" s="328" t="n">
        <f aca="false">1.222-0.05664*A27+0.001227*A27^2-0.000003136*A27^3</f>
        <v>8.221939</v>
      </c>
    </row>
    <row r="28" customFormat="false" ht="13.2" hidden="false" customHeight="false" outlineLevel="0" collapsed="false">
      <c r="A28" s="334" t="n">
        <v>140</v>
      </c>
      <c r="B28" s="336" t="n">
        <v>2.009</v>
      </c>
      <c r="C28" s="336" t="n">
        <v>5.916</v>
      </c>
      <c r="D28" s="336" t="n">
        <v>0.4018</v>
      </c>
      <c r="E28" s="335" t="n">
        <f aca="false">IF(B28="","",LN(2)/B28)</f>
        <v>0.345020995798878</v>
      </c>
      <c r="F28" s="335" t="n">
        <f aca="false">IF(E28="","",(LN(10)/LN(2))*E28)</f>
        <v>1.14613493927031</v>
      </c>
      <c r="G28" s="336" t="n">
        <v>0.03345</v>
      </c>
      <c r="H28" s="336" t="n">
        <v>0.07476</v>
      </c>
      <c r="I28" s="336" t="n">
        <v>1.047</v>
      </c>
      <c r="J28" s="335" t="n">
        <f aca="false">IF(G28="","",LN(2)/G28)</f>
        <v>20.7218888059774</v>
      </c>
      <c r="K28" s="335" t="n">
        <f aca="false">IF(J28="","",(LN(10)/LN(2))*J28)</f>
        <v>68.8366246037084</v>
      </c>
      <c r="L28" s="336" t="n">
        <v>0.01088</v>
      </c>
      <c r="M28" s="336" t="n">
        <v>0.02436</v>
      </c>
      <c r="N28" s="336" t="n">
        <v>0.9964</v>
      </c>
      <c r="O28" s="335" t="n">
        <f aca="false">IF(L28="","",LN(2)/L28)</f>
        <v>63.7083805661714</v>
      </c>
      <c r="P28" s="335" t="n">
        <f aca="false">IF(O28="","",(LN(10)/LN(2))*O28)</f>
        <v>211.634659282541</v>
      </c>
      <c r="Q28" s="322" t="n">
        <v>0.1724</v>
      </c>
      <c r="R28" s="336" t="n">
        <v>1.328</v>
      </c>
      <c r="S28" s="336" t="n">
        <v>0.8458</v>
      </c>
      <c r="T28" s="335" t="n">
        <f aca="false">IF(Q28="","",LN(2)/Q28)</f>
        <v>4.02057529327114</v>
      </c>
      <c r="U28" s="335" t="n">
        <f aca="false">IF(T28="","",(LN(10)/LN(2))*T28)</f>
        <v>13.3560620243274</v>
      </c>
      <c r="V28" s="336" t="n">
        <v>0.03407</v>
      </c>
      <c r="W28" s="336" t="n">
        <v>0.05145</v>
      </c>
      <c r="X28" s="336" t="n">
        <v>1.057</v>
      </c>
      <c r="Y28" s="335" t="n">
        <f aca="false">IF(V28="","",LN(2)/V28)</f>
        <v>20.3447954376268</v>
      </c>
      <c r="Z28" s="335" t="n">
        <f aca="false">IF(Y28="","",(LN(10)/LN(2))*Y28)</f>
        <v>67.5839475489887</v>
      </c>
      <c r="AA28" s="336" t="n">
        <v>0.006191</v>
      </c>
      <c r="AB28" s="336" t="n">
        <v>-0.001849</v>
      </c>
      <c r="AC28" s="336" t="n">
        <v>1.53</v>
      </c>
      <c r="AD28" s="335" t="n">
        <f aca="false">IF(AA28="","",LN(2)/AA28)</f>
        <v>111.960455590364</v>
      </c>
      <c r="AE28" s="335" t="n">
        <f aca="false">IF(AD28="","",(LN(10)/LN(2))*AD28)</f>
        <v>371.92458294202</v>
      </c>
      <c r="AF28" s="328" t="n">
        <f aca="false">1.222-0.05664*A28+0.001227*A28^2-0.000003136*A28^3</f>
        <v>8.736416</v>
      </c>
    </row>
    <row r="29" customFormat="false" ht="13.2" hidden="false" customHeight="false" outlineLevel="0" collapsed="false">
      <c r="A29" s="334" t="n">
        <v>145</v>
      </c>
      <c r="B29" s="336" t="n">
        <v>1.895</v>
      </c>
      <c r="C29" s="336" t="n">
        <v>5.498</v>
      </c>
      <c r="D29" s="336" t="n">
        <v>0.358</v>
      </c>
      <c r="E29" s="335" t="n">
        <f aca="false">IF(B29="","",LN(2)/B29)</f>
        <v>0.365776876284932</v>
      </c>
      <c r="F29" s="335" t="n">
        <f aca="false">IF(E29="","",(LN(10)/LN(2))*E29)</f>
        <v>1.21508448179105</v>
      </c>
      <c r="G29" s="336" t="n">
        <v>0.03296</v>
      </c>
      <c r="H29" s="336" t="n">
        <v>0.07875</v>
      </c>
      <c r="I29" s="336" t="n">
        <v>1.224</v>
      </c>
      <c r="J29" s="335" t="n">
        <f aca="false">IF(G29="","",LN(2)/G29)</f>
        <v>21.0299508665032</v>
      </c>
      <c r="K29" s="335" t="n">
        <f aca="false">IF(J29="","",(LN(10)/LN(2))*J29)</f>
        <v>69.8599846175378</v>
      </c>
      <c r="L29" s="336" t="n">
        <v>0.01056</v>
      </c>
      <c r="M29" s="336" t="n">
        <v>0.02313</v>
      </c>
      <c r="N29" s="336" t="n">
        <v>0.9987</v>
      </c>
      <c r="O29" s="335" t="n">
        <f aca="false">IF(L29="","",LN(2)/L29)</f>
        <v>65.6389375530251</v>
      </c>
      <c r="P29" s="335" t="n">
        <f aca="false">IF(O29="","",(LN(10)/LN(2))*O29)</f>
        <v>218.047830775951</v>
      </c>
      <c r="Q29" s="322" t="n">
        <v>0.1616</v>
      </c>
      <c r="R29" s="336" t="n">
        <v>1.225</v>
      </c>
      <c r="S29" s="336" t="n">
        <v>0.8519</v>
      </c>
      <c r="T29" s="335" t="n">
        <f aca="false">IF(Q29="","",LN(2)/Q29)</f>
        <v>4.2892771074254</v>
      </c>
      <c r="U29" s="335" t="n">
        <f aca="false">IF(T29="","",(LN(10)/LN(2))*T29)</f>
        <v>14.2486701299137</v>
      </c>
      <c r="V29" s="336" t="n">
        <v>0.03336</v>
      </c>
      <c r="W29" s="336" t="n">
        <v>0.04795</v>
      </c>
      <c r="X29" s="336" t="n">
        <v>1.063</v>
      </c>
      <c r="Y29" s="335" t="n">
        <f aca="false">IF(V29="","",LN(2)/V29)</f>
        <v>20.7777931822526</v>
      </c>
      <c r="Z29" s="335" t="n">
        <f aca="false">IF(Y29="","",(LN(10)/LN(2))*Y29)</f>
        <v>69.0223349218839</v>
      </c>
      <c r="AA29" s="336" t="n">
        <v>0.006115</v>
      </c>
      <c r="AB29" s="336" t="n">
        <v>-0.001869</v>
      </c>
      <c r="AC29" s="336" t="n">
        <v>1.498</v>
      </c>
      <c r="AD29" s="335" t="n">
        <f aca="false">IF(AA29="","",LN(2)/AA29)</f>
        <v>113.35195103188</v>
      </c>
      <c r="AE29" s="335" t="n">
        <f aca="false">IF(AD29="","",(LN(10)/LN(2))*AD29)</f>
        <v>376.547030743098</v>
      </c>
      <c r="AF29" s="328" t="n">
        <f aca="false">1.222-0.05664*A29+0.001227*A29^2-0.000003136*A29^3</f>
        <v>9.246387</v>
      </c>
    </row>
    <row r="30" customFormat="false" ht="13.2" hidden="false" customHeight="false" outlineLevel="0" collapsed="false">
      <c r="A30" s="334" t="n">
        <v>150</v>
      </c>
      <c r="B30" s="336" t="n">
        <v>1.757</v>
      </c>
      <c r="C30" s="336" t="n">
        <v>5.177</v>
      </c>
      <c r="D30" s="336" t="n">
        <v>0.3156</v>
      </c>
      <c r="E30" s="335" t="n">
        <f aca="false">IF(B30="","",LN(2)/B30)</f>
        <v>0.394506078861665</v>
      </c>
      <c r="F30" s="335" t="n">
        <f aca="false">IF(E30="","",(LN(10)/LN(2))*E30)</f>
        <v>1.31052082697441</v>
      </c>
      <c r="G30" s="336" t="n">
        <v>0.03243</v>
      </c>
      <c r="H30" s="336" t="n">
        <v>0.08599</v>
      </c>
      <c r="I30" s="336" t="n">
        <v>1.467</v>
      </c>
      <c r="J30" s="335" t="n">
        <f aca="false">IF(G30="","",LN(2)/G30)</f>
        <v>21.3736410903468</v>
      </c>
      <c r="K30" s="335" t="n">
        <f aca="false">IF(J30="","",(LN(10)/LN(2))*J30)</f>
        <v>71.0016988280619</v>
      </c>
      <c r="L30" s="336" t="n">
        <v>0.0103</v>
      </c>
      <c r="M30" s="336" t="n">
        <v>0.02198</v>
      </c>
      <c r="N30" s="336" t="n">
        <v>1.013</v>
      </c>
      <c r="O30" s="335" t="n">
        <f aca="false">IF(L30="","",LN(2)/L30)</f>
        <v>67.2958427728102</v>
      </c>
      <c r="P30" s="335" t="n">
        <f aca="false">IF(O30="","",(LN(10)/LN(2))*O30)</f>
        <v>223.551950776121</v>
      </c>
      <c r="Q30" s="322" t="n">
        <v>0.1501</v>
      </c>
      <c r="R30" s="336" t="n">
        <v>1.132</v>
      </c>
      <c r="S30" s="336" t="n">
        <v>0.8566</v>
      </c>
      <c r="T30" s="335" t="n">
        <f aca="false">IF(Q30="","",LN(2)/Q30)</f>
        <v>4.6179026019983</v>
      </c>
      <c r="U30" s="335" t="n">
        <f aca="false">IF(T30="","",(LN(10)/LN(2))*T30)</f>
        <v>15.3403403930316</v>
      </c>
      <c r="V30" s="336" t="n">
        <v>0.03266</v>
      </c>
      <c r="W30" s="336" t="n">
        <v>0.04491</v>
      </c>
      <c r="X30" s="336" t="n">
        <v>1.073</v>
      </c>
      <c r="Y30" s="335" t="n">
        <f aca="false">IF(V30="","",LN(2)/V30)</f>
        <v>21.223122491119</v>
      </c>
      <c r="Z30" s="335" t="n">
        <f aca="false">IF(Y30="","",(LN(10)/LN(2))*Y30)</f>
        <v>70.5016868644839</v>
      </c>
      <c r="AA30" s="336" t="n">
        <v>0.00602</v>
      </c>
      <c r="AB30" s="336" t="n">
        <v>-0.001752</v>
      </c>
      <c r="AC30" s="336" t="n">
        <v>1.483</v>
      </c>
      <c r="AD30" s="335" t="n">
        <f aca="false">IF(AA30="","",LN(2)/AA30)</f>
        <v>115.140727667765</v>
      </c>
      <c r="AE30" s="335" t="n">
        <f aca="false">IF(AD30="","",(LN(10)/LN(2))*AD30)</f>
        <v>382.489218105323</v>
      </c>
      <c r="AF30" s="328" t="n">
        <f aca="false">1.222-0.05664*A30+0.001227*A30^2-0.000003136*A30^3</f>
        <v>9.7495</v>
      </c>
    </row>
    <row r="31" customFormat="false" ht="13.8" hidden="false" customHeight="false" outlineLevel="0" collapsed="false">
      <c r="A31" s="337"/>
      <c r="B31" s="338"/>
      <c r="C31" s="338"/>
      <c r="D31" s="338"/>
      <c r="E31" s="338"/>
      <c r="F31" s="339"/>
      <c r="G31" s="338"/>
      <c r="H31" s="338"/>
      <c r="I31" s="338"/>
      <c r="J31" s="338"/>
      <c r="K31" s="339"/>
      <c r="L31" s="338"/>
      <c r="M31" s="338"/>
      <c r="N31" s="338"/>
      <c r="O31" s="338"/>
      <c r="P31" s="339"/>
      <c r="Q31" s="340"/>
      <c r="R31" s="338"/>
      <c r="S31" s="338"/>
      <c r="T31" s="338"/>
      <c r="U31" s="339"/>
      <c r="V31" s="338"/>
      <c r="W31" s="338"/>
      <c r="X31" s="338"/>
      <c r="Y31" s="338"/>
      <c r="Z31" s="339"/>
      <c r="AA31" s="338"/>
      <c r="AB31" s="338"/>
      <c r="AC31" s="338"/>
      <c r="AD31" s="338"/>
      <c r="AE31" s="339"/>
      <c r="AF31" s="341"/>
    </row>
    <row r="32" customFormat="false" ht="13.8" hidden="false" customHeight="false" outlineLevel="0" collapsed="false"/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65.43"/>
    <col collapsed="false" customWidth="true" hidden="false" outlineLevel="0" max="2" min="2" style="0" width="15.1"/>
  </cols>
  <sheetData>
    <row r="1" customFormat="false" ht="13.2" hidden="false" customHeight="false" outlineLevel="0" collapsed="false">
      <c r="A1" s="342" t="s">
        <v>333</v>
      </c>
    </row>
    <row r="3" customFormat="false" ht="13.2" hidden="false" customHeight="false" outlineLevel="0" collapsed="false">
      <c r="A3" s="0" t="s">
        <v>232</v>
      </c>
      <c r="B3" s="0" t="s">
        <v>334</v>
      </c>
    </row>
    <row r="4" customFormat="false" ht="52.8" hidden="false" customHeight="false" outlineLevel="0" collapsed="false">
      <c r="A4" s="343" t="s">
        <v>335</v>
      </c>
      <c r="B4" s="0" t="n">
        <v>1</v>
      </c>
    </row>
    <row r="5" customFormat="false" ht="13.2" hidden="false" customHeight="false" outlineLevel="0" collapsed="false">
      <c r="A5" s="343" t="s">
        <v>336</v>
      </c>
      <c r="B5" s="0" t="n">
        <v>0.5</v>
      </c>
    </row>
    <row r="6" customFormat="false" ht="13.2" hidden="false" customHeight="false" outlineLevel="0" collapsed="false">
      <c r="A6" s="343" t="s">
        <v>337</v>
      </c>
      <c r="B6" s="0" t="n">
        <v>0.2</v>
      </c>
    </row>
    <row r="7" customFormat="false" ht="13.2" hidden="false" customHeight="false" outlineLevel="0" collapsed="false">
      <c r="A7" s="343" t="s">
        <v>338</v>
      </c>
      <c r="B7" s="0" t="n">
        <v>0.125</v>
      </c>
    </row>
    <row r="8" customFormat="false" ht="26.4" hidden="false" customHeight="false" outlineLevel="0" collapsed="false">
      <c r="A8" s="343" t="s">
        <v>339</v>
      </c>
      <c r="B8" s="0" t="n">
        <v>0.05</v>
      </c>
    </row>
    <row r="9" customFormat="false" ht="39.6" hidden="false" customHeight="false" outlineLevel="0" collapsed="false">
      <c r="A9" s="343" t="s">
        <v>340</v>
      </c>
      <c r="B9" s="0" t="n">
        <v>0.025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3.2" zeroHeight="false" outlineLevelRow="0" outlineLevelCol="0"/>
  <cols>
    <col collapsed="false" customWidth="true" hidden="false" outlineLevel="0" max="1" min="1" style="0" width="13.44"/>
  </cols>
  <sheetData>
    <row r="1" customFormat="false" ht="13.2" hidden="false" customHeight="false" outlineLevel="0" collapsed="false">
      <c r="A1" s="342" t="s">
        <v>341</v>
      </c>
    </row>
    <row r="3" customFormat="false" ht="13.2" hidden="false" customHeight="false" outlineLevel="0" collapsed="false">
      <c r="B3" s="29" t="s">
        <v>342</v>
      </c>
      <c r="C3" s="29"/>
      <c r="D3" s="29"/>
      <c r="E3" s="29" t="s">
        <v>343</v>
      </c>
      <c r="F3" s="29"/>
      <c r="G3" s="29"/>
    </row>
    <row r="4" customFormat="false" ht="45" hidden="false" customHeight="true" outlineLevel="0" collapsed="false">
      <c r="A4" s="344" t="s">
        <v>38</v>
      </c>
      <c r="B4" s="344" t="s">
        <v>344</v>
      </c>
      <c r="C4" s="344" t="s">
        <v>345</v>
      </c>
      <c r="D4" s="344" t="s">
        <v>346</v>
      </c>
      <c r="E4" s="344" t="s">
        <v>347</v>
      </c>
      <c r="F4" s="344" t="s">
        <v>348</v>
      </c>
      <c r="G4" s="344" t="s">
        <v>349</v>
      </c>
      <c r="H4" s="344" t="s">
        <v>350</v>
      </c>
      <c r="I4" s="344" t="s">
        <v>351</v>
      </c>
      <c r="J4" s="344" t="s">
        <v>352</v>
      </c>
    </row>
    <row r="5" customFormat="false" ht="13.2" hidden="false" customHeight="false" outlineLevel="0" collapsed="false">
      <c r="A5" s="0" t="n">
        <v>25</v>
      </c>
      <c r="B5" s="345" t="n">
        <v>0</v>
      </c>
      <c r="C5" s="345" t="n">
        <v>0</v>
      </c>
      <c r="D5" s="345" t="n">
        <v>0</v>
      </c>
      <c r="E5" s="345" t="n">
        <v>0</v>
      </c>
      <c r="F5" s="345" t="n">
        <v>0</v>
      </c>
      <c r="G5" s="345" t="n">
        <v>0</v>
      </c>
      <c r="H5" s="345" t="n">
        <v>0.925</v>
      </c>
      <c r="I5" s="345" t="n">
        <v>0</v>
      </c>
      <c r="J5" s="345" t="n">
        <v>0</v>
      </c>
    </row>
    <row r="6" customFormat="false" ht="13.2" hidden="false" customHeight="false" outlineLevel="0" collapsed="false">
      <c r="A6" s="0" t="n">
        <v>30</v>
      </c>
      <c r="B6" s="345" t="n">
        <v>0</v>
      </c>
      <c r="C6" s="345" t="n">
        <v>0</v>
      </c>
      <c r="D6" s="345" t="n">
        <v>0</v>
      </c>
      <c r="E6" s="345" t="n">
        <v>0</v>
      </c>
      <c r="F6" s="345" t="n">
        <v>0</v>
      </c>
      <c r="G6" s="345" t="n">
        <v>0</v>
      </c>
      <c r="H6" s="345" t="n">
        <v>4.67</v>
      </c>
      <c r="I6" s="345" t="n">
        <v>0</v>
      </c>
      <c r="J6" s="345" t="n">
        <v>0</v>
      </c>
    </row>
    <row r="7" customFormat="false" ht="13.2" hidden="false" customHeight="false" outlineLevel="0" collapsed="false">
      <c r="A7" s="0" t="n">
        <v>35</v>
      </c>
      <c r="B7" s="345" t="n">
        <v>0</v>
      </c>
      <c r="C7" s="345" t="n">
        <v>0</v>
      </c>
      <c r="D7" s="345" t="n">
        <v>0</v>
      </c>
      <c r="E7" s="345" t="n">
        <v>0</v>
      </c>
      <c r="F7" s="345" t="n">
        <v>0</v>
      </c>
      <c r="G7" s="345" t="n">
        <v>0</v>
      </c>
      <c r="H7" s="345" t="n">
        <v>1.1</v>
      </c>
      <c r="I7" s="345" t="n">
        <v>0</v>
      </c>
      <c r="J7" s="345" t="n">
        <v>0</v>
      </c>
    </row>
    <row r="8" customFormat="false" ht="13.2" hidden="false" customHeight="false" outlineLevel="0" collapsed="false">
      <c r="A8" s="0" t="n">
        <v>40</v>
      </c>
      <c r="B8" s="345" t="n">
        <v>0.000138</v>
      </c>
      <c r="C8" s="345" t="n">
        <v>0</v>
      </c>
      <c r="D8" s="345" t="n">
        <v>0.000138</v>
      </c>
      <c r="E8" s="345" t="n">
        <v>0</v>
      </c>
      <c r="F8" s="345" t="n">
        <v>0</v>
      </c>
      <c r="G8" s="345" t="n">
        <v>0</v>
      </c>
      <c r="H8" s="345" t="n">
        <v>0</v>
      </c>
      <c r="I8" s="345" t="n">
        <v>0</v>
      </c>
      <c r="J8" s="345" t="n">
        <v>0</v>
      </c>
    </row>
    <row r="9" customFormat="false" ht="13.2" hidden="false" customHeight="false" outlineLevel="0" collapsed="false">
      <c r="A9" s="0" t="n">
        <v>45</v>
      </c>
      <c r="B9" s="345" t="n">
        <v>0.00071</v>
      </c>
      <c r="C9" s="345" t="n">
        <v>0</v>
      </c>
      <c r="D9" s="345" t="n">
        <v>0.00071</v>
      </c>
      <c r="E9" s="345" t="n">
        <v>0</v>
      </c>
      <c r="F9" s="345" t="n">
        <v>0.000578</v>
      </c>
      <c r="G9" s="345" t="n">
        <v>0</v>
      </c>
      <c r="H9" s="345" t="n">
        <v>0</v>
      </c>
      <c r="I9" s="345" t="n">
        <v>0</v>
      </c>
      <c r="J9" s="345" t="n">
        <v>0</v>
      </c>
    </row>
    <row r="10" customFormat="false" ht="13.2" hidden="false" customHeight="false" outlineLevel="0" collapsed="false">
      <c r="A10" s="0" t="n">
        <v>50</v>
      </c>
      <c r="B10" s="345" t="n">
        <v>0.00848</v>
      </c>
      <c r="C10" s="345" t="n">
        <v>0.00678</v>
      </c>
      <c r="D10" s="345" t="n">
        <v>0.0017</v>
      </c>
      <c r="E10" s="345" t="n">
        <v>0</v>
      </c>
      <c r="F10" s="345" t="n">
        <v>0.000765</v>
      </c>
      <c r="G10" s="345" t="n">
        <v>0</v>
      </c>
      <c r="H10" s="345" t="n">
        <v>0</v>
      </c>
      <c r="I10" s="345" t="n">
        <v>0.34</v>
      </c>
      <c r="J10" s="345" t="n">
        <v>0.0894</v>
      </c>
    </row>
    <row r="11" customFormat="false" ht="13.2" hidden="false" customHeight="false" outlineLevel="0" collapsed="false">
      <c r="A11" s="0" t="n">
        <v>55</v>
      </c>
      <c r="B11" s="345" t="n">
        <v>0.0109</v>
      </c>
      <c r="C11" s="345" t="n">
        <v>0.000456</v>
      </c>
      <c r="D11" s="345" t="n">
        <v>0.0104</v>
      </c>
      <c r="E11" s="345" t="n">
        <v>0.0702</v>
      </c>
      <c r="F11" s="345" t="n">
        <v>0.000726</v>
      </c>
      <c r="G11" s="345" t="n">
        <v>0</v>
      </c>
      <c r="H11" s="345" t="n">
        <v>0</v>
      </c>
      <c r="I11" s="345" t="n">
        <v>0.42</v>
      </c>
      <c r="J11" s="345" t="n">
        <v>0.0398</v>
      </c>
    </row>
    <row r="12" customFormat="false" ht="13.2" hidden="false" customHeight="false" outlineLevel="0" collapsed="false">
      <c r="A12" s="0" t="n">
        <v>60</v>
      </c>
      <c r="B12" s="345" t="n">
        <v>0.0981</v>
      </c>
      <c r="C12" s="345" t="n">
        <v>0.00896</v>
      </c>
      <c r="D12" s="345" t="n">
        <v>0.0891</v>
      </c>
      <c r="E12" s="345" t="n">
        <v>0.113</v>
      </c>
      <c r="F12" s="345" t="n">
        <v>0.0152</v>
      </c>
      <c r="G12" s="345" t="n">
        <v>0</v>
      </c>
      <c r="H12" s="345" t="n">
        <v>0</v>
      </c>
      <c r="I12" s="345" t="n">
        <v>1.96</v>
      </c>
      <c r="J12" s="345" t="n">
        <v>0.699</v>
      </c>
    </row>
    <row r="13" customFormat="false" ht="13.2" hidden="false" customHeight="false" outlineLevel="0" collapsed="false">
      <c r="A13" s="0" t="n">
        <v>65</v>
      </c>
      <c r="B13" s="345" t="n">
        <v>0.104</v>
      </c>
      <c r="C13" s="345" t="n">
        <v>0.0342</v>
      </c>
      <c r="D13" s="345" t="n">
        <v>0.07</v>
      </c>
      <c r="E13" s="345" t="n">
        <v>0.187</v>
      </c>
      <c r="F13" s="345" t="n">
        <v>0.0252</v>
      </c>
      <c r="G13" s="345" t="n">
        <v>0</v>
      </c>
      <c r="H13" s="345" t="n">
        <v>0</v>
      </c>
      <c r="I13" s="345" t="n">
        <v>4.55</v>
      </c>
      <c r="J13" s="345" t="n">
        <v>15</v>
      </c>
    </row>
    <row r="14" customFormat="false" ht="13.2" hidden="false" customHeight="false" outlineLevel="0" collapsed="false">
      <c r="A14" s="0" t="n">
        <v>70</v>
      </c>
      <c r="B14" s="345" t="n">
        <v>0.458</v>
      </c>
      <c r="C14" s="345" t="n">
        <v>0.0725</v>
      </c>
      <c r="D14" s="345" t="n">
        <v>0.385</v>
      </c>
      <c r="E14" s="345" t="n">
        <v>0.145</v>
      </c>
      <c r="F14" s="345" t="n">
        <v>0.0889</v>
      </c>
      <c r="G14" s="345" t="n">
        <v>0.0202</v>
      </c>
      <c r="H14" s="345" t="n">
        <v>0</v>
      </c>
      <c r="I14" s="345" t="n">
        <v>6.03</v>
      </c>
      <c r="J14" s="345" t="n">
        <v>12.2</v>
      </c>
    </row>
    <row r="15" customFormat="false" ht="13.2" hidden="false" customHeight="false" outlineLevel="0" collapsed="false">
      <c r="A15" s="0" t="n">
        <v>75</v>
      </c>
      <c r="B15" s="345" t="n">
        <v>0.501</v>
      </c>
      <c r="C15" s="345" t="n">
        <v>0.0953</v>
      </c>
      <c r="D15" s="345" t="n">
        <v>0.405</v>
      </c>
      <c r="E15" s="345" t="n">
        <v>0.194</v>
      </c>
      <c r="F15" s="345" t="n">
        <v>0.224</v>
      </c>
      <c r="G15" s="345" t="n">
        <v>0.00236</v>
      </c>
      <c r="H15" s="345" t="n">
        <v>0</v>
      </c>
      <c r="I15" s="345" t="n">
        <v>8.02</v>
      </c>
      <c r="J15" s="345" t="n">
        <v>15.3</v>
      </c>
    </row>
    <row r="16" customFormat="false" ht="13.2" hidden="false" customHeight="false" outlineLevel="0" collapsed="false">
      <c r="A16" s="0" t="n">
        <v>80</v>
      </c>
      <c r="B16" s="345" t="n">
        <v>0.56</v>
      </c>
      <c r="C16" s="345" t="n">
        <v>0.14</v>
      </c>
      <c r="D16" s="345" t="n">
        <v>0.42</v>
      </c>
      <c r="E16" s="345" t="n">
        <v>1.72</v>
      </c>
      <c r="F16" s="345" t="n">
        <v>0.428</v>
      </c>
      <c r="G16" s="345" t="n">
        <v>0</v>
      </c>
      <c r="H16" s="345" t="n">
        <v>0</v>
      </c>
      <c r="I16" s="345" t="n">
        <v>25.4</v>
      </c>
      <c r="J16" s="345" t="n">
        <v>11</v>
      </c>
    </row>
    <row r="17" customFormat="false" ht="13.2" hidden="false" customHeight="false" outlineLevel="0" collapsed="false">
      <c r="A17" s="0" t="n">
        <v>85</v>
      </c>
      <c r="B17" s="345" t="n">
        <v>0.315</v>
      </c>
      <c r="C17" s="345" t="n">
        <v>0.0662</v>
      </c>
      <c r="D17" s="345" t="n">
        <v>0.249</v>
      </c>
      <c r="E17" s="345" t="n">
        <v>2.19</v>
      </c>
      <c r="F17" s="345" t="n">
        <v>0.218</v>
      </c>
      <c r="G17" s="345" t="n">
        <v>0.000783</v>
      </c>
      <c r="H17" s="345" t="n">
        <v>0</v>
      </c>
      <c r="I17" s="345" t="n">
        <v>40.3</v>
      </c>
      <c r="J17" s="345" t="n">
        <v>4.09</v>
      </c>
    </row>
    <row r="18" customFormat="false" ht="13.2" hidden="false" customHeight="false" outlineLevel="0" collapsed="false">
      <c r="A18" s="0" t="n">
        <v>90</v>
      </c>
      <c r="B18" s="345" t="n">
        <v>0.176</v>
      </c>
      <c r="C18" s="345" t="n">
        <v>0.0141</v>
      </c>
      <c r="D18" s="345" t="n">
        <v>0.162</v>
      </c>
      <c r="E18" s="345" t="n">
        <v>1.46</v>
      </c>
      <c r="F18" s="345" t="n">
        <v>0.0533</v>
      </c>
      <c r="G18" s="345" t="n">
        <v>0</v>
      </c>
      <c r="H18" s="345" t="n">
        <v>0</v>
      </c>
      <c r="I18" s="345" t="n">
        <v>21</v>
      </c>
      <c r="J18" s="345" t="n">
        <v>3.43</v>
      </c>
    </row>
    <row r="19" customFormat="false" ht="13.2" hidden="false" customHeight="false" outlineLevel="0" collapsed="false">
      <c r="A19" s="0" t="n">
        <v>95</v>
      </c>
      <c r="B19" s="345" t="n">
        <v>0.0218</v>
      </c>
      <c r="C19" s="345" t="n">
        <v>0.00351</v>
      </c>
      <c r="D19" s="345" t="n">
        <v>0.0182</v>
      </c>
      <c r="E19" s="345" t="n">
        <v>1.15</v>
      </c>
      <c r="F19" s="345" t="n">
        <v>0.0489</v>
      </c>
      <c r="G19" s="345" t="n">
        <v>0</v>
      </c>
      <c r="H19" s="345" t="n">
        <v>0</v>
      </c>
      <c r="I19" s="345" t="n">
        <v>10.6</v>
      </c>
      <c r="J19" s="345" t="n">
        <v>0.673</v>
      </c>
    </row>
    <row r="20" customFormat="false" ht="13.2" hidden="false" customHeight="false" outlineLevel="0" collapsed="false">
      <c r="A20" s="0" t="n">
        <v>100</v>
      </c>
      <c r="B20" s="345" t="n">
        <v>0.0155</v>
      </c>
      <c r="C20" s="345" t="n">
        <v>0.000884</v>
      </c>
      <c r="D20" s="345" t="n">
        <v>0.0146</v>
      </c>
      <c r="E20" s="345" t="n">
        <v>1.12</v>
      </c>
      <c r="F20" s="345" t="n">
        <v>0.0587</v>
      </c>
      <c r="G20" s="345" t="n">
        <v>0.0301</v>
      </c>
      <c r="H20" s="345" t="n">
        <v>0</v>
      </c>
      <c r="I20" s="345" t="n">
        <v>7.4</v>
      </c>
      <c r="J20" s="345" t="n">
        <v>1.53</v>
      </c>
    </row>
    <row r="21" customFormat="false" ht="13.2" hidden="false" customHeight="false" outlineLevel="0" collapsed="false">
      <c r="A21" s="0" t="n">
        <v>105</v>
      </c>
      <c r="B21" s="345" t="n">
        <v>0.00348</v>
      </c>
      <c r="C21" s="345" t="n">
        <v>0.00197</v>
      </c>
      <c r="D21" s="345" t="n">
        <v>0.00151</v>
      </c>
      <c r="E21" s="345" t="n">
        <v>0.964</v>
      </c>
      <c r="F21" s="345" t="n">
        <v>0.0105</v>
      </c>
      <c r="G21" s="345" t="n">
        <v>0</v>
      </c>
      <c r="H21" s="345" t="n">
        <v>0</v>
      </c>
      <c r="I21" s="345" t="n">
        <v>7.02</v>
      </c>
      <c r="J21" s="345" t="n">
        <v>0.0927</v>
      </c>
    </row>
    <row r="22" customFormat="false" ht="13.2" hidden="false" customHeight="false" outlineLevel="0" collapsed="false">
      <c r="A22" s="0" t="n">
        <v>110</v>
      </c>
      <c r="B22" s="345" t="n">
        <v>0.0105</v>
      </c>
      <c r="C22" s="345" t="n">
        <v>0.00991</v>
      </c>
      <c r="D22" s="345" t="n">
        <v>0.000551</v>
      </c>
      <c r="E22" s="345" t="n">
        <v>0.747</v>
      </c>
      <c r="F22" s="345" t="n">
        <v>0.0646</v>
      </c>
      <c r="G22" s="345" t="n">
        <v>0.0214</v>
      </c>
      <c r="H22" s="345" t="n">
        <v>0</v>
      </c>
      <c r="I22" s="345" t="n">
        <v>6.59</v>
      </c>
      <c r="J22" s="345" t="n">
        <v>0.0305</v>
      </c>
    </row>
    <row r="23" customFormat="false" ht="13.2" hidden="false" customHeight="false" outlineLevel="0" collapsed="false">
      <c r="A23" s="0" t="n">
        <v>115</v>
      </c>
      <c r="B23" s="345" t="n">
        <v>0.041</v>
      </c>
      <c r="C23" s="345" t="n">
        <v>0.0374</v>
      </c>
      <c r="D23" s="345" t="n">
        <v>0.00369</v>
      </c>
      <c r="E23" s="345" t="n">
        <v>1.44</v>
      </c>
      <c r="F23" s="345" t="n">
        <v>0.029</v>
      </c>
      <c r="G23" s="345" t="n">
        <v>0.0936</v>
      </c>
      <c r="H23" s="345" t="n">
        <v>0</v>
      </c>
      <c r="I23" s="345" t="n">
        <v>13.8</v>
      </c>
      <c r="J23" s="345" t="n">
        <v>0</v>
      </c>
    </row>
    <row r="24" customFormat="false" ht="13.2" hidden="false" customHeight="false" outlineLevel="0" collapsed="false">
      <c r="A24" s="0" t="n">
        <v>120</v>
      </c>
      <c r="B24" s="345" t="n">
        <v>0.0699</v>
      </c>
      <c r="C24" s="345" t="n">
        <v>0.0512</v>
      </c>
      <c r="D24" s="345" t="n">
        <v>0.0187</v>
      </c>
      <c r="E24" s="345" t="n">
        <v>0.937</v>
      </c>
      <c r="F24" s="345" t="n">
        <v>0.104</v>
      </c>
      <c r="G24" s="345" t="n">
        <v>0.0474</v>
      </c>
      <c r="H24" s="345" t="n">
        <v>0</v>
      </c>
      <c r="I24" s="345" t="n">
        <v>3.35</v>
      </c>
      <c r="J24" s="345" t="n">
        <v>0</v>
      </c>
    </row>
    <row r="25" customFormat="false" ht="13.2" hidden="false" customHeight="false" outlineLevel="0" collapsed="false">
      <c r="A25" s="0" t="n">
        <v>125</v>
      </c>
      <c r="B25" s="345" t="n">
        <v>0.0484</v>
      </c>
      <c r="C25" s="345" t="n">
        <v>0.0481</v>
      </c>
      <c r="D25" s="345" t="n">
        <v>0.000347</v>
      </c>
      <c r="E25" s="345" t="n">
        <v>0.138</v>
      </c>
      <c r="F25" s="345" t="n">
        <v>0.0813</v>
      </c>
      <c r="G25" s="345" t="n">
        <v>0</v>
      </c>
      <c r="H25" s="345" t="n">
        <v>0</v>
      </c>
      <c r="I25" s="345" t="n">
        <v>2.75</v>
      </c>
      <c r="J25" s="345" t="n">
        <v>0</v>
      </c>
    </row>
    <row r="26" customFormat="false" ht="13.2" hidden="false" customHeight="false" outlineLevel="0" collapsed="false">
      <c r="A26" s="0" t="n">
        <v>130</v>
      </c>
      <c r="B26" s="345" t="n">
        <v>0.00184</v>
      </c>
      <c r="C26" s="345" t="n">
        <v>0.00171</v>
      </c>
      <c r="D26" s="345" t="n">
        <v>0.000125</v>
      </c>
      <c r="E26" s="345" t="n">
        <v>0.153</v>
      </c>
      <c r="F26" s="345" t="n">
        <v>0.0446</v>
      </c>
      <c r="G26" s="345" t="n">
        <v>0</v>
      </c>
      <c r="H26" s="345" t="n">
        <v>0</v>
      </c>
      <c r="I26" s="345" t="n">
        <v>0.031</v>
      </c>
      <c r="J26" s="345" t="n">
        <v>0</v>
      </c>
    </row>
    <row r="27" customFormat="false" ht="13.2" hidden="false" customHeight="false" outlineLevel="0" collapsed="false">
      <c r="A27" s="0" t="n">
        <v>135</v>
      </c>
      <c r="B27" s="345" t="n">
        <v>0.00773</v>
      </c>
      <c r="C27" s="345" t="n">
        <v>0.00773</v>
      </c>
      <c r="D27" s="345" t="n">
        <v>0</v>
      </c>
      <c r="E27" s="345" t="n">
        <v>0.146</v>
      </c>
      <c r="F27" s="345" t="n">
        <v>0.00947</v>
      </c>
      <c r="G27" s="345" t="n">
        <v>0</v>
      </c>
      <c r="H27" s="345" t="n">
        <v>0</v>
      </c>
      <c r="I27" s="345" t="n">
        <v>0</v>
      </c>
      <c r="J27" s="345" t="n">
        <v>0</v>
      </c>
    </row>
    <row r="28" customFormat="false" ht="13.2" hidden="false" customHeight="false" outlineLevel="0" collapsed="false">
      <c r="A28" s="0" t="n">
        <v>140</v>
      </c>
      <c r="B28" s="345" t="n">
        <v>0</v>
      </c>
      <c r="C28" s="345" t="n">
        <v>0</v>
      </c>
      <c r="D28" s="345" t="n">
        <v>0</v>
      </c>
      <c r="E28" s="345" t="n">
        <v>0.0192</v>
      </c>
      <c r="F28" s="345" t="n">
        <v>0.00426</v>
      </c>
      <c r="G28" s="345" t="n">
        <v>0</v>
      </c>
      <c r="H28" s="345" t="n">
        <v>0</v>
      </c>
      <c r="I28" s="345" t="n">
        <v>0</v>
      </c>
      <c r="J28" s="345" t="n">
        <v>0</v>
      </c>
    </row>
    <row r="29" customFormat="false" ht="13.2" hidden="false" customHeight="false" outlineLevel="0" collapsed="false">
      <c r="A29" s="0" t="s">
        <v>353</v>
      </c>
      <c r="B29" s="346" t="n">
        <f aca="false">SUM(B5:B28)</f>
        <v>2.452478</v>
      </c>
      <c r="C29" s="346" t="n">
        <f aca="false">SUM(C5:C28)</f>
        <v>0.60091</v>
      </c>
      <c r="D29" s="346" t="n">
        <f aca="false">SUM(D5:D28)</f>
        <v>1.850771</v>
      </c>
      <c r="E29" s="346" t="n">
        <f aca="false">SUM(E5:E28)</f>
        <v>12.8934</v>
      </c>
      <c r="F29" s="346" t="n">
        <f aca="false">SUM(F5:F28)</f>
        <v>1.509999</v>
      </c>
      <c r="G29" s="346" t="n">
        <f aca="false">SUM(G5:G28)</f>
        <v>0.215843</v>
      </c>
      <c r="H29" s="346" t="n">
        <f aca="false">SUM(H5:H28)</f>
        <v>6.695</v>
      </c>
      <c r="I29" s="346" t="n">
        <f aca="false">SUM(I5:I28)</f>
        <v>159.561</v>
      </c>
      <c r="J29" s="346" t="n">
        <f aca="false">SUM(J5:J28)</f>
        <v>64.1744</v>
      </c>
    </row>
    <row r="30" customFormat="false" ht="13.2" hidden="false" customHeight="false" outlineLevel="0" collapsed="false">
      <c r="A30" s="0" t="s">
        <v>354</v>
      </c>
      <c r="B30" s="29" t="n">
        <v>110</v>
      </c>
      <c r="C30" s="29"/>
      <c r="D30" s="29"/>
      <c r="E30" s="0" t="n">
        <v>18</v>
      </c>
      <c r="F30" s="0" t="n">
        <v>23</v>
      </c>
      <c r="G30" s="0" t="n">
        <v>210</v>
      </c>
      <c r="H30" s="0" t="n">
        <v>47</v>
      </c>
      <c r="I30" s="0" t="n">
        <v>19</v>
      </c>
      <c r="J30" s="0" t="n">
        <v>21</v>
      </c>
    </row>
  </sheetData>
  <mergeCells count="3">
    <mergeCell ref="B3:D3"/>
    <mergeCell ref="E3:G3"/>
    <mergeCell ref="B30:D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1996-02-05T18:29:10Z</dcterms:created>
  <dc:creator>Donald J. Peck</dc:creator>
  <dc:description/>
  <dc:language>en-US</dc:language>
  <cp:lastModifiedBy>Eugene Mah</cp:lastModifiedBy>
  <cp:lastPrinted>2018-06-20T17:27:28Z</cp:lastPrinted>
  <dcterms:modified xsi:type="dcterms:W3CDTF">2021-04-28T09:23:47Z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