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Y:\workspace\EquipTestingSpreadsheets\"/>
    </mc:Choice>
  </mc:AlternateContent>
  <xr:revisionPtr revIDLastSave="0" documentId="13_ncr:1_{A809ADC5-2033-494D-8804-931867EEBD41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Table" sheetId="1" r:id="rId1"/>
    <sheet name="RadFluoro" sheetId="2" r:id="rId2"/>
    <sheet name="CT" sheetId="3" r:id="rId3"/>
    <sheet name="ShieldEvaluation" sheetId="4" r:id="rId4"/>
    <sheet name="FitParameters" sheetId="5" r:id="rId5"/>
    <sheet name="NCRP147_4.1" sheetId="6" r:id="rId6"/>
    <sheet name="NCRP147_4.2" sheetId="7" r:id="rId7"/>
    <sheet name="NCRP147_4.3" sheetId="8" r:id="rId8"/>
    <sheet name="NCRP147_4.4" sheetId="9" r:id="rId9"/>
    <sheet name="NCRP147_4.5" sheetId="10" r:id="rId10"/>
    <sheet name="NCRP147_4.7" sheetId="11" r:id="rId11"/>
    <sheet name="NCRP147_5.2" sheetId="12" r:id="rId12"/>
    <sheet name="NCRP147_A1" sheetId="13" r:id="rId13"/>
    <sheet name="NCRP147_FigA2A3" sheetId="17" r:id="rId14"/>
    <sheet name="NCRP147_B1" sheetId="14" r:id="rId15"/>
    <sheet name="NCRP147_C1" sheetId="15" r:id="rId16"/>
    <sheet name="W_Rh_Al_Ag" sheetId="16" r:id="rId17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CT!$A$1:$H$50</definedName>
    <definedName name="_xlnm.Print_Area" localSheetId="1">RadFluoro!$A$1:$J$40</definedName>
    <definedName name="_xlnm.Print_Area" localSheetId="3">ShieldEvaluation!$A$1:$G$36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1" i="3" l="1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U21" i="3"/>
  <c r="T21" i="3"/>
  <c r="S21" i="3"/>
  <c r="R21" i="3"/>
  <c r="Q21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I16" i="11"/>
  <c r="G16" i="11"/>
  <c r="I15" i="11"/>
  <c r="G15" i="11"/>
  <c r="I14" i="11"/>
  <c r="G14" i="11"/>
  <c r="B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B12" i="8"/>
  <c r="B11" i="8"/>
  <c r="B7" i="8"/>
  <c r="J29" i="7"/>
  <c r="B16" i="11" s="1"/>
  <c r="I29" i="7"/>
  <c r="B15" i="11" s="1"/>
  <c r="H29" i="7"/>
  <c r="B10" i="8" s="1"/>
  <c r="G29" i="7"/>
  <c r="B13" i="11" s="1"/>
  <c r="F29" i="7"/>
  <c r="B12" i="11" s="1"/>
  <c r="E29" i="7"/>
  <c r="B11" i="11" s="1"/>
  <c r="D29" i="7"/>
  <c r="C29" i="7"/>
  <c r="B9" i="11" s="1"/>
  <c r="B29" i="7"/>
  <c r="B8" i="11" s="1"/>
  <c r="AF30" i="5"/>
  <c r="AE30" i="5"/>
  <c r="AD30" i="5"/>
  <c r="Y30" i="5"/>
  <c r="Z30" i="5" s="1"/>
  <c r="T30" i="5"/>
  <c r="U30" i="5" s="1"/>
  <c r="O30" i="5"/>
  <c r="P30" i="5" s="1"/>
  <c r="K30" i="5"/>
  <c r="J30" i="5"/>
  <c r="F30" i="5"/>
  <c r="E30" i="5"/>
  <c r="AF29" i="5"/>
  <c r="AE29" i="5"/>
  <c r="AD29" i="5"/>
  <c r="Y29" i="5"/>
  <c r="Z29" i="5" s="1"/>
  <c r="U29" i="5"/>
  <c r="T29" i="5"/>
  <c r="O29" i="5"/>
  <c r="P29" i="5" s="1"/>
  <c r="J29" i="5"/>
  <c r="K29" i="5" s="1"/>
  <c r="E29" i="5"/>
  <c r="F29" i="5" s="1"/>
  <c r="AF28" i="5"/>
  <c r="AD28" i="5"/>
  <c r="AE28" i="5" s="1"/>
  <c r="Y28" i="5"/>
  <c r="Z28" i="5" s="1"/>
  <c r="T28" i="5"/>
  <c r="U28" i="5" s="1"/>
  <c r="P28" i="5"/>
  <c r="O28" i="5"/>
  <c r="K28" i="5"/>
  <c r="J28" i="5"/>
  <c r="F28" i="5"/>
  <c r="E28" i="5"/>
  <c r="AF27" i="5"/>
  <c r="AD27" i="5"/>
  <c r="AE27" i="5" s="1"/>
  <c r="Z27" i="5"/>
  <c r="Y27" i="5"/>
  <c r="T27" i="5"/>
  <c r="U27" i="5" s="1"/>
  <c r="O27" i="5"/>
  <c r="P27" i="5" s="1"/>
  <c r="J27" i="5"/>
  <c r="K27" i="5" s="1"/>
  <c r="F27" i="5"/>
  <c r="E27" i="5"/>
  <c r="AF26" i="5"/>
  <c r="AD26" i="5"/>
  <c r="AE26" i="5" s="1"/>
  <c r="Y26" i="5"/>
  <c r="Z26" i="5" s="1"/>
  <c r="U26" i="5"/>
  <c r="T26" i="5"/>
  <c r="P26" i="5"/>
  <c r="O26" i="5"/>
  <c r="K26" i="5"/>
  <c r="J26" i="5"/>
  <c r="E26" i="5"/>
  <c r="F26" i="5" s="1"/>
  <c r="AF25" i="5"/>
  <c r="AE25" i="5"/>
  <c r="AD25" i="5"/>
  <c r="Y25" i="5"/>
  <c r="Z25" i="5" s="1"/>
  <c r="T25" i="5"/>
  <c r="U25" i="5" s="1"/>
  <c r="O25" i="5"/>
  <c r="P25" i="5" s="1"/>
  <c r="K25" i="5"/>
  <c r="J25" i="5"/>
  <c r="E25" i="5"/>
  <c r="F25" i="5" s="1"/>
  <c r="AF24" i="5"/>
  <c r="AD24" i="5"/>
  <c r="AE24" i="5" s="1"/>
  <c r="Z24" i="5"/>
  <c r="Y24" i="5"/>
  <c r="U24" i="5"/>
  <c r="T24" i="5"/>
  <c r="P24" i="5"/>
  <c r="O24" i="5"/>
  <c r="J24" i="5"/>
  <c r="K24" i="5" s="1"/>
  <c r="E24" i="5"/>
  <c r="F24" i="5" s="1"/>
  <c r="AF23" i="5"/>
  <c r="AD23" i="5"/>
  <c r="AE23" i="5" s="1"/>
  <c r="Y23" i="5"/>
  <c r="Z23" i="5" s="1"/>
  <c r="T23" i="5"/>
  <c r="U23" i="5" s="1"/>
  <c r="P23" i="5"/>
  <c r="O23" i="5"/>
  <c r="J23" i="5"/>
  <c r="K23" i="5" s="1"/>
  <c r="F23" i="5"/>
  <c r="E23" i="5"/>
  <c r="AF22" i="5"/>
  <c r="AE22" i="5"/>
  <c r="AD22" i="5"/>
  <c r="Z22" i="5"/>
  <c r="Y22" i="5"/>
  <c r="U22" i="5"/>
  <c r="T22" i="5"/>
  <c r="O22" i="5"/>
  <c r="P22" i="5" s="1"/>
  <c r="J22" i="5"/>
  <c r="K22" i="5" s="1"/>
  <c r="E22" i="5"/>
  <c r="F22" i="5" s="1"/>
  <c r="AF21" i="5"/>
  <c r="AD21" i="5"/>
  <c r="AE21" i="5" s="1"/>
  <c r="Y21" i="5"/>
  <c r="Z21" i="5" s="1"/>
  <c r="U21" i="5"/>
  <c r="T21" i="5"/>
  <c r="O21" i="5"/>
  <c r="P21" i="5" s="1"/>
  <c r="K21" i="5"/>
  <c r="J21" i="5"/>
  <c r="E21" i="5"/>
  <c r="F21" i="5" s="1"/>
  <c r="AF20" i="5"/>
  <c r="AE20" i="5"/>
  <c r="AD20" i="5"/>
  <c r="Z20" i="5"/>
  <c r="Y20" i="5"/>
  <c r="T20" i="5"/>
  <c r="U20" i="5" s="1"/>
  <c r="O20" i="5"/>
  <c r="P20" i="5" s="1"/>
  <c r="J20" i="5"/>
  <c r="K20" i="5" s="1"/>
  <c r="F20" i="5"/>
  <c r="E20" i="5"/>
  <c r="AF19" i="5"/>
  <c r="AD19" i="5"/>
  <c r="AE19" i="5" s="1"/>
  <c r="Z19" i="5"/>
  <c r="Y19" i="5"/>
  <c r="T19" i="5"/>
  <c r="U19" i="5" s="1"/>
  <c r="P19" i="5"/>
  <c r="O19" i="5"/>
  <c r="J19" i="5"/>
  <c r="K19" i="5" s="1"/>
  <c r="E19" i="5"/>
  <c r="F19" i="5" s="1"/>
  <c r="AF18" i="5"/>
  <c r="AE18" i="5"/>
  <c r="AD18" i="5"/>
  <c r="Y18" i="5"/>
  <c r="Z18" i="5" s="1"/>
  <c r="T18" i="5"/>
  <c r="U18" i="5" s="1"/>
  <c r="O18" i="5"/>
  <c r="P18" i="5" s="1"/>
  <c r="K18" i="5"/>
  <c r="J18" i="5"/>
  <c r="F18" i="5"/>
  <c r="E18" i="5"/>
  <c r="AF17" i="5"/>
  <c r="AE17" i="5"/>
  <c r="AD17" i="5"/>
  <c r="Y17" i="5"/>
  <c r="Z17" i="5" s="1"/>
  <c r="U17" i="5"/>
  <c r="T17" i="5"/>
  <c r="P17" i="5"/>
  <c r="O17" i="5"/>
  <c r="J17" i="5"/>
  <c r="K17" i="5" s="1"/>
  <c r="E17" i="5"/>
  <c r="F17" i="5" s="1"/>
  <c r="AF16" i="5"/>
  <c r="AD16" i="5"/>
  <c r="AE16" i="5" s="1"/>
  <c r="Y16" i="5"/>
  <c r="Z16" i="5" s="1"/>
  <c r="T16" i="5"/>
  <c r="U16" i="5" s="1"/>
  <c r="P16" i="5"/>
  <c r="O16" i="5"/>
  <c r="K16" i="5"/>
  <c r="J16" i="5"/>
  <c r="F16" i="5"/>
  <c r="E16" i="5"/>
  <c r="AF15" i="5"/>
  <c r="AD15" i="5"/>
  <c r="AE15" i="5" s="1"/>
  <c r="Z15" i="5"/>
  <c r="Y15" i="5"/>
  <c r="T15" i="5"/>
  <c r="U15" i="5" s="1"/>
  <c r="O15" i="5"/>
  <c r="P15" i="5" s="1"/>
  <c r="J15" i="5"/>
  <c r="K15" i="5" s="1"/>
  <c r="F15" i="5"/>
  <c r="E15" i="5"/>
  <c r="AF14" i="5"/>
  <c r="AD14" i="5"/>
  <c r="AE14" i="5" s="1"/>
  <c r="Y14" i="5"/>
  <c r="Z14" i="5" s="1"/>
  <c r="U14" i="5"/>
  <c r="T14" i="5"/>
  <c r="P14" i="5"/>
  <c r="O14" i="5"/>
  <c r="K14" i="5"/>
  <c r="J14" i="5"/>
  <c r="E14" i="5"/>
  <c r="F14" i="5" s="1"/>
  <c r="AF13" i="5"/>
  <c r="AE13" i="5"/>
  <c r="AD13" i="5"/>
  <c r="Y13" i="5"/>
  <c r="Z13" i="5" s="1"/>
  <c r="T13" i="5"/>
  <c r="U13" i="5" s="1"/>
  <c r="O13" i="5"/>
  <c r="P13" i="5" s="1"/>
  <c r="K13" i="5"/>
  <c r="J13" i="5"/>
  <c r="E13" i="5"/>
  <c r="F13" i="5" s="1"/>
  <c r="AF12" i="5"/>
  <c r="AD12" i="5"/>
  <c r="AE12" i="5" s="1"/>
  <c r="Z12" i="5"/>
  <c r="Y12" i="5"/>
  <c r="U12" i="5"/>
  <c r="T12" i="5"/>
  <c r="P12" i="5"/>
  <c r="O12" i="5"/>
  <c r="J12" i="5"/>
  <c r="K12" i="5" s="1"/>
  <c r="E12" i="5"/>
  <c r="F12" i="5" s="1"/>
  <c r="AF11" i="5"/>
  <c r="AD11" i="5"/>
  <c r="AE11" i="5" s="1"/>
  <c r="Y11" i="5"/>
  <c r="Z11" i="5" s="1"/>
  <c r="T11" i="5"/>
  <c r="U11" i="5" s="1"/>
  <c r="P11" i="5"/>
  <c r="O11" i="5"/>
  <c r="J11" i="5"/>
  <c r="K11" i="5" s="1"/>
  <c r="F11" i="5"/>
  <c r="E11" i="5"/>
  <c r="AF10" i="5"/>
  <c r="AE10" i="5"/>
  <c r="AD10" i="5"/>
  <c r="Z10" i="5"/>
  <c r="Y10" i="5"/>
  <c r="U10" i="5"/>
  <c r="T10" i="5"/>
  <c r="O10" i="5"/>
  <c r="P10" i="5" s="1"/>
  <c r="J10" i="5"/>
  <c r="K10" i="5" s="1"/>
  <c r="E10" i="5"/>
  <c r="F10" i="5" s="1"/>
  <c r="AF9" i="5"/>
  <c r="AD9" i="5"/>
  <c r="AE9" i="5" s="1"/>
  <c r="Y9" i="5"/>
  <c r="Z9" i="5" s="1"/>
  <c r="U9" i="5"/>
  <c r="T9" i="5"/>
  <c r="O9" i="5"/>
  <c r="P9" i="5" s="1"/>
  <c r="K9" i="5"/>
  <c r="J9" i="5"/>
  <c r="E9" i="5"/>
  <c r="F9" i="5" s="1"/>
  <c r="AF8" i="5"/>
  <c r="AE8" i="5"/>
  <c r="AD8" i="5"/>
  <c r="Z8" i="5"/>
  <c r="Y8" i="5"/>
  <c r="T8" i="5"/>
  <c r="U8" i="5" s="1"/>
  <c r="O8" i="5"/>
  <c r="P8" i="5" s="1"/>
  <c r="J8" i="5"/>
  <c r="K8" i="5" s="1"/>
  <c r="F8" i="5"/>
  <c r="E8" i="5"/>
  <c r="AF7" i="5"/>
  <c r="AD7" i="5"/>
  <c r="AE7" i="5" s="1"/>
  <c r="Z7" i="5"/>
  <c r="Y7" i="5"/>
  <c r="T7" i="5"/>
  <c r="U7" i="5" s="1"/>
  <c r="P7" i="5"/>
  <c r="O7" i="5"/>
  <c r="J7" i="5"/>
  <c r="K7" i="5" s="1"/>
  <c r="E7" i="5"/>
  <c r="F7" i="5" s="1"/>
  <c r="AF6" i="5"/>
  <c r="AE6" i="5"/>
  <c r="AD6" i="5"/>
  <c r="Y6" i="5"/>
  <c r="Z6" i="5" s="1"/>
  <c r="T6" i="5"/>
  <c r="U6" i="5" s="1"/>
  <c r="O6" i="5"/>
  <c r="P6" i="5" s="1"/>
  <c r="K6" i="5"/>
  <c r="J6" i="5"/>
  <c r="F6" i="5"/>
  <c r="E6" i="5"/>
  <c r="AF5" i="5"/>
  <c r="AE5" i="5"/>
  <c r="AD5" i="5"/>
  <c r="Y5" i="5"/>
  <c r="Z5" i="5" s="1"/>
  <c r="U5" i="5"/>
  <c r="T5" i="5"/>
  <c r="P5" i="5"/>
  <c r="O5" i="5"/>
  <c r="J5" i="5"/>
  <c r="K5" i="5" s="1"/>
  <c r="E5" i="5"/>
  <c r="F5" i="5" s="1"/>
  <c r="L33" i="4"/>
  <c r="F30" i="4"/>
  <c r="L31" i="4" s="1"/>
  <c r="D30" i="4"/>
  <c r="L29" i="4"/>
  <c r="M29" i="4" s="1"/>
  <c r="D29" i="4"/>
  <c r="F29" i="4" s="1"/>
  <c r="L30" i="4" s="1"/>
  <c r="F28" i="4"/>
  <c r="D28" i="4"/>
  <c r="D27" i="4"/>
  <c r="F27" i="4" s="1"/>
  <c r="L28" i="4" s="1"/>
  <c r="F26" i="4"/>
  <c r="L27" i="4" s="1"/>
  <c r="D26" i="4"/>
  <c r="D25" i="4"/>
  <c r="F25" i="4" s="1"/>
  <c r="L26" i="4" s="1"/>
  <c r="D24" i="4"/>
  <c r="F24" i="4" s="1"/>
  <c r="L25" i="4" s="1"/>
  <c r="R23" i="4"/>
  <c r="F23" i="4"/>
  <c r="L24" i="4" s="1"/>
  <c r="D23" i="4"/>
  <c r="D22" i="4"/>
  <c r="F22" i="4" s="1"/>
  <c r="L23" i="4" s="1"/>
  <c r="F21" i="4"/>
  <c r="L22" i="4" s="1"/>
  <c r="D21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H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J44" i="3"/>
  <c r="K44" i="3" s="1"/>
  <c r="E44" i="3"/>
  <c r="J43" i="3"/>
  <c r="K43" i="3" s="1"/>
  <c r="E43" i="3"/>
  <c r="J42" i="3"/>
  <c r="K42" i="3" s="1"/>
  <c r="E42" i="3"/>
  <c r="J41" i="3"/>
  <c r="K41" i="3" s="1"/>
  <c r="E41" i="3"/>
  <c r="J40" i="3"/>
  <c r="K40" i="3" s="1"/>
  <c r="E40" i="3"/>
  <c r="J39" i="3"/>
  <c r="K39" i="3" s="1"/>
  <c r="E39" i="3"/>
  <c r="S38" i="3"/>
  <c r="J38" i="3"/>
  <c r="K38" i="3" s="1"/>
  <c r="E38" i="3"/>
  <c r="J37" i="3"/>
  <c r="K37" i="3" s="1"/>
  <c r="E37" i="3"/>
  <c r="J36" i="3"/>
  <c r="K36" i="3" s="1"/>
  <c r="E36" i="3"/>
  <c r="J35" i="3"/>
  <c r="K35" i="3" s="1"/>
  <c r="E35" i="3"/>
  <c r="J34" i="3"/>
  <c r="K34" i="3" s="1"/>
  <c r="E34" i="3"/>
  <c r="K33" i="3"/>
  <c r="J33" i="3"/>
  <c r="E33" i="3"/>
  <c r="J32" i="3"/>
  <c r="K32" i="3" s="1"/>
  <c r="E32" i="3"/>
  <c r="J31" i="3"/>
  <c r="K31" i="3" s="1"/>
  <c r="E31" i="3"/>
  <c r="J30" i="3"/>
  <c r="K30" i="3" s="1"/>
  <c r="E30" i="3"/>
  <c r="K29" i="3"/>
  <c r="J29" i="3"/>
  <c r="E29" i="3"/>
  <c r="F19" i="3"/>
  <c r="F22" i="3" s="1"/>
  <c r="V12" i="3"/>
  <c r="V13" i="3" s="1"/>
  <c r="E55" i="2"/>
  <c r="H55" i="2" s="1"/>
  <c r="C55" i="2"/>
  <c r="C54" i="2"/>
  <c r="E54" i="2" s="1"/>
  <c r="H54" i="2" s="1"/>
  <c r="E53" i="2"/>
  <c r="G53" i="2" s="1"/>
  <c r="C53" i="2"/>
  <c r="G52" i="2"/>
  <c r="E52" i="2"/>
  <c r="C52" i="2"/>
  <c r="G51" i="2"/>
  <c r="E51" i="2"/>
  <c r="C51" i="2"/>
  <c r="A51" i="2"/>
  <c r="G50" i="2"/>
  <c r="E50" i="2"/>
  <c r="C50" i="2"/>
  <c r="E49" i="2"/>
  <c r="G49" i="2" s="1"/>
  <c r="C49" i="2"/>
  <c r="C48" i="2"/>
  <c r="E48" i="2" s="1"/>
  <c r="G48" i="2" s="1"/>
  <c r="E47" i="2"/>
  <c r="G47" i="2" s="1"/>
  <c r="C47" i="2"/>
  <c r="E46" i="2"/>
  <c r="G46" i="2" s="1"/>
  <c r="C46" i="2"/>
  <c r="C45" i="2"/>
  <c r="E45" i="2" s="1"/>
  <c r="G45" i="2" s="1"/>
  <c r="A45" i="2"/>
  <c r="E44" i="2"/>
  <c r="G44" i="2" s="1"/>
  <c r="C44" i="2"/>
  <c r="E43" i="2"/>
  <c r="G43" i="2" s="1"/>
  <c r="C43" i="2"/>
  <c r="D40" i="2"/>
  <c r="E40" i="2" s="1"/>
  <c r="F40" i="2" s="1"/>
  <c r="H40" i="2" s="1"/>
  <c r="A40" i="2"/>
  <c r="A55" i="2" s="1"/>
  <c r="D39" i="2"/>
  <c r="E39" i="2" s="1"/>
  <c r="F39" i="2" s="1"/>
  <c r="H39" i="2" s="1"/>
  <c r="A39" i="2"/>
  <c r="A54" i="2" s="1"/>
  <c r="D38" i="2"/>
  <c r="E38" i="2" s="1"/>
  <c r="F38" i="2" s="1"/>
  <c r="G38" i="2" s="1"/>
  <c r="I38" i="2" s="1"/>
  <c r="A38" i="2"/>
  <c r="A53" i="2" s="1"/>
  <c r="D37" i="2"/>
  <c r="E37" i="2" s="1"/>
  <c r="F37" i="2" s="1"/>
  <c r="G37" i="2" s="1"/>
  <c r="I37" i="2" s="1"/>
  <c r="A37" i="2"/>
  <c r="A52" i="2" s="1"/>
  <c r="E36" i="2"/>
  <c r="F36" i="2" s="1"/>
  <c r="G36" i="2" s="1"/>
  <c r="I36" i="2" s="1"/>
  <c r="D36" i="2"/>
  <c r="A36" i="2"/>
  <c r="E35" i="2"/>
  <c r="F35" i="2" s="1"/>
  <c r="G35" i="2" s="1"/>
  <c r="I35" i="2" s="1"/>
  <c r="D35" i="2"/>
  <c r="A35" i="2"/>
  <c r="A50" i="2" s="1"/>
  <c r="F34" i="2"/>
  <c r="G34" i="2" s="1"/>
  <c r="I34" i="2" s="1"/>
  <c r="E34" i="2"/>
  <c r="D34" i="2"/>
  <c r="A34" i="2"/>
  <c r="A49" i="2" s="1"/>
  <c r="D33" i="2"/>
  <c r="E33" i="2" s="1"/>
  <c r="F33" i="2" s="1"/>
  <c r="G33" i="2" s="1"/>
  <c r="I33" i="2" s="1"/>
  <c r="A33" i="2"/>
  <c r="A48" i="2" s="1"/>
  <c r="D32" i="2"/>
  <c r="E32" i="2" s="1"/>
  <c r="F32" i="2" s="1"/>
  <c r="G32" i="2" s="1"/>
  <c r="I32" i="2" s="1"/>
  <c r="A32" i="2"/>
  <c r="A47" i="2" s="1"/>
  <c r="D31" i="2"/>
  <c r="E31" i="2" s="1"/>
  <c r="F31" i="2" s="1"/>
  <c r="G31" i="2" s="1"/>
  <c r="I31" i="2" s="1"/>
  <c r="A31" i="2"/>
  <c r="A46" i="2" s="1"/>
  <c r="D30" i="2"/>
  <c r="E30" i="2" s="1"/>
  <c r="F30" i="2" s="1"/>
  <c r="G30" i="2" s="1"/>
  <c r="I30" i="2" s="1"/>
  <c r="A30" i="2"/>
  <c r="G29" i="2"/>
  <c r="I29" i="2" s="1"/>
  <c r="E29" i="2"/>
  <c r="F29" i="2" s="1"/>
  <c r="D29" i="2"/>
  <c r="A29" i="2"/>
  <c r="A44" i="2" s="1"/>
  <c r="D28" i="2"/>
  <c r="E28" i="2" s="1"/>
  <c r="F28" i="2" s="1"/>
  <c r="G28" i="2" s="1"/>
  <c r="I28" i="2" s="1"/>
  <c r="A28" i="2"/>
  <c r="A43" i="2" s="1"/>
  <c r="L8" i="2"/>
  <c r="K8" i="2"/>
  <c r="L7" i="2"/>
  <c r="K7" i="2"/>
  <c r="L4" i="2"/>
  <c r="K4" i="2"/>
  <c r="L3" i="2"/>
  <c r="K3" i="2"/>
  <c r="E112" i="1"/>
  <c r="D112" i="1"/>
  <c r="C111" i="1"/>
  <c r="B111" i="1"/>
  <c r="B110" i="1"/>
  <c r="C109" i="1"/>
  <c r="B109" i="1"/>
  <c r="A109" i="1"/>
  <c r="M108" i="1"/>
  <c r="D108" i="1"/>
  <c r="C108" i="1"/>
  <c r="K107" i="1"/>
  <c r="G107" i="1"/>
  <c r="F107" i="1"/>
  <c r="K106" i="1"/>
  <c r="F106" i="1"/>
  <c r="E106" i="1"/>
  <c r="B106" i="1"/>
  <c r="G105" i="1"/>
  <c r="F105" i="1"/>
  <c r="E105" i="1"/>
  <c r="G104" i="1"/>
  <c r="D104" i="1"/>
  <c r="F103" i="1"/>
  <c r="E103" i="1"/>
  <c r="B103" i="1"/>
  <c r="G102" i="1"/>
  <c r="F102" i="1"/>
  <c r="D102" i="1"/>
  <c r="G101" i="1"/>
  <c r="F101" i="1"/>
  <c r="G100" i="1"/>
  <c r="B100" i="1"/>
  <c r="F99" i="1"/>
  <c r="C99" i="1"/>
  <c r="B99" i="1"/>
  <c r="F98" i="1"/>
  <c r="D98" i="1"/>
  <c r="B98" i="1"/>
  <c r="G94" i="1"/>
  <c r="E94" i="1"/>
  <c r="D94" i="1"/>
  <c r="G93" i="1"/>
  <c r="H92" i="1"/>
  <c r="C92" i="1"/>
  <c r="F91" i="1"/>
  <c r="E91" i="1"/>
  <c r="A91" i="1"/>
  <c r="F90" i="1"/>
  <c r="E90" i="1"/>
  <c r="G89" i="1"/>
  <c r="C88" i="1"/>
  <c r="B88" i="1"/>
  <c r="E86" i="1"/>
  <c r="D86" i="1"/>
  <c r="C84" i="1"/>
  <c r="B83" i="1"/>
  <c r="A83" i="1"/>
  <c r="A101" i="1" s="1"/>
  <c r="D82" i="1"/>
  <c r="M78" i="1"/>
  <c r="D78" i="1"/>
  <c r="K76" i="1"/>
  <c r="K112" i="1" s="1"/>
  <c r="G76" i="1"/>
  <c r="F76" i="1"/>
  <c r="E76" i="1"/>
  <c r="D76" i="1"/>
  <c r="C76" i="1"/>
  <c r="C112" i="1" s="1"/>
  <c r="B76" i="1"/>
  <c r="B112" i="1" s="1"/>
  <c r="K75" i="1"/>
  <c r="K111" i="1" s="1"/>
  <c r="G75" i="1"/>
  <c r="F75" i="1"/>
  <c r="E75" i="1"/>
  <c r="E111" i="1" s="1"/>
  <c r="D75" i="1"/>
  <c r="D111" i="1" s="1"/>
  <c r="C75" i="1"/>
  <c r="B75" i="1"/>
  <c r="K74" i="1"/>
  <c r="K110" i="1" s="1"/>
  <c r="J74" i="1"/>
  <c r="J110" i="1" s="1"/>
  <c r="G74" i="1"/>
  <c r="F74" i="1"/>
  <c r="E74" i="1"/>
  <c r="E110" i="1" s="1"/>
  <c r="D74" i="1"/>
  <c r="D110" i="1" s="1"/>
  <c r="C74" i="1"/>
  <c r="C110" i="1" s="1"/>
  <c r="B74" i="1"/>
  <c r="L73" i="1"/>
  <c r="L109" i="1" s="1"/>
  <c r="G73" i="1"/>
  <c r="F73" i="1"/>
  <c r="F109" i="1" s="1"/>
  <c r="E73" i="1"/>
  <c r="E109" i="1" s="1"/>
  <c r="D73" i="1"/>
  <c r="D109" i="1" s="1"/>
  <c r="C73" i="1"/>
  <c r="B73" i="1"/>
  <c r="M72" i="1"/>
  <c r="G72" i="1"/>
  <c r="G108" i="1" s="1"/>
  <c r="F72" i="1"/>
  <c r="F108" i="1" s="1"/>
  <c r="E72" i="1"/>
  <c r="D72" i="1"/>
  <c r="C72" i="1"/>
  <c r="B72" i="1"/>
  <c r="B108" i="1" s="1"/>
  <c r="AT71" i="1"/>
  <c r="AR71" i="1"/>
  <c r="AS71" i="1" s="1"/>
  <c r="AN71" i="1"/>
  <c r="AM71" i="1"/>
  <c r="AH71" i="1"/>
  <c r="AI71" i="1" s="1"/>
  <c r="AD71" i="1"/>
  <c r="AC71" i="1"/>
  <c r="X71" i="1"/>
  <c r="Y71" i="1" s="1"/>
  <c r="S71" i="1"/>
  <c r="T71" i="1" s="1"/>
  <c r="L71" i="1"/>
  <c r="L107" i="1" s="1"/>
  <c r="K71" i="1"/>
  <c r="G71" i="1"/>
  <c r="M71" i="1" s="1"/>
  <c r="M107" i="1" s="1"/>
  <c r="F71" i="1"/>
  <c r="E71" i="1"/>
  <c r="E107" i="1" s="1"/>
  <c r="D71" i="1"/>
  <c r="D107" i="1" s="1"/>
  <c r="C71" i="1"/>
  <c r="C107" i="1" s="1"/>
  <c r="B71" i="1"/>
  <c r="B107" i="1" s="1"/>
  <c r="AT70" i="1"/>
  <c r="AR70" i="1"/>
  <c r="AS70" i="1" s="1"/>
  <c r="AM70" i="1"/>
  <c r="AN70" i="1" s="1"/>
  <c r="AI70" i="1"/>
  <c r="AH70" i="1"/>
  <c r="AC70" i="1"/>
  <c r="AD70" i="1" s="1"/>
  <c r="X70" i="1"/>
  <c r="Y70" i="1" s="1"/>
  <c r="S70" i="1"/>
  <c r="T70" i="1" s="1"/>
  <c r="M70" i="1"/>
  <c r="M106" i="1" s="1"/>
  <c r="L70" i="1"/>
  <c r="L106" i="1" s="1"/>
  <c r="K70" i="1"/>
  <c r="I70" i="1"/>
  <c r="I106" i="1" s="1"/>
  <c r="G70" i="1"/>
  <c r="G106" i="1" s="1"/>
  <c r="F70" i="1"/>
  <c r="E70" i="1"/>
  <c r="D70" i="1"/>
  <c r="D106" i="1" s="1"/>
  <c r="C70" i="1"/>
  <c r="C106" i="1" s="1"/>
  <c r="B70" i="1"/>
  <c r="AT69" i="1"/>
  <c r="AS69" i="1"/>
  <c r="AR69" i="1"/>
  <c r="AN69" i="1"/>
  <c r="AM69" i="1"/>
  <c r="AI69" i="1"/>
  <c r="AH69" i="1"/>
  <c r="AC69" i="1"/>
  <c r="AD69" i="1" s="1"/>
  <c r="Y69" i="1"/>
  <c r="X69" i="1"/>
  <c r="S69" i="1"/>
  <c r="T69" i="1" s="1"/>
  <c r="M69" i="1"/>
  <c r="M105" i="1" s="1"/>
  <c r="L69" i="1"/>
  <c r="L105" i="1" s="1"/>
  <c r="K69" i="1"/>
  <c r="K105" i="1" s="1"/>
  <c r="G69" i="1"/>
  <c r="F69" i="1"/>
  <c r="E69" i="1"/>
  <c r="D69" i="1"/>
  <c r="D105" i="1" s="1"/>
  <c r="C69" i="1"/>
  <c r="C105" i="1" s="1"/>
  <c r="B69" i="1"/>
  <c r="B105" i="1" s="1"/>
  <c r="A69" i="1"/>
  <c r="AT68" i="1"/>
  <c r="AS68" i="1"/>
  <c r="AR68" i="1"/>
  <c r="AM68" i="1"/>
  <c r="AN68" i="1" s="1"/>
  <c r="AH68" i="1"/>
  <c r="AI68" i="1" s="1"/>
  <c r="AC68" i="1"/>
  <c r="AD68" i="1" s="1"/>
  <c r="X68" i="1"/>
  <c r="Y68" i="1" s="1"/>
  <c r="T68" i="1"/>
  <c r="S68" i="1"/>
  <c r="M68" i="1"/>
  <c r="M104" i="1" s="1"/>
  <c r="G68" i="1"/>
  <c r="F68" i="1"/>
  <c r="L68" i="1" s="1"/>
  <c r="L104" i="1" s="1"/>
  <c r="E68" i="1"/>
  <c r="E104" i="1" s="1"/>
  <c r="D68" i="1"/>
  <c r="C68" i="1"/>
  <c r="C104" i="1" s="1"/>
  <c r="B68" i="1"/>
  <c r="B104" i="1" s="1"/>
  <c r="A68" i="1"/>
  <c r="AT67" i="1"/>
  <c r="AS67" i="1"/>
  <c r="AR67" i="1"/>
  <c r="AN67" i="1"/>
  <c r="AM67" i="1"/>
  <c r="AH67" i="1"/>
  <c r="AI67" i="1" s="1"/>
  <c r="AD67" i="1"/>
  <c r="AC67" i="1"/>
  <c r="X67" i="1"/>
  <c r="Y67" i="1" s="1"/>
  <c r="T67" i="1"/>
  <c r="S67" i="1"/>
  <c r="M67" i="1"/>
  <c r="M103" i="1" s="1"/>
  <c r="L67" i="1"/>
  <c r="L103" i="1" s="1"/>
  <c r="K67" i="1"/>
  <c r="K103" i="1" s="1"/>
  <c r="H67" i="1"/>
  <c r="H103" i="1" s="1"/>
  <c r="G67" i="1"/>
  <c r="G103" i="1" s="1"/>
  <c r="F67" i="1"/>
  <c r="E67" i="1"/>
  <c r="D67" i="1"/>
  <c r="D103" i="1" s="1"/>
  <c r="C67" i="1"/>
  <c r="C103" i="1" s="1"/>
  <c r="B67" i="1"/>
  <c r="A67" i="1"/>
  <c r="AT66" i="1"/>
  <c r="AS66" i="1"/>
  <c r="AR66" i="1"/>
  <c r="AM66" i="1"/>
  <c r="AN66" i="1" s="1"/>
  <c r="AI66" i="1"/>
  <c r="AH66" i="1"/>
  <c r="AC66" i="1"/>
  <c r="AD66" i="1" s="1"/>
  <c r="Y66" i="1"/>
  <c r="X66" i="1"/>
  <c r="T66" i="1"/>
  <c r="S66" i="1"/>
  <c r="M66" i="1"/>
  <c r="M102" i="1" s="1"/>
  <c r="G66" i="1"/>
  <c r="F66" i="1"/>
  <c r="L66" i="1" s="1"/>
  <c r="L102" i="1" s="1"/>
  <c r="E66" i="1"/>
  <c r="D66" i="1"/>
  <c r="C66" i="1"/>
  <c r="C102" i="1" s="1"/>
  <c r="B66" i="1"/>
  <c r="B102" i="1" s="1"/>
  <c r="AT65" i="1"/>
  <c r="AR65" i="1"/>
  <c r="AS65" i="1" s="1"/>
  <c r="AN65" i="1"/>
  <c r="AM65" i="1"/>
  <c r="AH65" i="1"/>
  <c r="AI65" i="1" s="1"/>
  <c r="AD65" i="1"/>
  <c r="AC65" i="1"/>
  <c r="Y65" i="1"/>
  <c r="X65" i="1"/>
  <c r="T65" i="1"/>
  <c r="S65" i="1"/>
  <c r="L65" i="1"/>
  <c r="L101" i="1" s="1"/>
  <c r="H65" i="1"/>
  <c r="H101" i="1" s="1"/>
  <c r="G65" i="1"/>
  <c r="M65" i="1" s="1"/>
  <c r="M101" i="1" s="1"/>
  <c r="F65" i="1"/>
  <c r="E65" i="1"/>
  <c r="E101" i="1" s="1"/>
  <c r="D65" i="1"/>
  <c r="D101" i="1" s="1"/>
  <c r="C65" i="1"/>
  <c r="C101" i="1" s="1"/>
  <c r="B65" i="1"/>
  <c r="B101" i="1" s="1"/>
  <c r="AT64" i="1"/>
  <c r="AS64" i="1"/>
  <c r="AR64" i="1"/>
  <c r="AM64" i="1"/>
  <c r="AN64" i="1" s="1"/>
  <c r="AI64" i="1"/>
  <c r="AH64" i="1"/>
  <c r="AC64" i="1"/>
  <c r="AD64" i="1" s="1"/>
  <c r="Y64" i="1"/>
  <c r="X64" i="1"/>
  <c r="S64" i="1"/>
  <c r="T64" i="1" s="1"/>
  <c r="M64" i="1"/>
  <c r="M100" i="1" s="1"/>
  <c r="J64" i="1"/>
  <c r="J100" i="1" s="1"/>
  <c r="I64" i="1"/>
  <c r="I100" i="1" s="1"/>
  <c r="G64" i="1"/>
  <c r="F64" i="1"/>
  <c r="L64" i="1" s="1"/>
  <c r="L100" i="1" s="1"/>
  <c r="E64" i="1"/>
  <c r="D64" i="1"/>
  <c r="D100" i="1" s="1"/>
  <c r="C64" i="1"/>
  <c r="C100" i="1" s="1"/>
  <c r="B64" i="1"/>
  <c r="AT63" i="1"/>
  <c r="AR63" i="1"/>
  <c r="AS63" i="1" s="1"/>
  <c r="AN63" i="1"/>
  <c r="AM63" i="1"/>
  <c r="AH63" i="1"/>
  <c r="AI63" i="1" s="1"/>
  <c r="AD63" i="1"/>
  <c r="AC63" i="1"/>
  <c r="Y63" i="1"/>
  <c r="X63" i="1"/>
  <c r="S63" i="1"/>
  <c r="T63" i="1" s="1"/>
  <c r="K63" i="1"/>
  <c r="K99" i="1" s="1"/>
  <c r="G63" i="1"/>
  <c r="M63" i="1" s="1"/>
  <c r="M99" i="1" s="1"/>
  <c r="F63" i="1"/>
  <c r="L63" i="1" s="1"/>
  <c r="L99" i="1" s="1"/>
  <c r="E63" i="1"/>
  <c r="E99" i="1" s="1"/>
  <c r="D63" i="1"/>
  <c r="D99" i="1" s="1"/>
  <c r="C63" i="1"/>
  <c r="B63" i="1"/>
  <c r="AT62" i="1"/>
  <c r="AS62" i="1"/>
  <c r="AR62" i="1"/>
  <c r="AM62" i="1"/>
  <c r="AN62" i="1" s="1"/>
  <c r="AI62" i="1"/>
  <c r="AH62" i="1"/>
  <c r="AD62" i="1"/>
  <c r="AC62" i="1"/>
  <c r="X62" i="1"/>
  <c r="Y62" i="1" s="1"/>
  <c r="T62" i="1"/>
  <c r="S62" i="1"/>
  <c r="M62" i="1"/>
  <c r="M98" i="1" s="1"/>
  <c r="K62" i="1"/>
  <c r="K98" i="1" s="1"/>
  <c r="J62" i="1"/>
  <c r="J98" i="1" s="1"/>
  <c r="I62" i="1"/>
  <c r="H62" i="1"/>
  <c r="H98" i="1" s="1"/>
  <c r="G62" i="1"/>
  <c r="G98" i="1" s="1"/>
  <c r="F62" i="1"/>
  <c r="D62" i="1"/>
  <c r="C62" i="1"/>
  <c r="C98" i="1" s="1"/>
  <c r="B62" i="1"/>
  <c r="E62" i="1" s="1"/>
  <c r="E98" i="1" s="1"/>
  <c r="AT61" i="1"/>
  <c r="AR61" i="1"/>
  <c r="AS61" i="1" s="1"/>
  <c r="AM61" i="1"/>
  <c r="AN61" i="1" s="1"/>
  <c r="AH61" i="1"/>
  <c r="AI61" i="1" s="1"/>
  <c r="AC61" i="1"/>
  <c r="AD61" i="1" s="1"/>
  <c r="Y61" i="1"/>
  <c r="X61" i="1"/>
  <c r="S61" i="1"/>
  <c r="T61" i="1" s="1"/>
  <c r="AT60" i="1"/>
  <c r="AR60" i="1"/>
  <c r="AS60" i="1" s="1"/>
  <c r="AM60" i="1"/>
  <c r="AN60" i="1" s="1"/>
  <c r="AI60" i="1"/>
  <c r="AH60" i="1"/>
  <c r="AD60" i="1"/>
  <c r="AC60" i="1"/>
  <c r="X60" i="1"/>
  <c r="Y60" i="1" s="1"/>
  <c r="T60" i="1"/>
  <c r="S60" i="1"/>
  <c r="AT59" i="1"/>
  <c r="AS59" i="1"/>
  <c r="AR59" i="1"/>
  <c r="AM59" i="1"/>
  <c r="AN59" i="1" s="1"/>
  <c r="AI59" i="1"/>
  <c r="AH59" i="1"/>
  <c r="AD59" i="1"/>
  <c r="AC59" i="1"/>
  <c r="X59" i="1"/>
  <c r="Y59" i="1" s="1"/>
  <c r="S59" i="1"/>
  <c r="T59" i="1" s="1"/>
  <c r="AT58" i="1"/>
  <c r="AR58" i="1"/>
  <c r="AS58" i="1" s="1"/>
  <c r="AN58" i="1"/>
  <c r="AM58" i="1"/>
  <c r="AI58" i="1"/>
  <c r="AH58" i="1"/>
  <c r="AC58" i="1"/>
  <c r="AD58" i="1" s="1"/>
  <c r="Y58" i="1"/>
  <c r="X58" i="1"/>
  <c r="S58" i="1"/>
  <c r="T58" i="1" s="1"/>
  <c r="M58" i="1"/>
  <c r="M94" i="1" s="1"/>
  <c r="K58" i="1"/>
  <c r="K94" i="1" s="1"/>
  <c r="J58" i="1"/>
  <c r="J94" i="1" s="1"/>
  <c r="G58" i="1"/>
  <c r="F58" i="1"/>
  <c r="F94" i="1" s="1"/>
  <c r="E58" i="1"/>
  <c r="D58" i="1"/>
  <c r="C58" i="1"/>
  <c r="C94" i="1" s="1"/>
  <c r="B58" i="1"/>
  <c r="A58" i="1"/>
  <c r="AT57" i="1"/>
  <c r="AS57" i="1"/>
  <c r="AR57" i="1"/>
  <c r="AN57" i="1"/>
  <c r="AM57" i="1"/>
  <c r="AH57" i="1"/>
  <c r="AI57" i="1" s="1"/>
  <c r="AC57" i="1"/>
  <c r="AD57" i="1" s="1"/>
  <c r="Y57" i="1"/>
  <c r="X57" i="1"/>
  <c r="S57" i="1"/>
  <c r="T57" i="1" s="1"/>
  <c r="M57" i="1"/>
  <c r="M93" i="1" s="1"/>
  <c r="G57" i="1"/>
  <c r="F57" i="1"/>
  <c r="L57" i="1" s="1"/>
  <c r="L93" i="1" s="1"/>
  <c r="E57" i="1"/>
  <c r="D57" i="1"/>
  <c r="D93" i="1" s="1"/>
  <c r="C57" i="1"/>
  <c r="C93" i="1" s="1"/>
  <c r="B57" i="1"/>
  <c r="B93" i="1" s="1"/>
  <c r="A57" i="1"/>
  <c r="AT56" i="1"/>
  <c r="AR56" i="1"/>
  <c r="AS56" i="1" s="1"/>
  <c r="AN56" i="1"/>
  <c r="AM56" i="1"/>
  <c r="AH56" i="1"/>
  <c r="AI56" i="1" s="1"/>
  <c r="AC56" i="1"/>
  <c r="AD56" i="1" s="1"/>
  <c r="X56" i="1"/>
  <c r="Y56" i="1" s="1"/>
  <c r="T56" i="1"/>
  <c r="S56" i="1"/>
  <c r="M56" i="1"/>
  <c r="M92" i="1" s="1"/>
  <c r="L56" i="1"/>
  <c r="L92" i="1" s="1"/>
  <c r="I56" i="1"/>
  <c r="I92" i="1" s="1"/>
  <c r="H56" i="1"/>
  <c r="G56" i="1"/>
  <c r="G92" i="1" s="1"/>
  <c r="F56" i="1"/>
  <c r="F92" i="1" s="1"/>
  <c r="E56" i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Y55" i="1"/>
  <c r="X55" i="1"/>
  <c r="S55" i="1"/>
  <c r="T55" i="1" s="1"/>
  <c r="L55" i="1"/>
  <c r="L91" i="1" s="1"/>
  <c r="K55" i="1"/>
  <c r="K91" i="1" s="1"/>
  <c r="I55" i="1"/>
  <c r="I91" i="1" s="1"/>
  <c r="G55" i="1"/>
  <c r="F55" i="1"/>
  <c r="E55" i="1"/>
  <c r="D55" i="1"/>
  <c r="D91" i="1" s="1"/>
  <c r="C55" i="1"/>
  <c r="C91" i="1" s="1"/>
  <c r="B55" i="1"/>
  <c r="B91" i="1" s="1"/>
  <c r="A55" i="1"/>
  <c r="A73" i="1" s="1"/>
  <c r="AT54" i="1"/>
  <c r="AR54" i="1"/>
  <c r="AS54" i="1" s="1"/>
  <c r="AN54" i="1"/>
  <c r="AM54" i="1"/>
  <c r="AI54" i="1"/>
  <c r="AH54" i="1"/>
  <c r="AC54" i="1"/>
  <c r="AD54" i="1" s="1"/>
  <c r="Y54" i="1"/>
  <c r="X54" i="1"/>
  <c r="S54" i="1"/>
  <c r="T54" i="1" s="1"/>
  <c r="M54" i="1"/>
  <c r="M90" i="1" s="1"/>
  <c r="L54" i="1"/>
  <c r="L90" i="1" s="1"/>
  <c r="K54" i="1"/>
  <c r="K90" i="1" s="1"/>
  <c r="G54" i="1"/>
  <c r="G90" i="1" s="1"/>
  <c r="F54" i="1"/>
  <c r="E54" i="1"/>
  <c r="D54" i="1"/>
  <c r="D90" i="1" s="1"/>
  <c r="C54" i="1"/>
  <c r="C90" i="1" s="1"/>
  <c r="B54" i="1"/>
  <c r="B90" i="1" s="1"/>
  <c r="A54" i="1"/>
  <c r="AT53" i="1"/>
  <c r="AR53" i="1"/>
  <c r="AS53" i="1" s="1"/>
  <c r="AN53" i="1"/>
  <c r="AM53" i="1"/>
  <c r="AH53" i="1"/>
  <c r="AI53" i="1" s="1"/>
  <c r="AC53" i="1"/>
  <c r="AD53" i="1" s="1"/>
  <c r="X53" i="1"/>
  <c r="Y53" i="1" s="1"/>
  <c r="S53" i="1"/>
  <c r="T53" i="1" s="1"/>
  <c r="M53" i="1"/>
  <c r="M89" i="1" s="1"/>
  <c r="G53" i="1"/>
  <c r="F53" i="1"/>
  <c r="E53" i="1"/>
  <c r="D53" i="1"/>
  <c r="D89" i="1" s="1"/>
  <c r="C53" i="1"/>
  <c r="C89" i="1" s="1"/>
  <c r="B53" i="1"/>
  <c r="B89" i="1" s="1"/>
  <c r="A53" i="1"/>
  <c r="AT52" i="1"/>
  <c r="AR52" i="1"/>
  <c r="AS52" i="1" s="1"/>
  <c r="AN52" i="1"/>
  <c r="AM52" i="1"/>
  <c r="AH52" i="1"/>
  <c r="AI52" i="1" s="1"/>
  <c r="AD52" i="1"/>
  <c r="AC52" i="1"/>
  <c r="Y52" i="1"/>
  <c r="X52" i="1"/>
  <c r="T52" i="1"/>
  <c r="S52" i="1"/>
  <c r="I52" i="1"/>
  <c r="I88" i="1" s="1"/>
  <c r="H52" i="1"/>
  <c r="H88" i="1" s="1"/>
  <c r="G52" i="1"/>
  <c r="G88" i="1" s="1"/>
  <c r="F52" i="1"/>
  <c r="F88" i="1" s="1"/>
  <c r="E52" i="1"/>
  <c r="D52" i="1"/>
  <c r="D88" i="1" s="1"/>
  <c r="C52" i="1"/>
  <c r="B52" i="1"/>
  <c r="A52" i="1"/>
  <c r="AT51" i="1"/>
  <c r="AR51" i="1"/>
  <c r="AS51" i="1" s="1"/>
  <c r="AM51" i="1"/>
  <c r="AN51" i="1" s="1"/>
  <c r="AH51" i="1"/>
  <c r="AI51" i="1" s="1"/>
  <c r="AC51" i="1"/>
  <c r="AD51" i="1" s="1"/>
  <c r="Y51" i="1"/>
  <c r="X51" i="1"/>
  <c r="S51" i="1"/>
  <c r="T51" i="1" s="1"/>
  <c r="L51" i="1"/>
  <c r="L87" i="1" s="1"/>
  <c r="K51" i="1"/>
  <c r="K87" i="1" s="1"/>
  <c r="G51" i="1"/>
  <c r="F51" i="1"/>
  <c r="F87" i="1" s="1"/>
  <c r="E51" i="1"/>
  <c r="E87" i="1" s="1"/>
  <c r="D51" i="1"/>
  <c r="D87" i="1" s="1"/>
  <c r="C51" i="1"/>
  <c r="C87" i="1" s="1"/>
  <c r="B51" i="1"/>
  <c r="B87" i="1" s="1"/>
  <c r="A51" i="1"/>
  <c r="A87" i="1" s="1"/>
  <c r="A105" i="1" s="1"/>
  <c r="AT50" i="1"/>
  <c r="AR50" i="1"/>
  <c r="AS50" i="1" s="1"/>
  <c r="AN50" i="1"/>
  <c r="AM50" i="1"/>
  <c r="AI50" i="1"/>
  <c r="AH50" i="1"/>
  <c r="AC50" i="1"/>
  <c r="AD50" i="1" s="1"/>
  <c r="Y50" i="1"/>
  <c r="X50" i="1"/>
  <c r="S50" i="1"/>
  <c r="T50" i="1" s="1"/>
  <c r="K50" i="1"/>
  <c r="K86" i="1" s="1"/>
  <c r="G50" i="1"/>
  <c r="G86" i="1" s="1"/>
  <c r="F50" i="1"/>
  <c r="F86" i="1" s="1"/>
  <c r="E50" i="1"/>
  <c r="D50" i="1"/>
  <c r="C50" i="1"/>
  <c r="C86" i="1" s="1"/>
  <c r="B50" i="1"/>
  <c r="B86" i="1" s="1"/>
  <c r="A50" i="1"/>
  <c r="A86" i="1" s="1"/>
  <c r="A104" i="1" s="1"/>
  <c r="AT49" i="1"/>
  <c r="AS49" i="1"/>
  <c r="AR49" i="1"/>
  <c r="AN49" i="1"/>
  <c r="AM49" i="1"/>
  <c r="AH49" i="1"/>
  <c r="AI49" i="1" s="1"/>
  <c r="AC49" i="1"/>
  <c r="AD49" i="1" s="1"/>
  <c r="Y49" i="1"/>
  <c r="X49" i="1"/>
  <c r="T49" i="1"/>
  <c r="S49" i="1"/>
  <c r="M49" i="1"/>
  <c r="M85" i="1" s="1"/>
  <c r="J49" i="1"/>
  <c r="J85" i="1" s="1"/>
  <c r="I49" i="1"/>
  <c r="I85" i="1" s="1"/>
  <c r="G49" i="1"/>
  <c r="G85" i="1" s="1"/>
  <c r="F49" i="1"/>
  <c r="E49" i="1"/>
  <c r="D49" i="1"/>
  <c r="D85" i="1" s="1"/>
  <c r="C49" i="1"/>
  <c r="C85" i="1" s="1"/>
  <c r="B49" i="1"/>
  <c r="B85" i="1" s="1"/>
  <c r="A49" i="1"/>
  <c r="A85" i="1" s="1"/>
  <c r="A103" i="1" s="1"/>
  <c r="AT48" i="1"/>
  <c r="AR48" i="1"/>
  <c r="AS48" i="1" s="1"/>
  <c r="AN48" i="1"/>
  <c r="AM48" i="1"/>
  <c r="AH48" i="1"/>
  <c r="AI48" i="1" s="1"/>
  <c r="AD48" i="1"/>
  <c r="AC48" i="1"/>
  <c r="X48" i="1"/>
  <c r="Y48" i="1" s="1"/>
  <c r="T48" i="1"/>
  <c r="S48" i="1"/>
  <c r="G48" i="1"/>
  <c r="G84" i="1" s="1"/>
  <c r="F48" i="1"/>
  <c r="F84" i="1" s="1"/>
  <c r="E48" i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I47" i="1"/>
  <c r="AH47" i="1"/>
  <c r="AC47" i="1"/>
  <c r="AD47" i="1" s="1"/>
  <c r="Y47" i="1"/>
  <c r="X47" i="1"/>
  <c r="S47" i="1"/>
  <c r="T47" i="1" s="1"/>
  <c r="L47" i="1"/>
  <c r="L83" i="1" s="1"/>
  <c r="K47" i="1"/>
  <c r="K83" i="1" s="1"/>
  <c r="I47" i="1"/>
  <c r="I83" i="1" s="1"/>
  <c r="H47" i="1"/>
  <c r="H83" i="1" s="1"/>
  <c r="G47" i="1"/>
  <c r="F47" i="1"/>
  <c r="F83" i="1" s="1"/>
  <c r="E47" i="1"/>
  <c r="E83" i="1" s="1"/>
  <c r="D47" i="1"/>
  <c r="D83" i="1" s="1"/>
  <c r="C47" i="1"/>
  <c r="C83" i="1" s="1"/>
  <c r="B47" i="1"/>
  <c r="N47" i="1" s="1"/>
  <c r="N83" i="1" s="1"/>
  <c r="A47" i="1"/>
  <c r="A65" i="1" s="1"/>
  <c r="AT46" i="1"/>
  <c r="AS46" i="1"/>
  <c r="AR46" i="1"/>
  <c r="AM46" i="1"/>
  <c r="AN46" i="1" s="1"/>
  <c r="AI46" i="1"/>
  <c r="AH46" i="1"/>
  <c r="AC46" i="1"/>
  <c r="AD46" i="1" s="1"/>
  <c r="Y46" i="1"/>
  <c r="X46" i="1"/>
  <c r="S46" i="1"/>
  <c r="T46" i="1" s="1"/>
  <c r="K46" i="1"/>
  <c r="K82" i="1" s="1"/>
  <c r="J46" i="1"/>
  <c r="J82" i="1" s="1"/>
  <c r="G46" i="1"/>
  <c r="G82" i="1" s="1"/>
  <c r="F46" i="1"/>
  <c r="F82" i="1" s="1"/>
  <c r="E46" i="1"/>
  <c r="E82" i="1" s="1"/>
  <c r="D46" i="1"/>
  <c r="C46" i="1"/>
  <c r="C82" i="1" s="1"/>
  <c r="B46" i="1"/>
  <c r="B82" i="1" s="1"/>
  <c r="A46" i="1"/>
  <c r="M45" i="1"/>
  <c r="M81" i="1" s="1"/>
  <c r="L45" i="1"/>
  <c r="L81" i="1" s="1"/>
  <c r="G45" i="1"/>
  <c r="G81" i="1" s="1"/>
  <c r="F45" i="1"/>
  <c r="F81" i="1" s="1"/>
  <c r="E45" i="1"/>
  <c r="K45" i="1" s="1"/>
  <c r="K81" i="1" s="1"/>
  <c r="D45" i="1"/>
  <c r="D81" i="1" s="1"/>
  <c r="C45" i="1"/>
  <c r="C81" i="1" s="1"/>
  <c r="B45" i="1"/>
  <c r="B81" i="1" s="1"/>
  <c r="A45" i="1"/>
  <c r="A63" i="1" s="1"/>
  <c r="D44" i="1"/>
  <c r="G44" i="1" s="1"/>
  <c r="G80" i="1" s="1"/>
  <c r="C44" i="1"/>
  <c r="C80" i="1" s="1"/>
  <c r="B44" i="1"/>
  <c r="M42" i="1"/>
  <c r="D42" i="1"/>
  <c r="A41" i="1"/>
  <c r="A77" i="1" s="1"/>
  <c r="F40" i="1"/>
  <c r="Q39" i="1"/>
  <c r="J39" i="1" s="1"/>
  <c r="N39" i="1"/>
  <c r="M39" i="1"/>
  <c r="L39" i="1"/>
  <c r="P39" i="1" s="1"/>
  <c r="K39" i="1"/>
  <c r="Q38" i="1"/>
  <c r="N38" i="1"/>
  <c r="J57" i="1" s="1"/>
  <c r="J93" i="1" s="1"/>
  <c r="M38" i="1"/>
  <c r="L38" i="1"/>
  <c r="P38" i="1" s="1"/>
  <c r="K38" i="1"/>
  <c r="J38" i="1"/>
  <c r="AB37" i="1"/>
  <c r="AA37" i="1"/>
  <c r="Z37" i="1"/>
  <c r="Y37" i="1"/>
  <c r="X37" i="1"/>
  <c r="W37" i="1"/>
  <c r="Q37" i="1"/>
  <c r="O37" i="1"/>
  <c r="N37" i="1"/>
  <c r="I74" i="1" s="1"/>
  <c r="I110" i="1" s="1"/>
  <c r="M37" i="1"/>
  <c r="L37" i="1"/>
  <c r="P37" i="1" s="1"/>
  <c r="K37" i="1"/>
  <c r="J37" i="1"/>
  <c r="AB36" i="1"/>
  <c r="AA36" i="1"/>
  <c r="Z36" i="1"/>
  <c r="Y36" i="1"/>
  <c r="X36" i="1"/>
  <c r="W36" i="1"/>
  <c r="Q36" i="1"/>
  <c r="J36" i="1" s="1"/>
  <c r="N36" i="1"/>
  <c r="H73" i="1" s="1"/>
  <c r="H109" i="1" s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P35" i="1"/>
  <c r="N35" i="1"/>
  <c r="I72" i="1" s="1"/>
  <c r="I108" i="1" s="1"/>
  <c r="M35" i="1"/>
  <c r="L35" i="1"/>
  <c r="K35" i="1"/>
  <c r="AB34" i="1"/>
  <c r="AA34" i="1"/>
  <c r="Z34" i="1"/>
  <c r="Y34" i="1"/>
  <c r="X34" i="1"/>
  <c r="W34" i="1"/>
  <c r="Q34" i="1"/>
  <c r="J34" i="1" s="1"/>
  <c r="P34" i="1"/>
  <c r="N34" i="1"/>
  <c r="H71" i="1" s="1"/>
  <c r="H107" i="1" s="1"/>
  <c r="M34" i="1"/>
  <c r="L34" i="1"/>
  <c r="K34" i="1"/>
  <c r="Q33" i="1"/>
  <c r="N33" i="1"/>
  <c r="M33" i="1"/>
  <c r="L33" i="1"/>
  <c r="P33" i="1" s="1"/>
  <c r="K33" i="1"/>
  <c r="J33" i="1"/>
  <c r="AB32" i="1"/>
  <c r="AA32" i="1"/>
  <c r="Z32" i="1"/>
  <c r="Y32" i="1"/>
  <c r="X32" i="1"/>
  <c r="W32" i="1"/>
  <c r="Q32" i="1"/>
  <c r="J32" i="1" s="1"/>
  <c r="N32" i="1"/>
  <c r="I69" i="1" s="1"/>
  <c r="I105" i="1" s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P31" i="1"/>
  <c r="N31" i="1"/>
  <c r="J50" i="1" s="1"/>
  <c r="J86" i="1" s="1"/>
  <c r="M31" i="1"/>
  <c r="L31" i="1"/>
  <c r="K31" i="1"/>
  <c r="AB30" i="1"/>
  <c r="AA30" i="1"/>
  <c r="Z30" i="1"/>
  <c r="Y30" i="1"/>
  <c r="X30" i="1"/>
  <c r="W30" i="1"/>
  <c r="Q30" i="1"/>
  <c r="J30" i="1" s="1"/>
  <c r="P30" i="1"/>
  <c r="O30" i="1"/>
  <c r="N30" i="1"/>
  <c r="J67" i="1" s="1"/>
  <c r="J103" i="1" s="1"/>
  <c r="M30" i="1"/>
  <c r="L30" i="1"/>
  <c r="K30" i="1"/>
  <c r="AB29" i="1"/>
  <c r="AA29" i="1"/>
  <c r="Z29" i="1"/>
  <c r="Y29" i="1"/>
  <c r="X29" i="1"/>
  <c r="W29" i="1"/>
  <c r="Q29" i="1"/>
  <c r="J29" i="1" s="1"/>
  <c r="N29" i="1"/>
  <c r="M29" i="1"/>
  <c r="L29" i="1"/>
  <c r="P29" i="1" s="1"/>
  <c r="K29" i="1"/>
  <c r="Q28" i="1"/>
  <c r="P28" i="1"/>
  <c r="O28" i="1"/>
  <c r="N28" i="1"/>
  <c r="M28" i="1"/>
  <c r="L28" i="1"/>
  <c r="K28" i="1"/>
  <c r="J28" i="1"/>
  <c r="AB27" i="1"/>
  <c r="AA27" i="1"/>
  <c r="Z27" i="1"/>
  <c r="Y27" i="1"/>
  <c r="X27" i="1"/>
  <c r="W27" i="1"/>
  <c r="Q27" i="1"/>
  <c r="J27" i="1" s="1"/>
  <c r="O27" i="1"/>
  <c r="N27" i="1"/>
  <c r="H64" i="1" s="1"/>
  <c r="H100" i="1" s="1"/>
  <c r="M27" i="1"/>
  <c r="L27" i="1"/>
  <c r="P27" i="1" s="1"/>
  <c r="K27" i="1"/>
  <c r="AB26" i="1"/>
  <c r="AA26" i="1"/>
  <c r="Z26" i="1"/>
  <c r="Y26" i="1"/>
  <c r="X26" i="1"/>
  <c r="W26" i="1"/>
  <c r="Q26" i="1"/>
  <c r="N26" i="1"/>
  <c r="I45" i="1" s="1"/>
  <c r="I81" i="1" s="1"/>
  <c r="M26" i="1"/>
  <c r="L26" i="1"/>
  <c r="P26" i="1" s="1"/>
  <c r="K26" i="1"/>
  <c r="J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A81" i="1" l="1"/>
  <c r="A99" i="1" s="1"/>
  <c r="G28" i="4"/>
  <c r="H28" i="4"/>
  <c r="E84" i="1"/>
  <c r="K48" i="1"/>
  <c r="K84" i="1" s="1"/>
  <c r="A74" i="1"/>
  <c r="A92" i="1"/>
  <c r="A110" i="1" s="1"/>
  <c r="J51" i="1"/>
  <c r="J87" i="1" s="1"/>
  <c r="A72" i="1"/>
  <c r="A90" i="1"/>
  <c r="A108" i="1" s="1"/>
  <c r="E100" i="1"/>
  <c r="K64" i="1"/>
  <c r="K100" i="1" s="1"/>
  <c r="K65" i="1"/>
  <c r="K101" i="1" s="1"/>
  <c r="J65" i="1"/>
  <c r="J101" i="1" s="1"/>
  <c r="I65" i="1"/>
  <c r="I101" i="1" s="1"/>
  <c r="H70" i="1"/>
  <c r="H106" i="1" s="1"/>
  <c r="J52" i="1"/>
  <c r="J88" i="1" s="1"/>
  <c r="O33" i="1"/>
  <c r="G83" i="1"/>
  <c r="M47" i="1"/>
  <c r="M83" i="1" s="1"/>
  <c r="L50" i="1"/>
  <c r="L86" i="1" s="1"/>
  <c r="M52" i="1"/>
  <c r="M88" i="1" s="1"/>
  <c r="A89" i="1"/>
  <c r="A107" i="1" s="1"/>
  <c r="A71" i="1"/>
  <c r="E93" i="1"/>
  <c r="K57" i="1"/>
  <c r="K93" i="1" s="1"/>
  <c r="A66" i="1"/>
  <c r="F93" i="1"/>
  <c r="I51" i="1"/>
  <c r="I87" i="1" s="1"/>
  <c r="I68" i="1"/>
  <c r="I104" i="1" s="1"/>
  <c r="L74" i="1"/>
  <c r="L110" i="1" s="1"/>
  <c r="F110" i="1"/>
  <c r="E81" i="1"/>
  <c r="G99" i="1"/>
  <c r="O32" i="1"/>
  <c r="B80" i="1"/>
  <c r="H44" i="1"/>
  <c r="E92" i="1"/>
  <c r="K56" i="1"/>
  <c r="K92" i="1" s="1"/>
  <c r="J68" i="1"/>
  <c r="J104" i="1" s="1"/>
  <c r="M74" i="1"/>
  <c r="M110" i="1" s="1"/>
  <c r="G110" i="1"/>
  <c r="B94" i="1"/>
  <c r="O29" i="1"/>
  <c r="J66" i="1"/>
  <c r="J102" i="1" s="1"/>
  <c r="H66" i="1"/>
  <c r="H102" i="1" s="1"/>
  <c r="J48" i="1"/>
  <c r="J84" i="1" s="1"/>
  <c r="O31" i="1"/>
  <c r="M75" i="1"/>
  <c r="M111" i="1" s="1"/>
  <c r="G111" i="1"/>
  <c r="A88" i="1"/>
  <c r="A106" i="1" s="1"/>
  <c r="A70" i="1"/>
  <c r="F44" i="1"/>
  <c r="F80" i="1" s="1"/>
  <c r="J47" i="1"/>
  <c r="J83" i="1" s="1"/>
  <c r="L48" i="1"/>
  <c r="L84" i="1" s="1"/>
  <c r="N52" i="1"/>
  <c r="N88" i="1" s="1"/>
  <c r="I57" i="1"/>
  <c r="I93" i="1" s="1"/>
  <c r="L58" i="1"/>
  <c r="L94" i="1" s="1"/>
  <c r="K68" i="1"/>
  <c r="K104" i="1" s="1"/>
  <c r="F100" i="1"/>
  <c r="I71" i="1"/>
  <c r="I107" i="1" s="1"/>
  <c r="H53" i="1"/>
  <c r="I54" i="1"/>
  <c r="I90" i="1" s="1"/>
  <c r="H54" i="1"/>
  <c r="J72" i="1"/>
  <c r="J108" i="1" s="1"/>
  <c r="R30" i="4"/>
  <c r="Q30" i="4"/>
  <c r="P30" i="4"/>
  <c r="O30" i="4"/>
  <c r="N30" i="4"/>
  <c r="M30" i="4"/>
  <c r="L52" i="1"/>
  <c r="L88" i="1" s="1"/>
  <c r="H48" i="1"/>
  <c r="H84" i="1" s="1"/>
  <c r="I48" i="1"/>
  <c r="I84" i="1" s="1"/>
  <c r="I44" i="1"/>
  <c r="L46" i="1"/>
  <c r="L82" i="1" s="1"/>
  <c r="M48" i="1"/>
  <c r="M84" i="1" s="1"/>
  <c r="E89" i="1"/>
  <c r="K53" i="1"/>
  <c r="K89" i="1" s="1"/>
  <c r="G91" i="1"/>
  <c r="M55" i="1"/>
  <c r="M91" i="1" s="1"/>
  <c r="E102" i="1"/>
  <c r="K66" i="1"/>
  <c r="K102" i="1" s="1"/>
  <c r="J71" i="1"/>
  <c r="J107" i="1" s="1"/>
  <c r="L76" i="1"/>
  <c r="L112" i="1" s="1"/>
  <c r="F112" i="1"/>
  <c r="R26" i="4"/>
  <c r="Q26" i="4"/>
  <c r="P26" i="4"/>
  <c r="O26" i="4"/>
  <c r="N26" i="4"/>
  <c r="M26" i="4"/>
  <c r="J69" i="1"/>
  <c r="J105" i="1" s="1"/>
  <c r="H69" i="1"/>
  <c r="H105" i="1" s="1"/>
  <c r="H72" i="1"/>
  <c r="H108" i="1" s="1"/>
  <c r="J63" i="1"/>
  <c r="J99" i="1" s="1"/>
  <c r="J45" i="1"/>
  <c r="J81" i="1" s="1"/>
  <c r="O26" i="1"/>
  <c r="O38" i="1"/>
  <c r="J75" i="1"/>
  <c r="J111" i="1" s="1"/>
  <c r="I75" i="1"/>
  <c r="I111" i="1" s="1"/>
  <c r="H57" i="1"/>
  <c r="H75" i="1"/>
  <c r="H111" i="1" s="1"/>
  <c r="M50" i="1"/>
  <c r="M86" i="1" s="1"/>
  <c r="E44" i="1"/>
  <c r="E80" i="1" s="1"/>
  <c r="H45" i="1"/>
  <c r="I58" i="1"/>
  <c r="I94" i="1" s="1"/>
  <c r="H58" i="1"/>
  <c r="H94" i="1" s="1"/>
  <c r="J76" i="1"/>
  <c r="J112" i="1" s="1"/>
  <c r="I76" i="1"/>
  <c r="I112" i="1" s="1"/>
  <c r="H76" i="1"/>
  <c r="H112" i="1" s="1"/>
  <c r="O39" i="1"/>
  <c r="J44" i="1"/>
  <c r="M46" i="1"/>
  <c r="M82" i="1" s="1"/>
  <c r="F89" i="1"/>
  <c r="L53" i="1"/>
  <c r="L89" i="1" s="1"/>
  <c r="H55" i="1"/>
  <c r="H91" i="1" s="1"/>
  <c r="G112" i="1"/>
  <c r="M76" i="1"/>
  <c r="M112" i="1" s="1"/>
  <c r="E88" i="1"/>
  <c r="K52" i="1"/>
  <c r="K88" i="1" s="1"/>
  <c r="J54" i="1"/>
  <c r="J90" i="1" s="1"/>
  <c r="A94" i="1"/>
  <c r="A112" i="1" s="1"/>
  <c r="A76" i="1"/>
  <c r="G109" i="1"/>
  <c r="M73" i="1"/>
  <c r="M109" i="1" s="1"/>
  <c r="A82" i="1"/>
  <c r="A100" i="1" s="1"/>
  <c r="A64" i="1"/>
  <c r="I53" i="1"/>
  <c r="I89" i="1" s="1"/>
  <c r="J55" i="1"/>
  <c r="J91" i="1" s="1"/>
  <c r="H63" i="1"/>
  <c r="H99" i="1" s="1"/>
  <c r="I66" i="1"/>
  <c r="I102" i="1" s="1"/>
  <c r="E108" i="1"/>
  <c r="K72" i="1"/>
  <c r="K108" i="1" s="1"/>
  <c r="R28" i="4"/>
  <c r="Q28" i="4"/>
  <c r="P28" i="4"/>
  <c r="O28" i="4"/>
  <c r="N28" i="4"/>
  <c r="M28" i="4"/>
  <c r="O35" i="1"/>
  <c r="K49" i="1"/>
  <c r="K85" i="1" s="1"/>
  <c r="E85" i="1"/>
  <c r="G87" i="1"/>
  <c r="M51" i="1"/>
  <c r="M87" i="1" s="1"/>
  <c r="J53" i="1"/>
  <c r="J89" i="1" s="1"/>
  <c r="A75" i="1"/>
  <c r="A93" i="1"/>
  <c r="A111" i="1" s="1"/>
  <c r="L62" i="1"/>
  <c r="L98" i="1" s="1"/>
  <c r="I98" i="1"/>
  <c r="I63" i="1"/>
  <c r="I99" i="1" s="1"/>
  <c r="J70" i="1"/>
  <c r="J106" i="1" s="1"/>
  <c r="O34" i="1"/>
  <c r="H68" i="1"/>
  <c r="H104" i="1" s="1"/>
  <c r="I50" i="1"/>
  <c r="I86" i="1" s="1"/>
  <c r="H50" i="1"/>
  <c r="J73" i="1"/>
  <c r="J109" i="1" s="1"/>
  <c r="I73" i="1"/>
  <c r="I109" i="1" s="1"/>
  <c r="O36" i="1"/>
  <c r="L49" i="1"/>
  <c r="L85" i="1" s="1"/>
  <c r="F85" i="1"/>
  <c r="H51" i="1"/>
  <c r="H87" i="1" s="1"/>
  <c r="L75" i="1"/>
  <c r="L111" i="1" s="1"/>
  <c r="F111" i="1"/>
  <c r="D80" i="1"/>
  <c r="J56" i="1"/>
  <c r="J92" i="1" s="1"/>
  <c r="H74" i="1"/>
  <c r="H110" i="1" s="1"/>
  <c r="R29" i="4"/>
  <c r="Q29" i="4"/>
  <c r="P29" i="4"/>
  <c r="O29" i="4"/>
  <c r="N29" i="4"/>
  <c r="H49" i="1"/>
  <c r="H85" i="1" s="1"/>
  <c r="N55" i="1"/>
  <c r="N91" i="1" s="1"/>
  <c r="P22" i="4"/>
  <c r="O22" i="4"/>
  <c r="N22" i="4"/>
  <c r="M22" i="4"/>
  <c r="R27" i="4"/>
  <c r="Q27" i="4"/>
  <c r="P27" i="4"/>
  <c r="O27" i="4"/>
  <c r="N27" i="4"/>
  <c r="M27" i="4"/>
  <c r="B6" i="8"/>
  <c r="B10" i="11"/>
  <c r="L72" i="1"/>
  <c r="L108" i="1" s="1"/>
  <c r="K73" i="1"/>
  <c r="K109" i="1" s="1"/>
  <c r="Q31" i="4"/>
  <c r="P31" i="4"/>
  <c r="O31" i="4"/>
  <c r="N31" i="4"/>
  <c r="M31" i="4"/>
  <c r="F20" i="3"/>
  <c r="F21" i="3" s="1"/>
  <c r="Q23" i="4"/>
  <c r="P23" i="4"/>
  <c r="O23" i="4"/>
  <c r="N23" i="4"/>
  <c r="M23" i="4"/>
  <c r="H46" i="1"/>
  <c r="N48" i="1"/>
  <c r="N84" i="1" s="1"/>
  <c r="N56" i="1"/>
  <c r="N92" i="1" s="1"/>
  <c r="I67" i="1"/>
  <c r="I103" i="1" s="1"/>
  <c r="Q22" i="4"/>
  <c r="I46" i="1"/>
  <c r="I82" i="1" s="1"/>
  <c r="R22" i="4"/>
  <c r="R31" i="4"/>
  <c r="R33" i="4"/>
  <c r="Q33" i="4"/>
  <c r="P33" i="4"/>
  <c r="O33" i="4"/>
  <c r="N33" i="4"/>
  <c r="M33" i="4"/>
  <c r="R24" i="4"/>
  <c r="Q24" i="4"/>
  <c r="P24" i="4"/>
  <c r="O24" i="4"/>
  <c r="N24" i="4"/>
  <c r="M24" i="4"/>
  <c r="F104" i="1"/>
  <c r="R25" i="4"/>
  <c r="Q25" i="4"/>
  <c r="P25" i="4"/>
  <c r="O25" i="4"/>
  <c r="N25" i="4"/>
  <c r="M25" i="4"/>
  <c r="B8" i="8"/>
  <c r="B5" i="8"/>
  <c r="B9" i="8"/>
  <c r="L44" i="3" l="1"/>
  <c r="M44" i="3" s="1"/>
  <c r="L39" i="3"/>
  <c r="M39" i="3" s="1"/>
  <c r="L38" i="3"/>
  <c r="M38" i="3" s="1"/>
  <c r="L34" i="3"/>
  <c r="M34" i="3" s="1"/>
  <c r="L30" i="3"/>
  <c r="M30" i="3" s="1"/>
  <c r="L40" i="3"/>
  <c r="M40" i="3" s="1"/>
  <c r="L41" i="3"/>
  <c r="M41" i="3" s="1"/>
  <c r="L35" i="3"/>
  <c r="M35" i="3" s="1"/>
  <c r="L31" i="3"/>
  <c r="M31" i="3" s="1"/>
  <c r="L42" i="3"/>
  <c r="M42" i="3" s="1"/>
  <c r="L36" i="3"/>
  <c r="M36" i="3" s="1"/>
  <c r="L32" i="3"/>
  <c r="M32" i="3" s="1"/>
  <c r="L43" i="3"/>
  <c r="M43" i="3" s="1"/>
  <c r="L37" i="3"/>
  <c r="M37" i="3" s="1"/>
  <c r="L33" i="3"/>
  <c r="M33" i="3" s="1"/>
  <c r="L29" i="3"/>
  <c r="M29" i="3" s="1"/>
  <c r="H30" i="4"/>
  <c r="G30" i="4"/>
  <c r="H93" i="1"/>
  <c r="N57" i="1"/>
  <c r="N93" i="1" s="1"/>
  <c r="J80" i="1"/>
  <c r="M44" i="1"/>
  <c r="M80" i="1" s="1"/>
  <c r="H90" i="1"/>
  <c r="N54" i="1"/>
  <c r="N90" i="1" s="1"/>
  <c r="I80" i="1"/>
  <c r="L44" i="1"/>
  <c r="L80" i="1" s="1"/>
  <c r="N51" i="1"/>
  <c r="N87" i="1" s="1"/>
  <c r="H25" i="4"/>
  <c r="G25" i="4"/>
  <c r="H23" i="4"/>
  <c r="G23" i="4"/>
  <c r="H82" i="1"/>
  <c r="N46" i="1"/>
  <c r="N82" i="1" s="1"/>
  <c r="H21" i="4"/>
  <c r="G21" i="4"/>
  <c r="H86" i="1"/>
  <c r="N50" i="1"/>
  <c r="N86" i="1" s="1"/>
  <c r="H89" i="1"/>
  <c r="N53" i="1"/>
  <c r="N89" i="1" s="1"/>
  <c r="E10" i="8"/>
  <c r="E6" i="8"/>
  <c r="F9" i="8"/>
  <c r="F5" i="8"/>
  <c r="E9" i="8"/>
  <c r="E5" i="8"/>
  <c r="F12" i="8"/>
  <c r="F8" i="8"/>
  <c r="E12" i="8"/>
  <c r="E8" i="8"/>
  <c r="F11" i="8"/>
  <c r="F7" i="8"/>
  <c r="E11" i="8"/>
  <c r="E7" i="8"/>
  <c r="F6" i="8"/>
  <c r="F10" i="8"/>
  <c r="H22" i="4"/>
  <c r="G22" i="4"/>
  <c r="H26" i="4"/>
  <c r="G26" i="4"/>
  <c r="K44" i="1"/>
  <c r="K80" i="1" s="1"/>
  <c r="H80" i="1"/>
  <c r="H24" i="4"/>
  <c r="G24" i="4"/>
  <c r="H29" i="4"/>
  <c r="G29" i="4"/>
  <c r="H27" i="4"/>
  <c r="G27" i="4"/>
  <c r="H81" i="1"/>
  <c r="N45" i="1"/>
  <c r="N81" i="1" s="1"/>
  <c r="N49" i="1"/>
  <c r="N85" i="1" s="1"/>
  <c r="N58" i="1"/>
  <c r="N94" i="1" s="1"/>
  <c r="H36" i="3" l="1"/>
  <c r="N36" i="3"/>
  <c r="H31" i="3"/>
  <c r="N31" i="3"/>
  <c r="H35" i="3"/>
  <c r="N35" i="3"/>
  <c r="H41" i="3"/>
  <c r="N41" i="3"/>
  <c r="H32" i="3"/>
  <c r="N32" i="3"/>
  <c r="N40" i="3"/>
  <c r="Q40" i="3"/>
  <c r="R40" i="3" s="1"/>
  <c r="H40" i="3"/>
  <c r="H42" i="3"/>
  <c r="N42" i="3"/>
  <c r="H30" i="3"/>
  <c r="N30" i="3"/>
  <c r="H29" i="3"/>
  <c r="N29" i="3"/>
  <c r="N34" i="3"/>
  <c r="H34" i="3"/>
  <c r="H33" i="3"/>
  <c r="N33" i="3"/>
  <c r="Q38" i="3"/>
  <c r="R38" i="3" s="1"/>
  <c r="H38" i="3"/>
  <c r="N38" i="3"/>
  <c r="H37" i="3"/>
  <c r="N37" i="3"/>
  <c r="Q39" i="3"/>
  <c r="R39" i="3" s="1"/>
  <c r="H39" i="3"/>
  <c r="N39" i="3"/>
  <c r="H43" i="3"/>
  <c r="N43" i="3"/>
  <c r="H44" i="3"/>
  <c r="N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4" authorId="0" shapeId="0" xr:uid="{00000000-0006-0000-00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2" authorId="0" shapeId="0" xr:uid="{00000000-0006-0000-01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 xr:uid="{00000000-0006-0000-01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27" authorId="0" shapeId="0" xr:uid="{00000000-0006-0000-02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2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2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2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2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200-000006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L11" authorId="0" shapeId="0" xr:uid="{00000000-0006-0000-0300-00000B000000}">
      <text>
        <r>
          <rPr>
            <sz val="10"/>
            <rFont val="Arial"/>
            <family val="2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300-000007000000}">
      <text>
        <r>
          <rPr>
            <sz val="10"/>
            <rFont val="Arial"/>
            <family val="2"/>
          </rPr>
          <t>Source to detector distance for reference exposure</t>
        </r>
      </text>
    </comment>
    <comment ref="G14" authorId="0" shapeId="0" xr:uid="{00000000-0006-0000-0300-000009000000}">
      <text>
        <r>
          <rPr>
            <sz val="10"/>
            <rFont val="Arial"/>
            <family val="2"/>
          </rPr>
          <t>Reference exposure</t>
        </r>
      </text>
    </comment>
    <comment ref="C15" authorId="0" shapeId="0" xr:uid="{00000000-0006-0000-0300-000001000000}">
      <text>
        <r>
          <rPr>
            <sz val="10"/>
            <rFont val="Arial"/>
            <family val="2"/>
          </rPr>
          <t>kVp used for reference exposure</t>
        </r>
      </text>
    </comment>
    <comment ref="D15" authorId="0" shapeId="0" xr:uid="{00000000-0006-0000-0300-000003000000}">
      <text>
        <r>
          <rPr>
            <sz val="10"/>
            <rFont val="Arial"/>
            <family val="2"/>
          </rPr>
          <t>mA used for reference exposure</t>
        </r>
      </text>
    </comment>
    <comment ref="E15" authorId="0" shapeId="0" xr:uid="{00000000-0006-0000-0300-000005000000}">
      <text>
        <r>
          <rPr>
            <sz val="10"/>
            <rFont val="Arial"/>
            <family val="2"/>
          </rPr>
          <t>mAs uesd for reference exposure</t>
        </r>
      </text>
    </comment>
    <comment ref="F18" authorId="0" shapeId="0" xr:uid="{00000000-0006-0000-0300-000008000000}">
      <text>
        <r>
          <rPr>
            <sz val="10"/>
            <rFont val="Arial"/>
            <family val="2"/>
          </rPr>
          <t>Transmission = Transmitted exposure/Incident exposure</t>
        </r>
      </text>
    </comment>
    <comment ref="C19" authorId="0" shapeId="0" xr:uid="{00000000-0006-0000-0300-000002000000}">
      <text>
        <r>
          <rPr>
            <sz val="10"/>
            <rFont val="Arial"/>
            <family val="2"/>
          </rPr>
          <t>Source to barrier distance</t>
        </r>
      </text>
    </comment>
    <comment ref="D19" authorId="0" shapeId="0" xr:uid="{00000000-0006-0000-0300-000004000000}">
      <text>
        <r>
          <rPr>
            <sz val="10"/>
            <rFont val="Arial"/>
            <family val="2"/>
          </rPr>
          <t>Incident exposure at barrier</t>
        </r>
      </text>
    </comment>
    <comment ref="E19" authorId="0" shapeId="0" xr:uid="{00000000-0006-0000-0300-000006000000}">
      <text>
        <r>
          <rPr>
            <sz val="10"/>
            <rFont val="Arial"/>
            <family val="2"/>
          </rPr>
          <t>Transmitted exposure at barrier</t>
        </r>
      </text>
    </comment>
    <comment ref="G19" authorId="0" shapeId="0" xr:uid="{00000000-0006-0000-0300-00000A000000}">
      <text>
        <r>
          <rPr>
            <sz val="10"/>
            <rFont val="Arial"/>
            <family val="2"/>
          </rPr>
          <t>Barrier lead equivalent (mm)</t>
        </r>
      </text>
    </comment>
    <comment ref="L20" authorId="0" shapeId="0" xr:uid="{00000000-0006-0000-0300-00000C000000}">
      <text>
        <r>
          <rPr>
            <sz val="10"/>
            <rFont val="Arial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<sst xmlns="http://schemas.openxmlformats.org/spreadsheetml/2006/main" count="764" uniqueCount="322">
  <si>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</si>
  <si>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</si>
  <si>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</si>
  <si>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</si>
  <si>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</si>
  <si>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</si>
  <si>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</si>
  <si>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</si>
  <si>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</si>
  <si>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</si>
  <si>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Eugene Mah, M.Sc.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</si>
  <si>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</si>
  <si>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</si>
  <si>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</si>
  <si>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</si>
  <si>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</si>
  <si>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</si>
  <si>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</si>
  <si>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</si>
  <si>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</si>
  <si>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</si>
  <si>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</si>
  <si>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</si>
  <si>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</si>
  <si>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</si>
  <si>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</si>
  <si>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</si>
  <si>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</si>
  <si>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</si>
  <si>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</si>
  <si>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</si>
  <si>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</si>
  <si>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</si>
  <si>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</si>
  <si>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</si>
  <si>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</si>
  <si>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</si>
  <si>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</si>
  <si>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</si>
  <si>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</si>
  <si>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</si>
  <si>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</si>
  <si>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</si>
  <si>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</si>
  <si>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</si>
  <si>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</si>
  <si>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</si>
  <si>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</si>
  <si>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</si>
  <si>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</si>
  <si>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</si>
  <si>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</si>
  <si>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</si>
  <si>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</si>
  <si>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</si>
  <si>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</si>
  <si>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</si>
  <si>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</si>
  <si>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</si>
  <si>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</si>
  <si>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</si>
  <si>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</si>
  <si>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</si>
  <si>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</si>
  <si>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</si>
  <si>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</si>
  <si>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</si>
  <si>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</si>
  <si>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</si>
  <si>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</si>
  <si>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</si>
  <si>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</si>
  <si>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</si>
  <si>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</si>
  <si>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</si>
  <si>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</si>
  <si>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</si>
  <si>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</si>
  <si>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</si>
  <si>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</si>
  <si>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</si>
  <si>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</si>
  <si>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</si>
  <si>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</si>
  <si>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</si>
  <si>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</si>
  <si>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</si>
  <si>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</si>
  <si>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</si>
  <si>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</si>
  <si>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</si>
  <si>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</si>
  <si>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</si>
  <si>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</si>
  <si>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</si>
  <si>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</si>
  <si>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</si>
  <si>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</si>
  <si>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</si>
  <si>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</si>
  <si>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</si>
  <si>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</si>
  <si>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</si>
  <si>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Secondary</t>
  </si>
  <si>
    <t>Wnorm</t>
  </si>
  <si>
    <t>Kp</t>
  </si>
  <si>
    <t>Ksec</t>
  </si>
  <si>
    <t>b/a</t>
  </si>
  <si>
    <t>ag</t>
  </si>
  <si>
    <t>Table</t>
  </si>
  <si>
    <t>Wall</t>
  </si>
  <si>
    <t>All</t>
  </si>
  <si>
    <t>Fluoro</t>
  </si>
  <si>
    <t>RF Rad</t>
  </si>
  <si>
    <t>Pts/wk</t>
  </si>
  <si>
    <t>Mean DAP/pt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</si>
  <si>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</si>
  <si>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</si>
  <si>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</si>
  <si>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</si>
  <si>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</si>
  <si>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</si>
  <si>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</si>
  <si>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</si>
  <si>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</si>
  <si>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</si>
  <si>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</si>
  <si>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</si>
  <si>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</si>
  <si>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</si>
  <si>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</si>
  <si>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</si>
  <si>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</si>
  <si>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</si>
  <si>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</si>
  <si>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</si>
  <si>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</si>
  <si>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</si>
  <si>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</si>
  <si>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</si>
  <si>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</si>
  <si>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</si>
  <si>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</si>
  <si>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MUSC</t>
  </si>
  <si>
    <t>Design Method</t>
  </si>
  <si>
    <t>169 Ashley Ave</t>
  </si>
  <si>
    <t>Siemens template (attached) gives the scatter air kerma (uGy) at various distances per mAs rotation.</t>
  </si>
  <si>
    <t>Charleston, SC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</si>
  <si>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</si>
  <si>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</si>
  <si>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</si>
  <si>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</si>
  <si>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</si>
  <si>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Location</t>
  </si>
  <si>
    <t>MUH 374</t>
  </si>
  <si>
    <t>Interlocks and Warnings</t>
  </si>
  <si>
    <t>CAP length (m)</t>
  </si>
  <si>
    <t>RHB 4.11.2.4 Requires door interlocks to prevent the initiation of a scan when the CT room door is open.</t>
  </si>
  <si>
    <t>Pitch</t>
  </si>
  <si>
    <t>Doors A will be interlocked</t>
  </si>
  <si>
    <t>Collimation (cm)</t>
  </si>
  <si>
    <t>Uses</t>
  </si>
  <si>
    <t>Percent Workload</t>
  </si>
  <si>
    <t>Rotations</t>
  </si>
  <si>
    <t>RHB 4.11.2.3 Requires booth areas in the first scatter to be marked</t>
  </si>
  <si>
    <t>There do not seem to be areas affected by 4.11.2.3 in this design</t>
  </si>
  <si>
    <t>This will be verified on installation</t>
  </si>
  <si>
    <t>Workload</t>
  </si>
  <si>
    <t>Design Limits</t>
  </si>
  <si>
    <t>Patients per day</t>
  </si>
  <si>
    <t>Rotations per week</t>
  </si>
  <si>
    <t>Occupational</t>
  </si>
  <si>
    <t>mGy/year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</si>
  <si>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</si>
  <si>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</si>
  <si>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</si>
  <si>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</si>
  <si>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</si>
  <si>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</si>
  <si>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</si>
  <si>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</si>
  <si>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</si>
  <si>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</si>
  <si>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</si>
  <si>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</si>
  <si>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</si>
  <si>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</si>
  <si>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</si>
  <si>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</si>
  <si>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</si>
  <si>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</si>
  <si>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Inv Sq to barrier</t>
  </si>
  <si>
    <t>at Barrier</t>
  </si>
  <si>
    <t>Designation</t>
  </si>
  <si>
    <t>(m)</t>
  </si>
  <si>
    <t>Occupancy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</si>
  <si>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</si>
  <si>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</si>
  <si>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Dist (m)</t>
  </si>
  <si>
    <t>(mm)</t>
  </si>
  <si>
    <t>mGy/mAs</t>
  </si>
  <si>
    <t>Transmission</t>
  </si>
  <si>
    <t>mm Pb</t>
  </si>
  <si>
    <t>mm Conc</t>
  </si>
  <si>
    <t>LW concrete thickness</t>
  </si>
  <si>
    <t>Eugene Mah, Ph.D.</t>
  </si>
  <si>
    <t>Certified Radiological Physicist</t>
  </si>
  <si>
    <t>Shielding Evaluation</t>
  </si>
  <si>
    <t>Revision 1.0.2.25032002</t>
  </si>
  <si>
    <t>MUSC Health West SK1143J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</si>
  <si>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</si>
  <si>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</si>
  <si>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</si>
  <si>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</si>
  <si>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</si>
  <si>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</si>
  <si>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</si>
  <si>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</si>
  <si>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</si>
  <si>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</si>
  <si>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</si>
  <si>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</si>
  <si>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</si>
  <si>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</si>
  <si>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</si>
  <si>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</si>
  <si>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</si>
  <si>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</si>
  <si>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</si>
  <si>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</si>
  <si>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Eugene Mah, Ph.D., DABR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</si>
  <si>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</si>
  <si>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</si>
  <si>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</si>
  <si>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</si>
  <si>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</si>
  <si>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</si>
  <si>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</si>
  <si>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</si>
  <si>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</si>
  <si>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</si>
  <si>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</si>
  <si>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</si>
  <si>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</si>
  <si>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</si>
  <si>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</si>
  <si>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</si>
  <si>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</si>
  <si>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</si>
  <si>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</si>
  <si>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</si>
  <si>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</si>
  <si>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</si>
  <si>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</si>
  <si>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</si>
  <si>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</si>
  <si>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</si>
  <si>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</si>
  <si>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</si>
  <si>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</si>
  <si>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</si>
  <si>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</si>
  <si>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</si>
  <si>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</si>
  <si>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</si>
  <si>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</si>
  <si>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</si>
  <si>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</si>
  <si>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</si>
  <si>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</si>
  <si>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</si>
  <si>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</si>
  <si>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</si>
  <si>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</si>
  <si>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</si>
  <si>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</si>
  <si>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</si>
  <si>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</si>
  <si>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</si>
  <si>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</si>
  <si>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</si>
  <si>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</si>
  <si>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</si>
  <si>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</si>
  <si>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</si>
  <si>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</si>
  <si>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</si>
  <si>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</si>
  <si>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</si>
  <si>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</si>
  <si>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</si>
  <si>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</si>
  <si>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</si>
  <si>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</si>
  <si>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</si>
  <si>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</si>
  <si>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</si>
  <si>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</si>
  <si>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</si>
  <si>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</si>
  <si>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</si>
  <si>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</si>
  <si>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</si>
  <si>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</si>
  <si>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</si>
  <si>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</si>
  <si>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</si>
  <si>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</si>
  <si>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</si>
  <si>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</si>
  <si>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</si>
  <si>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</si>
  <si>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</si>
  <si>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</si>
  <si>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</si>
  <si>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</si>
  <si>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</si>
  <si>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</si>
  <si>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</si>
  <si>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</si>
  <si>
    <t>Transmission of CT scanner secondary radiation through lead and concrete (NCRP 147 Fig A2, A3)</t>
  </si>
  <si>
    <t>Fit parameters from NCRP 147 Fig A2/A3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</si>
</sst>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''&quot;"/>
    <numFmt numFmtId="165" formatCode="0.000000000"/>
    <numFmt numFmtId="166" formatCode="#\ ##?/##?&quot;''&quot;"/>
    <numFmt numFmtId="167" formatCode="#\ ???/???&quot; ''&quot;"/>
    <numFmt numFmtId="168" formatCode="0.00000"/>
    <numFmt numFmtId="169" formatCode="0.000"/>
    <numFmt numFmtId="170" formatCode="0.00000000"/>
    <numFmt numFmtId="171" formatCode="0.0"/>
    <numFmt numFmtId="172" formatCode="0.000E+00"/>
    <numFmt numFmtId="173" formatCode="#\ #?/##?&quot;''&quot;"/>
    <numFmt numFmtId="174" formatCode="0.0000"/>
    <numFmt numFmtId="175" formatCode="[$-409]d\-mmm\-yyyy;@"/>
    <numFmt numFmtId="176" formatCode="#\ ???/???"/>
  </numFmts>
  <fonts count="21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99"/>
        <bgColor rgb="FFFFEB9C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20" fillId="0" borderId="0">
      <alignment horizontal="center"/>
    </xf>
    <xf numFmtId="0" fontId="20" fillId="0" borderId="0">
      <alignment horizontal="center"/>
    </xf>
    <xf numFmtId="0" fontId="1" fillId="0" borderId="0"/>
    <xf numFmtId="9" fontId="20" fillId="0" borderId="0" applyBorder="0" applyProtection="0">
      <alignment horizontal="center"/>
    </xf>
  </cellStyleXfs>
  <cellXfs count="248">
    <xf numFmtId="0" fontId="0" fillId="0" borderId="0" xfId="0">
      <alignment horizontal="center"/>
    </xf>
    <xf numFmtId="0" fontId="20" fillId="0" borderId="0" xfId="2">
      <alignment horizontal="center"/>
    </xf>
    <xf numFmtId="0" fontId="0" fillId="0" borderId="12" xfId="0" applyBorder="1">
      <alignment horizontal="center"/>
    </xf>
    <xf numFmtId="0" fontId="0" fillId="0" borderId="7" xfId="0" applyBorder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0" fontId="4" fillId="0" borderId="0" xfId="0" applyFon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>
      <alignment horizontal="center"/>
    </xf>
    <xf numFmtId="15" fontId="0" fillId="2" borderId="1" xfId="0" applyNumberFormat="1" applyFill="1" applyBorder="1" applyProtection="1">
      <alignment horizontal="center"/>
      <protection locked="0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horizontal="left"/>
    </xf>
    <xf numFmtId="0" fontId="0" fillId="0" borderId="2" xfId="0" applyBorder="1">
      <alignment horizontal="center"/>
    </xf>
    <xf numFmtId="14" fontId="0" fillId="0" borderId="0" xfId="0" applyNumberFormat="1">
      <alignment horizontal="center"/>
    </xf>
    <xf numFmtId="164" fontId="0" fillId="0" borderId="0" xfId="0" applyNumberFormat="1">
      <alignment horizontal="center"/>
    </xf>
    <xf numFmtId="165" fontId="0" fillId="0" borderId="0" xfId="0" applyNumberFormat="1">
      <alignment horizontal="center"/>
    </xf>
    <xf numFmtId="166" fontId="0" fillId="0" borderId="0" xfId="0" applyNumberFormat="1">
      <alignment horizontal="center"/>
    </xf>
    <xf numFmtId="0" fontId="0" fillId="2" borderId="3" xfId="0" applyFill="1" applyBorder="1" applyProtection="1">
      <alignment horizontal="center"/>
      <protection locked="0"/>
    </xf>
    <xf numFmtId="167" fontId="0" fillId="0" borderId="0" xfId="0" applyNumberFormat="1">
      <alignment horizontal="center"/>
    </xf>
    <xf numFmtId="168" fontId="0" fillId="0" borderId="0" xfId="0" applyNumberFormat="1">
      <alignment horizontal="center"/>
    </xf>
    <xf numFmtId="0" fontId="20" fillId="2" borderId="1" xfId="3" applyFill="1" applyBorder="1" applyProtection="1">
      <alignment horizontal="center"/>
      <protection locked="0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4" xfId="0" applyBorder="1">
      <alignment horizontal="center"/>
    </xf>
    <xf numFmtId="0" fontId="0" fillId="0" borderId="5" xfId="0" applyBorder="1">
      <alignment horizontal="center"/>
    </xf>
    <xf numFmtId="0" fontId="0" fillId="0" borderId="6" xfId="0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6" fillId="0" borderId="0" xfId="0" applyFont="1" applyAlignment="1">
      <alignment horizontal="left"/>
    </xf>
    <xf numFmtId="0" fontId="0" fillId="0" borderId="13" xfId="0" applyBorder="1">
      <alignment horizontal="center"/>
    </xf>
    <xf numFmtId="0" fontId="7" fillId="0" borderId="10" xfId="0" applyFont="1" applyBorder="1">
      <alignment horizontal="center"/>
    </xf>
    <xf numFmtId="169" fontId="0" fillId="0" borderId="0" xfId="0" applyNumberFormat="1">
      <alignment horizontal="center"/>
    </xf>
    <xf numFmtId="0" fontId="0" fillId="0" borderId="14" xfId="0" applyBorder="1">
      <alignment horizontal="center"/>
    </xf>
    <xf numFmtId="2" fontId="0" fillId="3" borderId="15" xfId="0" applyNumberFormat="1" applyFill="1" applyBorder="1">
      <alignment horizontal="center"/>
    </xf>
    <xf numFmtId="11" fontId="0" fillId="0" borderId="12" xfId="0" applyNumberFormat="1" applyBorder="1">
      <alignment horizontal="center"/>
    </xf>
    <xf numFmtId="11" fontId="0" fillId="0" borderId="13" xfId="0" applyNumberFormat="1" applyBorder="1">
      <alignment horizontal="center"/>
    </xf>
    <xf numFmtId="3" fontId="0" fillId="0" borderId="14" xfId="0" applyNumberForma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ill="1" applyBorder="1">
      <alignment horizontal="center"/>
    </xf>
    <xf numFmtId="11" fontId="0" fillId="3" borderId="13" xfId="0" applyNumberFormat="1" applyFill="1" applyBorder="1">
      <alignment horizontal="center"/>
    </xf>
    <xf numFmtId="170" fontId="0" fillId="0" borderId="0" xfId="0" applyNumberFormat="1">
      <alignment horizontal="center"/>
    </xf>
    <xf numFmtId="171" fontId="0" fillId="2" borderId="15" xfId="0" applyNumberForma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172" fontId="0" fillId="0" borderId="2" xfId="0" applyNumberFormat="1" applyBorder="1">
      <alignment horizontal="center"/>
    </xf>
    <xf numFmtId="172" fontId="0" fillId="0" borderId="0" xfId="0" applyNumberFormat="1">
      <alignment horizontal="center"/>
    </xf>
    <xf numFmtId="169" fontId="0" fillId="2" borderId="15" xfId="0" applyNumberFormat="1" applyFill="1" applyBorder="1" applyProtection="1">
      <alignment horizontal="center"/>
      <protection locked="0"/>
    </xf>
    <xf numFmtId="0" fontId="0" fillId="0" borderId="10" xfId="0" applyBorder="1" applyProtection="1">
      <alignment horizontal="center"/>
      <protection hidden="1"/>
    </xf>
    <xf numFmtId="0" fontId="0" fillId="2" borderId="14" xfId="0" applyFill="1" applyBorder="1" applyProtection="1">
      <alignment horizontal="center"/>
      <protection locked="0"/>
    </xf>
    <xf numFmtId="0" fontId="0" fillId="2" borderId="15" xfId="0" applyFill="1" applyBorder="1" applyProtection="1">
      <alignment horizontal="center"/>
      <protection locked="0"/>
    </xf>
    <xf numFmtId="0" fontId="0" fillId="3" borderId="15" xfId="0" applyFill="1" applyBorder="1">
      <alignment horizontal="center"/>
    </xf>
    <xf numFmtId="11" fontId="0" fillId="3" borderId="15" xfId="0" applyNumberFormat="1" applyFill="1" applyBorder="1">
      <alignment horizontal="center"/>
    </xf>
    <xf numFmtId="1" fontId="0" fillId="3" borderId="15" xfId="0" applyNumberFormat="1" applyFill="1" applyBorder="1">
      <alignment horizontal="center"/>
    </xf>
    <xf numFmtId="1" fontId="0" fillId="0" borderId="15" xfId="0" applyNumberFormat="1" applyBorder="1">
      <alignment horizontal="center"/>
    </xf>
    <xf numFmtId="0" fontId="0" fillId="0" borderId="15" xfId="0" applyBorder="1" applyProtection="1">
      <alignment horizontal="center"/>
      <protection hidden="1"/>
    </xf>
    <xf numFmtId="0" fontId="0" fillId="4" borderId="7" xfId="0" applyFill="1" applyBorder="1">
      <alignment horizontal="center"/>
    </xf>
    <xf numFmtId="0" fontId="0" fillId="0" borderId="17" xfId="0" applyBorder="1">
      <alignment horizontal="center"/>
    </xf>
    <xf numFmtId="11" fontId="0" fillId="0" borderId="18" xfId="0" applyNumberFormat="1" applyBorder="1">
      <alignment horizontal="center"/>
    </xf>
    <xf numFmtId="11" fontId="0" fillId="0" borderId="19" xfId="0" applyNumberFormat="1" applyBorder="1">
      <alignment horizontal="center"/>
    </xf>
    <xf numFmtId="0" fontId="0" fillId="2" borderId="10" xfId="0" applyFill="1" applyBorder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15" fontId="0" fillId="0" borderId="0" xfId="0" applyNumberFormat="1">
      <alignment horizontal="center"/>
    </xf>
    <xf numFmtId="0" fontId="0" fillId="0" borderId="7" xfId="0" applyBorder="1" applyAlignment="1">
      <alignment horizontal="left"/>
    </xf>
    <xf numFmtId="0" fontId="6" fillId="0" borderId="7" xfId="0" applyFont="1" applyBorder="1">
      <alignment horizontal="center"/>
    </xf>
    <xf numFmtId="3" fontId="0" fillId="0" borderId="10" xfId="0" applyNumberFormat="1" applyBorder="1">
      <alignment horizontal="center"/>
    </xf>
    <xf numFmtId="3" fontId="0" fillId="0" borderId="11" xfId="0" applyNumberFormat="1" applyBorder="1">
      <alignment horizontal="center"/>
    </xf>
    <xf numFmtId="169" fontId="0" fillId="0" borderId="23" xfId="0" applyNumberFormat="1" applyBorder="1">
      <alignment horizontal="center"/>
    </xf>
    <xf numFmtId="169" fontId="0" fillId="0" borderId="15" xfId="0" applyNumberFormat="1" applyBorder="1">
      <alignment horizontal="center"/>
    </xf>
    <xf numFmtId="169" fontId="0" fillId="0" borderId="24" xfId="0" applyNumberFormat="1" applyBorder="1">
      <alignment horizontal="center"/>
    </xf>
    <xf numFmtId="169" fontId="0" fillId="4" borderId="15" xfId="0" applyNumberFormat="1" applyFill="1" applyBorder="1">
      <alignment horizontal="center"/>
    </xf>
    <xf numFmtId="173" fontId="0" fillId="0" borderId="23" xfId="0" applyNumberForma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Border="1">
      <alignment horizontal="center"/>
    </xf>
    <xf numFmtId="171" fontId="0" fillId="0" borderId="12" xfId="0" applyNumberFormat="1" applyBorder="1">
      <alignment horizontal="center"/>
    </xf>
    <xf numFmtId="169" fontId="0" fillId="0" borderId="12" xfId="0" applyNumberFormat="1" applyBorder="1">
      <alignment horizontal="center"/>
    </xf>
    <xf numFmtId="2" fontId="0" fillId="0" borderId="7" xfId="0" applyNumberFormat="1" applyBorder="1">
      <alignment horizontal="center"/>
    </xf>
    <xf numFmtId="174" fontId="0" fillId="0" borderId="12" xfId="0" applyNumberFormat="1" applyBorder="1">
      <alignment horizontal="center"/>
    </xf>
    <xf numFmtId="2" fontId="0" fillId="0" borderId="13" xfId="0" applyNumberFormat="1" applyBorder="1">
      <alignment horizontal="center"/>
    </xf>
    <xf numFmtId="169" fontId="0" fillId="0" borderId="7" xfId="0" applyNumberFormat="1" applyBorder="1" applyAlignment="1">
      <alignment horizontal="left"/>
    </xf>
    <xf numFmtId="169" fontId="0" fillId="0" borderId="9" xfId="0" applyNumberFormat="1" applyBorder="1">
      <alignment horizontal="center"/>
    </xf>
    <xf numFmtId="169" fontId="0" fillId="0" borderId="10" xfId="0" applyNumberFormat="1" applyBorder="1">
      <alignment horizontal="center"/>
    </xf>
    <xf numFmtId="0" fontId="0" fillId="0" borderId="25" xfId="0" applyBorder="1">
      <alignment horizontal="center"/>
    </xf>
    <xf numFmtId="0" fontId="0" fillId="0" borderId="26" xfId="0" applyBorder="1">
      <alignment horizontal="center"/>
    </xf>
    <xf numFmtId="0" fontId="20" fillId="0" borderId="0" xfId="2" applyAlignment="1">
      <alignment horizontal="left"/>
    </xf>
    <xf numFmtId="0" fontId="7" fillId="0" borderId="10" xfId="2" applyFont="1" applyBorder="1">
      <alignment horizontal="center"/>
    </xf>
    <xf numFmtId="0" fontId="7" fillId="0" borderId="27" xfId="2" applyFont="1" applyBorder="1">
      <alignment horizontal="center"/>
    </xf>
    <xf numFmtId="0" fontId="20" fillId="5" borderId="28" xfId="2" applyFill="1" applyBorder="1">
      <alignment horizontal="center"/>
    </xf>
    <xf numFmtId="0" fontId="20" fillId="0" borderId="28" xfId="2" applyBorder="1">
      <alignment horizontal="center"/>
    </xf>
    <xf numFmtId="2" fontId="20" fillId="5" borderId="28" xfId="2" applyNumberFormat="1" applyFill="1" applyBorder="1">
      <alignment horizontal="center"/>
    </xf>
    <xf numFmtId="0" fontId="20" fillId="5" borderId="1" xfId="2" applyFill="1" applyBorder="1">
      <alignment horizontal="center"/>
    </xf>
    <xf numFmtId="0" fontId="20" fillId="0" borderId="0" xfId="2" applyAlignment="1"/>
    <xf numFmtId="0" fontId="20" fillId="5" borderId="30" xfId="2" applyFill="1" applyBorder="1">
      <alignment horizontal="center"/>
    </xf>
    <xf numFmtId="171" fontId="20" fillId="5" borderId="28" xfId="2" applyNumberFormat="1" applyFill="1" applyBorder="1">
      <alignment horizontal="center"/>
    </xf>
    <xf numFmtId="2" fontId="20" fillId="0" borderId="28" xfId="2" applyNumberFormat="1" applyBorder="1">
      <alignment horizontal="center"/>
    </xf>
    <xf numFmtId="169" fontId="20" fillId="0" borderId="28" xfId="2" applyNumberFormat="1" applyBorder="1">
      <alignment horizontal="center"/>
    </xf>
    <xf numFmtId="0" fontId="20" fillId="6" borderId="28" xfId="2" applyFill="1" applyBorder="1">
      <alignment horizontal="center"/>
    </xf>
    <xf numFmtId="166" fontId="20" fillId="0" borderId="28" xfId="2" applyNumberFormat="1" applyBorder="1">
      <alignment horizontal="center"/>
    </xf>
    <xf numFmtId="171" fontId="20" fillId="0" borderId="28" xfId="2" applyNumberFormat="1" applyBorder="1">
      <alignment horizontal="center"/>
    </xf>
    <xf numFmtId="0" fontId="20" fillId="0" borderId="0" xfId="5" applyNumberFormat="1" applyBorder="1" applyProtection="1">
      <alignment horizontal="center"/>
    </xf>
    <xf numFmtId="171" fontId="20" fillId="0" borderId="0" xfId="2" applyNumberFormat="1">
      <alignment horizontal="center"/>
    </xf>
    <xf numFmtId="0" fontId="1" fillId="0" borderId="0" xfId="1"/>
    <xf numFmtId="0" fontId="11" fillId="0" borderId="0" xfId="1" applyFont="1"/>
    <xf numFmtId="175" fontId="1" fillId="0" borderId="0" xfId="1" applyNumberFormat="1"/>
    <xf numFmtId="0" fontId="11" fillId="0" borderId="31" xfId="1" applyFont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36" xfId="1" applyBorder="1"/>
    <xf numFmtId="0" fontId="1" fillId="0" borderId="2" xfId="1" applyBorder="1"/>
    <xf numFmtId="0" fontId="1" fillId="0" borderId="37" xfId="1" applyBorder="1"/>
    <xf numFmtId="0" fontId="1" fillId="0" borderId="0" xfId="1" applyAlignment="1">
      <alignment horizontal="right"/>
    </xf>
    <xf numFmtId="0" fontId="11" fillId="0" borderId="38" xfId="1" applyFont="1" applyBorder="1"/>
    <xf numFmtId="0" fontId="11" fillId="0" borderId="39" xfId="1" applyFont="1" applyBorder="1"/>
    <xf numFmtId="0" fontId="11" fillId="0" borderId="40" xfId="1" applyFont="1" applyBorder="1"/>
    <xf numFmtId="0" fontId="1" fillId="0" borderId="12" xfId="1" applyBorder="1"/>
    <xf numFmtId="9" fontId="1" fillId="0" borderId="0" xfId="1" applyNumberFormat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1" xfId="1" applyBorder="1"/>
    <xf numFmtId="0" fontId="11" fillId="0" borderId="29" xfId="1" applyFont="1" applyBorder="1"/>
    <xf numFmtId="0" fontId="1" fillId="0" borderId="42" xfId="1" applyBorder="1"/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0" borderId="45" xfId="1" applyBorder="1"/>
    <xf numFmtId="1" fontId="1" fillId="0" borderId="0" xfId="1" applyNumberFormat="1" applyAlignment="1">
      <alignment horizontal="center"/>
    </xf>
    <xf numFmtId="0" fontId="1" fillId="0" borderId="1" xfId="1" applyBorder="1"/>
    <xf numFmtId="0" fontId="1" fillId="4" borderId="34" xfId="1" applyFill="1" applyBorder="1"/>
    <xf numFmtId="0" fontId="1" fillId="4" borderId="0" xfId="1" applyFill="1"/>
    <xf numFmtId="0" fontId="1" fillId="4" borderId="35" xfId="1" applyFill="1" applyBorder="1"/>
    <xf numFmtId="0" fontId="1" fillId="4" borderId="36" xfId="1" applyFill="1" applyBorder="1"/>
    <xf numFmtId="0" fontId="1" fillId="4" borderId="2" xfId="1" applyFill="1" applyBorder="1"/>
    <xf numFmtId="0" fontId="1" fillId="4" borderId="37" xfId="1" applyFill="1" applyBorder="1"/>
    <xf numFmtId="0" fontId="11" fillId="0" borderId="42" xfId="1" applyFont="1" applyBorder="1"/>
    <xf numFmtId="0" fontId="11" fillId="0" borderId="43" xfId="1" applyFont="1" applyBorder="1"/>
    <xf numFmtId="0" fontId="11" fillId="0" borderId="1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4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1" fillId="0" borderId="45" xfId="1" applyFont="1" applyBorder="1" applyAlignment="1">
      <alignment horizontal="center"/>
    </xf>
    <xf numFmtId="171" fontId="0" fillId="2" borderId="14" xfId="0" applyNumberFormat="1" applyFill="1" applyBorder="1" applyProtection="1">
      <alignment horizontal="center"/>
      <protection locked="0"/>
    </xf>
    <xf numFmtId="2" fontId="0" fillId="2" borderId="14" xfId="0" applyNumberForma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1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2" fontId="0" fillId="2" borderId="1" xfId="0" applyNumberFormat="1" applyFill="1" applyBorder="1" applyProtection="1">
      <alignment horizontal="center"/>
      <protection locked="0"/>
    </xf>
    <xf numFmtId="2" fontId="1" fillId="0" borderId="41" xfId="1" applyNumberFormat="1" applyBorder="1" applyAlignment="1">
      <alignment horizontal="center"/>
    </xf>
    <xf numFmtId="1" fontId="1" fillId="0" borderId="0" xfId="1" applyNumberFormat="1"/>
    <xf numFmtId="0" fontId="13" fillId="0" borderId="0" xfId="4" applyFont="1"/>
    <xf numFmtId="0" fontId="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3" fillId="0" borderId="0" xfId="4" applyFont="1" applyAlignment="1">
      <alignment horizontal="center"/>
    </xf>
    <xf numFmtId="0" fontId="15" fillId="0" borderId="0" xfId="4" applyFont="1"/>
    <xf numFmtId="15" fontId="13" fillId="7" borderId="1" xfId="4" applyNumberFormat="1" applyFont="1" applyFill="1" applyBorder="1"/>
    <xf numFmtId="0" fontId="13" fillId="0" borderId="0" xfId="4" applyFont="1" applyAlignment="1">
      <alignment horizontal="right"/>
    </xf>
    <xf numFmtId="0" fontId="13" fillId="7" borderId="1" xfId="4" applyFont="1" applyFill="1" applyBorder="1"/>
    <xf numFmtId="0" fontId="1" fillId="0" borderId="0" xfId="4"/>
    <xf numFmtId="0" fontId="16" fillId="0" borderId="0" xfId="4" applyFont="1" applyAlignment="1">
      <alignment horizontal="left"/>
    </xf>
    <xf numFmtId="0" fontId="13" fillId="0" borderId="2" xfId="4" applyFont="1" applyBorder="1"/>
    <xf numFmtId="0" fontId="13" fillId="0" borderId="1" xfId="4" applyFont="1" applyBorder="1" applyAlignment="1">
      <alignment horizontal="right"/>
    </xf>
    <xf numFmtId="0" fontId="17" fillId="0" borderId="10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164" fontId="13" fillId="0" borderId="0" xfId="4" applyNumberFormat="1" applyFont="1"/>
    <xf numFmtId="0" fontId="13" fillId="0" borderId="14" xfId="4" applyFont="1" applyBorder="1" applyAlignment="1">
      <alignment horizontal="right"/>
    </xf>
    <xf numFmtId="2" fontId="13" fillId="3" borderId="15" xfId="4" applyNumberFormat="1" applyFont="1" applyFill="1" applyBorder="1" applyAlignment="1">
      <alignment horizontal="center"/>
    </xf>
    <xf numFmtId="166" fontId="13" fillId="0" borderId="0" xfId="4" applyNumberFormat="1" applyFont="1"/>
    <xf numFmtId="167" fontId="13" fillId="0" borderId="0" xfId="4" applyNumberFormat="1" applyFont="1"/>
    <xf numFmtId="3" fontId="13" fillId="0" borderId="14" xfId="4" applyNumberFormat="1" applyFont="1" applyBorder="1" applyAlignment="1">
      <alignment horizontal="right"/>
    </xf>
    <xf numFmtId="0" fontId="13" fillId="7" borderId="0" xfId="4" applyFont="1" applyFill="1"/>
    <xf numFmtId="2" fontId="13" fillId="7" borderId="0" xfId="4" applyNumberFormat="1" applyFont="1" applyFill="1"/>
    <xf numFmtId="0" fontId="13" fillId="0" borderId="1" xfId="4" applyFont="1" applyBorder="1"/>
    <xf numFmtId="172" fontId="13" fillId="0" borderId="0" xfId="4" applyNumberFormat="1" applyFont="1"/>
    <xf numFmtId="11" fontId="13" fillId="7" borderId="0" xfId="4" applyNumberFormat="1" applyFont="1" applyFill="1"/>
    <xf numFmtId="11" fontId="13" fillId="0" borderId="0" xfId="4" applyNumberFormat="1" applyFont="1"/>
    <xf numFmtId="2" fontId="13" fillId="0" borderId="0" xfId="4" applyNumberFormat="1" applyFont="1"/>
    <xf numFmtId="176" fontId="13" fillId="0" borderId="0" xfId="4" applyNumberFormat="1" applyFont="1"/>
    <xf numFmtId="0" fontId="13" fillId="0" borderId="28" xfId="4" applyFont="1" applyBorder="1"/>
    <xf numFmtId="169" fontId="1" fillId="0" borderId="0" xfId="4" applyNumberFormat="1"/>
    <xf numFmtId="169" fontId="6" fillId="0" borderId="7" xfId="4" applyNumberFormat="1" applyFont="1" applyBorder="1" applyAlignment="1">
      <alignment horizontal="center"/>
    </xf>
    <xf numFmtId="169" fontId="1" fillId="0" borderId="0" xfId="4" applyNumberFormat="1" applyAlignment="1">
      <alignment horizontal="center"/>
    </xf>
    <xf numFmtId="169" fontId="0" fillId="0" borderId="0" xfId="4" applyNumberFormat="1" applyFont="1" applyAlignment="1">
      <alignment horizontal="center"/>
    </xf>
    <xf numFmtId="169" fontId="1" fillId="0" borderId="7" xfId="4" applyNumberFormat="1" applyBorder="1"/>
    <xf numFmtId="169" fontId="1" fillId="0" borderId="8" xfId="4" applyNumberFormat="1" applyBorder="1"/>
    <xf numFmtId="169" fontId="0" fillId="0" borderId="7" xfId="4" applyNumberFormat="1" applyFont="1" applyBorder="1"/>
    <xf numFmtId="169" fontId="0" fillId="0" borderId="0" xfId="4" applyNumberFormat="1" applyFont="1"/>
    <xf numFmtId="169" fontId="0" fillId="0" borderId="13" xfId="4" applyNumberFormat="1" applyFont="1" applyBorder="1"/>
    <xf numFmtId="169" fontId="0" fillId="0" borderId="9" xfId="4" applyNumberFormat="1" applyFont="1" applyBorder="1"/>
    <xf numFmtId="169" fontId="7" fillId="0" borderId="10" xfId="4" applyNumberFormat="1" applyFont="1" applyBorder="1"/>
    <xf numFmtId="169" fontId="0" fillId="0" borderId="10" xfId="4" applyNumberFormat="1" applyFont="1" applyBorder="1"/>
    <xf numFmtId="169" fontId="7" fillId="0" borderId="9" xfId="4" applyNumberFormat="1" applyFont="1" applyBorder="1"/>
    <xf numFmtId="169" fontId="0" fillId="0" borderId="11" xfId="4" applyNumberFormat="1" applyFont="1" applyBorder="1"/>
    <xf numFmtId="1" fontId="0" fillId="0" borderId="7" xfId="4" applyNumberFormat="1" applyFont="1" applyBorder="1"/>
    <xf numFmtId="169" fontId="0" fillId="0" borderId="12" xfId="4" applyNumberFormat="1" applyFont="1" applyBorder="1"/>
    <xf numFmtId="169" fontId="1" fillId="0" borderId="12" xfId="4" applyNumberFormat="1" applyBorder="1"/>
    <xf numFmtId="169" fontId="0" fillId="0" borderId="17" xfId="4" applyNumberFormat="1" applyFont="1" applyBorder="1"/>
    <xf numFmtId="169" fontId="1" fillId="0" borderId="25" xfId="4" applyNumberFormat="1" applyBorder="1"/>
    <xf numFmtId="169" fontId="0" fillId="0" borderId="25" xfId="4" applyNumberFormat="1" applyFont="1" applyBorder="1"/>
    <xf numFmtId="169" fontId="1" fillId="0" borderId="17" xfId="4" applyNumberFormat="1" applyBorder="1"/>
    <xf numFmtId="169" fontId="1" fillId="0" borderId="26" xfId="4" applyNumberFormat="1" applyBorder="1"/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horizontal="center"/>
    </xf>
    <xf numFmtId="171" fontId="0" fillId="0" borderId="0" xfId="0" applyNumberFormat="1">
      <alignment horizontal="center"/>
    </xf>
    <xf numFmtId="0" fontId="7" fillId="0" borderId="0" xfId="0" applyFont="1">
      <alignment horizontal="center"/>
    </xf>
    <xf numFmtId="0" fontId="0" fillId="0" borderId="0" xfId="0" applyAlignment="1"/>
    <xf numFmtId="169" fontId="0" fillId="0" borderId="7" xfId="0" applyNumberFormat="1" applyBorder="1">
      <alignment horizontal="center"/>
    </xf>
    <xf numFmtId="0" fontId="0" fillId="0" borderId="12" xfId="0" applyBorder="1">
      <alignment horizontal="center"/>
    </xf>
    <xf numFmtId="0" fontId="0" fillId="0" borderId="7" xfId="0" applyBorder="1">
      <alignment horizontal="center"/>
    </xf>
    <xf numFmtId="0" fontId="0" fillId="0" borderId="22" xfId="0" applyBorder="1">
      <alignment horizontal="center"/>
    </xf>
    <xf numFmtId="0" fontId="6" fillId="0" borderId="5" xfId="0" applyFont="1" applyBorder="1">
      <alignment horizontal="center"/>
    </xf>
    <xf numFmtId="0" fontId="0" fillId="0" borderId="0" xfId="0">
      <alignment horizontal="center"/>
    </xf>
    <xf numFmtId="0" fontId="0" fillId="0" borderId="16" xfId="0" applyBorder="1">
      <alignment horizontal="center"/>
    </xf>
    <xf numFmtId="0" fontId="6" fillId="0" borderId="4" xfId="0" applyFont="1" applyBorder="1">
      <alignment horizontal="center"/>
    </xf>
    <xf numFmtId="0" fontId="6" fillId="0" borderId="21" xfId="0" applyFont="1" applyBorder="1">
      <alignment horizontal="center"/>
    </xf>
    <xf numFmtId="0" fontId="20" fillId="0" borderId="0" xfId="2">
      <alignment horizontal="center"/>
    </xf>
    <xf numFmtId="0" fontId="20" fillId="0" borderId="12" xfId="2" applyBorder="1">
      <alignment horizontal="center"/>
    </xf>
    <xf numFmtId="0" fontId="20" fillId="0" borderId="29" xfId="2" applyBorder="1">
      <alignment horizontal="center"/>
    </xf>
    <xf numFmtId="0" fontId="1" fillId="0" borderId="0" xfId="1" applyAlignment="1">
      <alignment horizontal="center" vertical="center" wrapText="1"/>
    </xf>
    <xf numFmtId="0" fontId="13" fillId="0" borderId="1" xfId="4" applyFont="1" applyBorder="1" applyAlignment="1">
      <alignment wrapText="1"/>
    </xf>
    <xf numFmtId="0" fontId="13" fillId="0" borderId="0" xfId="4" applyFont="1" applyAlignment="1">
      <alignment horizontal="center"/>
    </xf>
    <xf numFmtId="169" fontId="6" fillId="0" borderId="4" xfId="4" applyNumberFormat="1" applyFont="1" applyBorder="1" applyAlignment="1">
      <alignment horizontal="center"/>
    </xf>
    <xf numFmtId="169" fontId="6" fillId="0" borderId="21" xfId="4" applyNumberFormat="1" applyFont="1" applyBorder="1" applyAlignment="1">
      <alignment horizontal="center"/>
    </xf>
    <xf numFmtId="169" fontId="0" fillId="0" borderId="12" xfId="4" applyNumberFormat="1" applyFont="1" applyBorder="1" applyAlignment="1">
      <alignment horizontal="center"/>
    </xf>
    <xf numFmtId="169" fontId="0" fillId="0" borderId="7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B9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28800</xdr:rowOff>
    </xdr:from>
    <xdr:to>
      <xdr:col>3</xdr:col>
      <xdr:colOff>739035</xdr:colOff>
      <xdr:row>99</xdr:row>
      <xdr:rowOff>87840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71080" y="15573600"/>
          <a:ext cx="2030400" cy="544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28440</xdr:rowOff>
    </xdr:from>
    <xdr:to>
      <xdr:col>1</xdr:col>
      <xdr:colOff>609405</xdr:colOff>
      <xdr:row>48</xdr:row>
      <xdr:rowOff>87840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315200"/>
          <a:ext cx="1847160" cy="545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60120</xdr:rowOff>
    </xdr:from>
    <xdr:to>
      <xdr:col>1</xdr:col>
      <xdr:colOff>650160</xdr:colOff>
      <xdr:row>34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975280"/>
          <a:ext cx="1771560" cy="519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zoomScale="90" zoomScaleNormal="90" workbookViewId="0"/>
  </sheetViews>
  <sheetFormatPr defaultColWidth="8.83203125" defaultRowHeight="12.75" x14ac:dyDescent="0.2"/>
  <cols>
    <col min="1" max="1" width="13.83203125" customWidth="1"/>
    <col min="11" max="14" width="12.33203125" customWidth="1"/>
    <col min="16" max="29" width="9.33203125" style="4" customWidth="1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D1" s="5"/>
      <c r="G1" s="6" t="s">
        <v>0</v>
      </c>
      <c r="O1" s="4"/>
      <c r="P1" s="7" t="s">
        <v>1</v>
      </c>
    </row>
    <row r="2" spans="1:36" x14ac:dyDescent="0.2">
      <c r="O2" s="4"/>
    </row>
    <row r="3" spans="1:36" x14ac:dyDescent="0.2">
      <c r="A3" s="8" t="s">
        <v>2</v>
      </c>
      <c r="B3" s="9"/>
      <c r="C3" s="10"/>
      <c r="D3" s="11"/>
      <c r="E3" s="11"/>
      <c r="F3" s="11"/>
      <c r="G3" s="11"/>
      <c r="H3" s="11"/>
      <c r="I3" s="11"/>
      <c r="J3" s="10"/>
      <c r="O3" s="12" t="s">
        <v>3</v>
      </c>
      <c r="P3" s="13" t="s">
        <v>4</v>
      </c>
    </row>
    <row r="4" spans="1:36" x14ac:dyDescent="0.2">
      <c r="A4" s="14"/>
      <c r="O4" s="12" t="s">
        <v>5</v>
      </c>
      <c r="P4" s="13" t="s">
        <v>6</v>
      </c>
      <c r="AG4" t="s">
        <v>7</v>
      </c>
    </row>
    <row r="5" spans="1:36" x14ac:dyDescent="0.2">
      <c r="A5" s="8" t="s">
        <v>8</v>
      </c>
      <c r="B5" s="15"/>
      <c r="C5" s="15"/>
      <c r="D5" s="16"/>
      <c r="E5" s="16"/>
      <c r="G5" s="17" t="s">
        <v>9</v>
      </c>
      <c r="H5" s="18" t="s">
        <v>10</v>
      </c>
      <c r="I5" s="19"/>
      <c r="J5" s="10"/>
      <c r="O5" s="12" t="s">
        <v>11</v>
      </c>
      <c r="P5" s="13" t="s">
        <v>12</v>
      </c>
      <c r="AE5" s="20" t="s">
        <v>13</v>
      </c>
      <c r="AF5" s="20" t="s">
        <v>14</v>
      </c>
      <c r="AG5" s="20" t="s">
        <v>15</v>
      </c>
    </row>
    <row r="6" spans="1:36" x14ac:dyDescent="0.2">
      <c r="A6" s="8"/>
      <c r="B6" s="21"/>
      <c r="C6" s="21"/>
      <c r="D6" s="16"/>
      <c r="E6" s="16"/>
      <c r="G6" s="17"/>
      <c r="H6" s="16"/>
      <c r="I6" s="16"/>
      <c r="O6" s="12" t="s">
        <v>16</v>
      </c>
      <c r="P6" s="13" t="s">
        <v>17</v>
      </c>
      <c r="AE6">
        <v>-25.4</v>
      </c>
      <c r="AF6">
        <v>-1</v>
      </c>
      <c r="AG6" s="22" t="s">
        <v>18</v>
      </c>
    </row>
    <row r="7" spans="1:36" x14ac:dyDescent="0.2">
      <c r="O7" s="12" t="s">
        <v>19</v>
      </c>
      <c r="P7" s="13" t="s">
        <v>20</v>
      </c>
      <c r="AD7" s="23"/>
      <c r="AE7">
        <v>0</v>
      </c>
      <c r="AF7">
        <v>0</v>
      </c>
      <c r="AG7" s="24" t="s">
        <v>21</v>
      </c>
      <c r="AJ7" s="23"/>
    </row>
    <row r="8" spans="1:36" x14ac:dyDescent="0.2">
      <c r="C8" s="8" t="s">
        <v>22</v>
      </c>
      <c r="D8" s="25"/>
      <c r="O8" s="12" t="s">
        <v>23</v>
      </c>
      <c r="P8" s="13" t="s">
        <v>24</v>
      </c>
      <c r="AD8" s="23"/>
      <c r="AE8" s="23">
        <v>9.9218750999999994E-2</v>
      </c>
      <c r="AF8" s="26">
        <v>3.90625E-3</v>
      </c>
      <c r="AG8" s="24">
        <v>7.8125E-3</v>
      </c>
      <c r="AH8" s="27"/>
      <c r="AI8" s="23"/>
      <c r="AJ8" s="23"/>
    </row>
    <row r="9" spans="1:36" x14ac:dyDescent="0.2">
      <c r="C9" s="8" t="s">
        <v>25</v>
      </c>
      <c r="D9" s="25"/>
      <c r="G9" s="8" t="s">
        <v>26</v>
      </c>
      <c r="H9" s="28"/>
      <c r="O9" s="12" t="s">
        <v>27</v>
      </c>
      <c r="P9" s="13" t="s">
        <v>28</v>
      </c>
      <c r="AD9" s="23"/>
      <c r="AE9" s="23">
        <v>0.19843750099999999</v>
      </c>
      <c r="AF9" s="26">
        <v>7.8125E-3</v>
      </c>
      <c r="AG9" s="24">
        <v>1.5625E-2</v>
      </c>
      <c r="AH9" s="27"/>
      <c r="AI9" s="23"/>
      <c r="AJ9" s="23"/>
    </row>
    <row r="10" spans="1:36" x14ac:dyDescent="0.2">
      <c r="C10" s="8" t="s">
        <v>29</v>
      </c>
      <c r="D10" s="25"/>
      <c r="G10" s="8" t="s">
        <v>30</v>
      </c>
      <c r="H10" s="28"/>
      <c r="O10" s="12" t="s">
        <v>31</v>
      </c>
      <c r="P10" s="13" t="s">
        <v>32</v>
      </c>
      <c r="AD10" s="23"/>
      <c r="AE10" s="23">
        <v>0.39687500100000001</v>
      </c>
      <c r="AF10" s="26">
        <v>1.5625E-2</v>
      </c>
      <c r="AG10" s="24">
        <v>3.125E-2</v>
      </c>
      <c r="AH10" s="27"/>
      <c r="AI10" s="23"/>
      <c r="AJ10" s="23"/>
    </row>
    <row r="11" spans="1:36" x14ac:dyDescent="0.2">
      <c r="C11" s="8" t="s">
        <v>33</v>
      </c>
      <c r="D11" s="29" t="str">
        <f>IF(AND(D8="",D9="",D10=""),"",ROUND(D8*D9*D10/60,0))</f>
        <v/>
      </c>
      <c r="AD11" s="23"/>
      <c r="AE11" s="23">
        <v>0.59531250099999999</v>
      </c>
      <c r="AF11" s="26">
        <v>2.34375E-2</v>
      </c>
      <c r="AG11" s="24">
        <v>3.125E-2</v>
      </c>
      <c r="AH11" s="27"/>
      <c r="AI11" s="23"/>
      <c r="AJ11" s="23"/>
    </row>
    <row r="12" spans="1:36" x14ac:dyDescent="0.2">
      <c r="D12" s="8"/>
      <c r="E12" s="30"/>
      <c r="F12" s="31"/>
      <c r="G12" s="32"/>
      <c r="H12" s="8"/>
      <c r="I12" s="8"/>
      <c r="V12" s="33"/>
      <c r="W12" s="34"/>
      <c r="X12" s="231" t="s">
        <v>34</v>
      </c>
      <c r="Y12" s="231"/>
      <c r="Z12" s="231"/>
      <c r="AA12" s="231"/>
      <c r="AB12" s="35"/>
      <c r="AD12" s="23"/>
      <c r="AE12" s="23">
        <v>0.79375000100000004</v>
      </c>
      <c r="AF12" s="26">
        <v>3.125E-2</v>
      </c>
      <c r="AG12" s="24">
        <v>3.125E-2</v>
      </c>
      <c r="AH12" s="27"/>
      <c r="AI12" s="23"/>
      <c r="AJ12" s="23"/>
    </row>
    <row r="13" spans="1:36" x14ac:dyDescent="0.2">
      <c r="C13" s="31" t="s">
        <v>35</v>
      </c>
      <c r="D13" s="36"/>
      <c r="E13" s="32" t="s">
        <v>36</v>
      </c>
      <c r="F13" s="31"/>
      <c r="G13" s="32"/>
      <c r="H13" s="8"/>
      <c r="I13" s="8"/>
      <c r="V13" s="3"/>
      <c r="W13"/>
      <c r="X13" s="232" t="s">
        <v>37</v>
      </c>
      <c r="Y13" s="232"/>
      <c r="Z13" s="232"/>
      <c r="AA13" s="232"/>
      <c r="AB13" s="37"/>
      <c r="AD13" s="23"/>
      <c r="AE13" s="23">
        <v>0.99218750099999997</v>
      </c>
      <c r="AF13" s="26">
        <v>3.90625E-2</v>
      </c>
      <c r="AG13" s="24">
        <v>6.25E-2</v>
      </c>
      <c r="AH13" s="27"/>
      <c r="AI13" s="23"/>
      <c r="AJ13" s="23"/>
    </row>
    <row r="14" spans="1:36" x14ac:dyDescent="0.2">
      <c r="C14" s="31"/>
      <c r="D14" s="30"/>
      <c r="E14" s="32"/>
      <c r="F14" s="31"/>
      <c r="G14" s="32"/>
      <c r="H14" s="8"/>
      <c r="I14" s="8"/>
      <c r="V14" s="38" t="s">
        <v>38</v>
      </c>
      <c r="W14" s="39">
        <v>30</v>
      </c>
      <c r="X14" s="39">
        <v>45</v>
      </c>
      <c r="Y14" s="39">
        <v>60</v>
      </c>
      <c r="Z14" s="39">
        <v>90</v>
      </c>
      <c r="AA14" s="39">
        <v>120</v>
      </c>
      <c r="AB14" s="40">
        <v>135</v>
      </c>
      <c r="AD14" s="23"/>
      <c r="AE14" s="23">
        <v>1.1906250009999999</v>
      </c>
      <c r="AF14" s="26">
        <v>4.6875E-2</v>
      </c>
      <c r="AG14" s="24">
        <v>6.25E-2</v>
      </c>
      <c r="AH14" s="27"/>
      <c r="AI14" s="23"/>
      <c r="AJ14" s="23"/>
    </row>
    <row r="15" spans="1:36" x14ac:dyDescent="0.2">
      <c r="A15" s="41" t="s">
        <v>39</v>
      </c>
      <c r="V15" s="3"/>
      <c r="W15" s="2"/>
      <c r="X15" s="2"/>
      <c r="Y15" s="2"/>
      <c r="Z15" s="2"/>
      <c r="AA15" s="2"/>
      <c r="AB15" s="42"/>
      <c r="AD15" s="23"/>
      <c r="AE15" s="23">
        <v>1.3890625009999999</v>
      </c>
      <c r="AF15" s="26">
        <v>5.46875E-2</v>
      </c>
      <c r="AG15" s="24">
        <v>6.25E-2</v>
      </c>
      <c r="AH15" s="27"/>
      <c r="AI15" s="23"/>
      <c r="AJ15" s="23"/>
    </row>
    <row r="16" spans="1:36" x14ac:dyDescent="0.2">
      <c r="A16" s="10" t="s">
        <v>40</v>
      </c>
      <c r="B16" s="43" t="s">
        <v>41</v>
      </c>
      <c r="C16" s="43" t="s">
        <v>42</v>
      </c>
      <c r="D16" s="43" t="s">
        <v>43</v>
      </c>
      <c r="E16" s="39" t="s">
        <v>44</v>
      </c>
      <c r="F16" s="39" t="s">
        <v>45</v>
      </c>
      <c r="G16" s="39" t="s">
        <v>46</v>
      </c>
      <c r="K16" s="8" t="s">
        <v>47</v>
      </c>
      <c r="L16" s="44">
        <f>(12*2.54)/100</f>
        <v>0.30480000000000002</v>
      </c>
      <c r="M16" s="13" t="s">
        <v>48</v>
      </c>
      <c r="V16" s="3">
        <v>30</v>
      </c>
      <c r="W16" s="2"/>
      <c r="X16" s="2"/>
      <c r="Y16" s="2"/>
      <c r="Z16" s="2"/>
      <c r="AA16" s="2"/>
      <c r="AB16" s="42"/>
      <c r="AD16" s="23"/>
      <c r="AE16" s="23">
        <v>1.587500001</v>
      </c>
      <c r="AF16" s="26">
        <v>6.25E-2</v>
      </c>
      <c r="AG16" s="24">
        <v>6.25E-2</v>
      </c>
      <c r="AH16" s="27"/>
      <c r="AI16" s="23"/>
      <c r="AJ16" s="23"/>
    </row>
    <row r="17" spans="1:36" x14ac:dyDescent="0.2">
      <c r="A17" s="45" t="s">
        <v>49</v>
      </c>
      <c r="B17" s="46" t="str">
        <f>IF($D$13="","",VLOOKUP($D$13,$O$46:$AT$71,2))</f>
        <v/>
      </c>
      <c r="C17" s="46" t="str">
        <f>IF($D$13="","",VLOOKUP($D$13,$O$46:$AT$71,3))</f>
        <v/>
      </c>
      <c r="D17" s="46" t="str">
        <f>IF($D$13="","",VLOOKUP($D$13,$O$46:$AT$71,4))</f>
        <v/>
      </c>
      <c r="E17" s="46" t="str">
        <f t="shared" ref="E17:E22" si="0">IF($D$13="","",VLOOKUP($D$13,$O$46:$AT$71,32))</f>
        <v/>
      </c>
      <c r="F17" s="46" t="str">
        <f>IF($D$13="","",VLOOKUP($D$13,$O$46:$AT$71,5))</f>
        <v/>
      </c>
      <c r="G17" s="46" t="str">
        <f>IF($D$13="","",VLOOKUP($D$13,$O$46:$AT$71,6))</f>
        <v/>
      </c>
      <c r="K17" s="8" t="s">
        <v>50</v>
      </c>
      <c r="L17">
        <f>1/16</f>
        <v>6.25E-2</v>
      </c>
      <c r="V17" s="3">
        <v>35</v>
      </c>
      <c r="W17" s="2"/>
      <c r="X17" s="2"/>
      <c r="Y17" s="2"/>
      <c r="Z17" s="2"/>
      <c r="AA17" s="2"/>
      <c r="AB17" s="42"/>
      <c r="AD17" s="23"/>
      <c r="AE17" s="23">
        <v>1.785937501</v>
      </c>
      <c r="AF17" s="26">
        <v>7.03125E-2</v>
      </c>
      <c r="AG17" s="24">
        <v>9.375E-2</v>
      </c>
      <c r="AH17" s="27"/>
      <c r="AI17" s="23"/>
      <c r="AJ17" s="23"/>
    </row>
    <row r="18" spans="1:36" x14ac:dyDescent="0.2">
      <c r="A18" s="45" t="s">
        <v>51</v>
      </c>
      <c r="B18" s="46" t="str">
        <f>IF($D$13="","",VLOOKUP($D$13,$O$46:$AT$71,7))</f>
        <v/>
      </c>
      <c r="C18" s="46" t="str">
        <f>IF($D$13="","",VLOOKUP($D$13,$O$46:$AT$71,8))</f>
        <v/>
      </c>
      <c r="D18" s="46" t="str">
        <f>IF($D$13="","",VLOOKUP($D$13,$O$46:$AT$71,9))</f>
        <v/>
      </c>
      <c r="E18" s="46" t="str">
        <f t="shared" si="0"/>
        <v/>
      </c>
      <c r="F18" s="46" t="str">
        <f>IF($D$13="","",VLOOKUP($D$13,$O$46:$AT$71,10))</f>
        <v/>
      </c>
      <c r="G18" s="46" t="str">
        <f>IF($D$13="","",VLOOKUP($D$13,$O$46:$AT$71,11))</f>
        <v/>
      </c>
      <c r="K18" s="8" t="s">
        <v>52</v>
      </c>
      <c r="L18">
        <f>1/8</f>
        <v>0.125</v>
      </c>
      <c r="V18" s="3">
        <v>50</v>
      </c>
      <c r="W18" s="47">
        <v>5.0000000000000001E-4</v>
      </c>
      <c r="X18" s="47">
        <v>2.0000000000000001E-4</v>
      </c>
      <c r="Y18" s="47">
        <v>2.5000000000000001E-4</v>
      </c>
      <c r="Z18" s="47">
        <v>3.5E-4</v>
      </c>
      <c r="AA18" s="47">
        <v>8.0000000000000004E-4</v>
      </c>
      <c r="AB18" s="48">
        <v>1E-3</v>
      </c>
      <c r="AD18" s="23"/>
      <c r="AE18" s="23">
        <v>1.9843750010000001</v>
      </c>
      <c r="AF18" s="26">
        <v>7.8125E-2</v>
      </c>
      <c r="AG18" s="24">
        <v>9.375E-2</v>
      </c>
      <c r="AH18" s="27"/>
      <c r="AI18" s="23"/>
      <c r="AJ18" s="23"/>
    </row>
    <row r="19" spans="1:36" x14ac:dyDescent="0.2">
      <c r="A19" s="49" t="s">
        <v>53</v>
      </c>
      <c r="B19" s="46" t="str">
        <f>IF($D$13="","",VLOOKUP($D$13,$O$46:$AT$71,12))</f>
        <v/>
      </c>
      <c r="C19" s="46" t="str">
        <f>IF($D$13="","",VLOOKUP($D$13,$O$46:$AT$71,13))</f>
        <v/>
      </c>
      <c r="D19" s="46" t="str">
        <f>IF($D$13="","",VLOOKUP($D$13,$O$46:$AT$71,14))</f>
        <v/>
      </c>
      <c r="E19" s="46" t="str">
        <f t="shared" si="0"/>
        <v/>
      </c>
      <c r="F19" s="46" t="str">
        <f>IF($D$13="","",VLOOKUP($D$13,$O$46:$AT$71,15))</f>
        <v/>
      </c>
      <c r="G19" s="46" t="str">
        <f>IF($D$13="","",VLOOKUP($D$13,$O$46:$AT$71,16))</f>
        <v/>
      </c>
      <c r="I19" s="50" t="s">
        <v>54</v>
      </c>
      <c r="V19" s="3">
        <v>55</v>
      </c>
      <c r="W19" s="51">
        <f t="shared" ref="W19:AB21" si="1">((($V19-$V$18)/($V$22-$V$18))*(W$22-W$18))+W$18</f>
        <v>5.375E-4</v>
      </c>
      <c r="X19" s="51">
        <f t="shared" si="1"/>
        <v>2.375E-4</v>
      </c>
      <c r="Y19" s="51">
        <f t="shared" si="1"/>
        <v>2.7500000000000002E-4</v>
      </c>
      <c r="Z19" s="51">
        <f t="shared" si="1"/>
        <v>3.8749999999999999E-4</v>
      </c>
      <c r="AA19" s="51">
        <f t="shared" si="1"/>
        <v>8.5000000000000006E-4</v>
      </c>
      <c r="AB19" s="52">
        <f t="shared" si="1"/>
        <v>1.075E-3</v>
      </c>
      <c r="AD19" s="23"/>
      <c r="AE19" s="23">
        <v>2.1828125009999999</v>
      </c>
      <c r="AF19" s="26">
        <v>8.59375E-2</v>
      </c>
      <c r="AG19" s="24">
        <v>9.375E-2</v>
      </c>
      <c r="AH19" s="27"/>
      <c r="AI19" s="53"/>
      <c r="AJ19" s="23"/>
    </row>
    <row r="20" spans="1:36" x14ac:dyDescent="0.2">
      <c r="A20" s="49" t="s">
        <v>55</v>
      </c>
      <c r="B20" s="46" t="str">
        <f>IF($D$13="","",VLOOKUP($D$13,$O$46:$AT$71,17))</f>
        <v/>
      </c>
      <c r="C20" s="46" t="str">
        <f>IF($D$13="","",VLOOKUP($D$13,$O$46:$AT$71,18))</f>
        <v/>
      </c>
      <c r="D20" s="46" t="str">
        <f>IF($D$13="","",VLOOKUP($D$13,$O$46:$AT$71,19))</f>
        <v/>
      </c>
      <c r="E20" s="46" t="str">
        <f t="shared" si="0"/>
        <v/>
      </c>
      <c r="F20" s="46" t="str">
        <f>IF($D$13="","",VLOOKUP($D$13,$O$46:$AT$71,20))</f>
        <v/>
      </c>
      <c r="G20" s="46" t="str">
        <f>IF($D$13="","",VLOOKUP($D$13,$O$46:$AT$71,21))</f>
        <v/>
      </c>
      <c r="I20" s="20" t="s">
        <v>56</v>
      </c>
      <c r="J20" s="20" t="s">
        <v>57</v>
      </c>
      <c r="K20" s="20" t="s">
        <v>57</v>
      </c>
      <c r="L20" s="20" t="s">
        <v>56</v>
      </c>
      <c r="V20" s="3">
        <v>60</v>
      </c>
      <c r="W20" s="51">
        <f t="shared" si="1"/>
        <v>5.7499999999999999E-4</v>
      </c>
      <c r="X20" s="51">
        <f t="shared" si="1"/>
        <v>2.7500000000000002E-4</v>
      </c>
      <c r="Y20" s="51">
        <f t="shared" si="1"/>
        <v>3.0000000000000003E-4</v>
      </c>
      <c r="Z20" s="51">
        <f t="shared" si="1"/>
        <v>4.2500000000000003E-4</v>
      </c>
      <c r="AA20" s="51">
        <f t="shared" si="1"/>
        <v>8.9999999999999998E-4</v>
      </c>
      <c r="AB20" s="52">
        <f t="shared" si="1"/>
        <v>1.15E-3</v>
      </c>
      <c r="AD20" s="23"/>
      <c r="AE20" s="23">
        <v>2.3812500010000002</v>
      </c>
      <c r="AF20" s="26">
        <v>9.375E-2</v>
      </c>
      <c r="AG20" s="24">
        <v>9.375E-2</v>
      </c>
      <c r="AH20" s="27"/>
      <c r="AI20" s="53"/>
      <c r="AJ20" s="23"/>
    </row>
    <row r="21" spans="1:36" x14ac:dyDescent="0.2">
      <c r="A21" s="49" t="s">
        <v>58</v>
      </c>
      <c r="B21" s="46" t="str">
        <f>IF($D$13="","",VLOOKUP($D$13,$O$46:$AT$71,22))</f>
        <v/>
      </c>
      <c r="C21" s="46" t="str">
        <f>IF($D$13="","",VLOOKUP($D$13,$O$46:$AT$71,23))</f>
        <v/>
      </c>
      <c r="D21" s="46" t="str">
        <f>IF($D$13="","",VLOOKUP($D$13,$O$46:$AT$71,24))</f>
        <v/>
      </c>
      <c r="E21" s="46" t="str">
        <f t="shared" si="0"/>
        <v/>
      </c>
      <c r="F21" s="46" t="str">
        <f>IF($D$13="","",VLOOKUP($D$13,$O$46:$AT$71,25))</f>
        <v/>
      </c>
      <c r="G21" s="46" t="str">
        <f>IF($D$13="","",VLOOKUP($D$13,$O$46:$AT$71,26))</f>
        <v/>
      </c>
      <c r="I21" s="54"/>
      <c r="J21" s="55">
        <f>I21*12*0.0254</f>
        <v>0</v>
      </c>
      <c r="K21" s="54"/>
      <c r="L21" s="55">
        <f>K21*100/2.54/12</f>
        <v>0</v>
      </c>
      <c r="V21" s="3">
        <v>65</v>
      </c>
      <c r="W21" s="51">
        <f t="shared" si="1"/>
        <v>6.1249999999999998E-4</v>
      </c>
      <c r="X21" s="51">
        <f t="shared" si="1"/>
        <v>3.1250000000000001E-4</v>
      </c>
      <c r="Y21" s="51">
        <f t="shared" si="1"/>
        <v>3.2499999999999999E-4</v>
      </c>
      <c r="Z21" s="51">
        <f t="shared" si="1"/>
        <v>4.6250000000000002E-4</v>
      </c>
      <c r="AA21" s="51">
        <f t="shared" si="1"/>
        <v>9.5E-4</v>
      </c>
      <c r="AB21" s="52">
        <f t="shared" si="1"/>
        <v>1.225E-3</v>
      </c>
      <c r="AD21" s="23"/>
      <c r="AE21" s="23">
        <v>2.579687501</v>
      </c>
      <c r="AF21" s="26">
        <v>0.1015625</v>
      </c>
      <c r="AG21" s="24">
        <v>0.125</v>
      </c>
      <c r="AH21" s="27"/>
      <c r="AI21" s="53"/>
      <c r="AJ21" s="23"/>
    </row>
    <row r="22" spans="1:36" x14ac:dyDescent="0.2">
      <c r="A22" s="49" t="s">
        <v>59</v>
      </c>
      <c r="B22" s="46" t="str">
        <f>IF($D$13="","",VLOOKUP($D$13,$O$46:$AT$71,27))</f>
        <v/>
      </c>
      <c r="C22" s="46" t="str">
        <f>IF($D$13="","",VLOOKUP($D$13,$O$46:$AT$71,28))</f>
        <v/>
      </c>
      <c r="D22" s="46" t="str">
        <f>IF($D$13="","",VLOOKUP($D$13,$O$46:$AT$71,29))</f>
        <v/>
      </c>
      <c r="E22" s="46" t="str">
        <f t="shared" si="0"/>
        <v/>
      </c>
      <c r="F22" s="46" t="str">
        <f>IF($D$13="","",VLOOKUP($D$13,$O$46:$AT$71,30))</f>
        <v/>
      </c>
      <c r="G22" s="46" t="str">
        <f>IF($D$13="","",VLOOKUP($D$13,$O$46:$AT$71,31))</f>
        <v/>
      </c>
      <c r="I22" s="20" t="s">
        <v>14</v>
      </c>
      <c r="J22" s="20" t="s">
        <v>13</v>
      </c>
      <c r="K22" s="56" t="s">
        <v>13</v>
      </c>
      <c r="L22" s="56" t="s">
        <v>14</v>
      </c>
      <c r="M22" s="57"/>
      <c r="V22" s="3">
        <v>70</v>
      </c>
      <c r="W22" s="47">
        <v>6.4999999999999997E-4</v>
      </c>
      <c r="X22" s="47">
        <v>3.5E-4</v>
      </c>
      <c r="Y22" s="47">
        <v>3.5E-4</v>
      </c>
      <c r="Z22" s="47">
        <v>5.0000000000000001E-4</v>
      </c>
      <c r="AA22" s="47">
        <v>1E-3</v>
      </c>
      <c r="AB22" s="48">
        <v>1.2999999999999999E-3</v>
      </c>
      <c r="AD22" s="23"/>
      <c r="AE22" s="23">
        <v>2.7781250009999998</v>
      </c>
      <c r="AF22" s="26">
        <v>0.109375</v>
      </c>
      <c r="AG22" s="24">
        <v>0.125</v>
      </c>
      <c r="AH22" s="27"/>
      <c r="AI22" s="53"/>
      <c r="AJ22" s="23"/>
    </row>
    <row r="23" spans="1:36" x14ac:dyDescent="0.2">
      <c r="I23" s="58"/>
      <c r="J23" s="55">
        <f>I23*25.4</f>
        <v>0</v>
      </c>
      <c r="K23" s="58"/>
      <c r="L23" s="55">
        <f>K23/25.4</f>
        <v>0</v>
      </c>
      <c r="P23" s="4" t="s">
        <v>60</v>
      </c>
      <c r="V23" s="3">
        <v>75</v>
      </c>
      <c r="W23" s="51">
        <f t="shared" ref="W23:AB27" si="2">((($V23-$V$22)/($V$28-$V$22))*(W$28-W$22))+W$22</f>
        <v>7.9166666666666665E-4</v>
      </c>
      <c r="X23" s="51">
        <f t="shared" si="2"/>
        <v>4.9166666666666662E-4</v>
      </c>
      <c r="Y23" s="51">
        <f t="shared" si="2"/>
        <v>4.9166666666666662E-4</v>
      </c>
      <c r="Z23" s="51">
        <f t="shared" si="2"/>
        <v>6.333333333333333E-4</v>
      </c>
      <c r="AA23" s="51">
        <f t="shared" si="2"/>
        <v>1.1666666666666668E-3</v>
      </c>
      <c r="AB23" s="52">
        <f t="shared" si="2"/>
        <v>1.4499999999999999E-3</v>
      </c>
      <c r="AD23" s="23"/>
      <c r="AE23" s="23">
        <v>2.9765625010000001</v>
      </c>
      <c r="AF23" s="26">
        <v>0.1171875</v>
      </c>
      <c r="AG23" s="24">
        <v>0.125</v>
      </c>
      <c r="AH23" s="27"/>
      <c r="AI23" s="53"/>
      <c r="AJ23" s="23"/>
    </row>
    <row r="24" spans="1:36" x14ac:dyDescent="0.2">
      <c r="B24" s="233" t="s">
        <v>61</v>
      </c>
      <c r="C24" s="233"/>
      <c r="D24" s="233"/>
      <c r="E24" s="233"/>
      <c r="I24" s="2" t="s">
        <v>62</v>
      </c>
      <c r="K24" s="2" t="s">
        <v>63</v>
      </c>
      <c r="L24" s="2" t="s">
        <v>64</v>
      </c>
      <c r="M24" s="2" t="s">
        <v>65</v>
      </c>
      <c r="N24" s="2"/>
      <c r="O24" s="2" t="s">
        <v>66</v>
      </c>
      <c r="P24" s="2" t="s">
        <v>66</v>
      </c>
      <c r="Q24" s="2" t="s">
        <v>67</v>
      </c>
      <c r="V24" s="3">
        <v>80</v>
      </c>
      <c r="W24" s="51">
        <f t="shared" si="2"/>
        <v>9.3333333333333332E-4</v>
      </c>
      <c r="X24" s="51">
        <f t="shared" si="2"/>
        <v>6.3333333333333319E-4</v>
      </c>
      <c r="Y24" s="51">
        <f t="shared" si="2"/>
        <v>6.3333333333333319E-4</v>
      </c>
      <c r="Z24" s="51">
        <f t="shared" si="2"/>
        <v>7.6666666666666658E-4</v>
      </c>
      <c r="AA24" s="51">
        <f t="shared" si="2"/>
        <v>1.3333333333333333E-3</v>
      </c>
      <c r="AB24" s="52">
        <f t="shared" si="2"/>
        <v>1.5999999999999999E-3</v>
      </c>
      <c r="AD24" s="23"/>
      <c r="AE24" s="23">
        <v>3.1750000009999999</v>
      </c>
      <c r="AF24" s="26">
        <v>0.125</v>
      </c>
      <c r="AG24" s="24">
        <v>0.125</v>
      </c>
      <c r="AH24" s="27"/>
      <c r="AI24" s="53"/>
      <c r="AJ24" s="23"/>
    </row>
    <row r="25" spans="1:36" x14ac:dyDescent="0.2">
      <c r="A25" s="10" t="s">
        <v>68</v>
      </c>
      <c r="B25" s="39" t="s">
        <v>69</v>
      </c>
      <c r="C25" s="39" t="s">
        <v>70</v>
      </c>
      <c r="D25" s="39" t="s">
        <v>71</v>
      </c>
      <c r="E25" s="39" t="s">
        <v>72</v>
      </c>
      <c r="F25" s="39" t="s">
        <v>73</v>
      </c>
      <c r="G25" s="39" t="s">
        <v>74</v>
      </c>
      <c r="H25" s="39" t="s">
        <v>75</v>
      </c>
      <c r="I25" s="39" t="s">
        <v>76</v>
      </c>
      <c r="J25" s="39" t="s">
        <v>77</v>
      </c>
      <c r="K25" s="39" t="s">
        <v>78</v>
      </c>
      <c r="L25" s="39" t="s">
        <v>79</v>
      </c>
      <c r="M25" s="39" t="s">
        <v>79</v>
      </c>
      <c r="N25" s="39" t="s">
        <v>80</v>
      </c>
      <c r="O25" s="39" t="s">
        <v>81</v>
      </c>
      <c r="P25" s="39" t="s">
        <v>82</v>
      </c>
      <c r="Q25" s="59" t="s">
        <v>83</v>
      </c>
      <c r="V25" s="3">
        <v>85</v>
      </c>
      <c r="W25" s="51">
        <f t="shared" si="2"/>
        <v>1.075E-3</v>
      </c>
      <c r="X25" s="51">
        <f t="shared" si="2"/>
        <v>7.7499999999999986E-4</v>
      </c>
      <c r="Y25" s="51">
        <f t="shared" si="2"/>
        <v>7.7499999999999986E-4</v>
      </c>
      <c r="Z25" s="51">
        <f t="shared" si="2"/>
        <v>8.9999999999999998E-4</v>
      </c>
      <c r="AA25" s="51">
        <f t="shared" si="2"/>
        <v>1.5E-3</v>
      </c>
      <c r="AB25" s="52">
        <f t="shared" si="2"/>
        <v>1.75E-3</v>
      </c>
      <c r="AD25" s="23"/>
      <c r="AE25" s="23">
        <v>3.3734375010000002</v>
      </c>
      <c r="AF25" s="26">
        <v>0.1328125</v>
      </c>
      <c r="AG25" s="24">
        <v>0.15625</v>
      </c>
      <c r="AH25" s="27"/>
      <c r="AI25" s="53"/>
      <c r="AJ25" s="23"/>
    </row>
    <row r="26" spans="1:36" x14ac:dyDescent="0.2">
      <c r="A26" s="60"/>
      <c r="B26" s="61"/>
      <c r="C26" s="61"/>
      <c r="D26" s="61"/>
      <c r="E26" s="61"/>
      <c r="F26" s="61"/>
      <c r="G26" s="61"/>
      <c r="H26" s="61"/>
      <c r="I26" s="61"/>
      <c r="J26" s="62" t="str">
        <f t="shared" ref="J26:J39" si="3">IF(Q26="","",IF($D$13&lt;40,0.00022,VLOOKUP($D$13,$V$16:$AB$38,Q26,FALSE())))</f>
        <v/>
      </c>
      <c r="K26" s="46" t="str">
        <f t="shared" ref="K26:K39" si="4">IF(C26="","",IF(H26="U",0.02,0.1))</f>
        <v/>
      </c>
      <c r="L26" s="63" t="str">
        <f t="shared" ref="L26:L39" si="5">IF(OR(B26="",F26=""),"",(K26*(B26^2))/($D$11*F26*G26))</f>
        <v/>
      </c>
      <c r="M26" s="63" t="str">
        <f t="shared" ref="M26:M39" si="6">IF(C26="","",(K26/(J26*$D$11*G26))*(D26^2)*(C26^2)*(400/$H$10))</f>
        <v/>
      </c>
      <c r="N26" s="63" t="str">
        <f t="shared" ref="N26:N39" si="7">IF(E26="","",(K26*E26^2*60*$H$9)/($D$11*G26))</f>
        <v/>
      </c>
      <c r="O26" s="64" t="str">
        <f t="shared" ref="O26:O39" si="8">IF(N26="","",IF((-LN(N26)/LN(2))&lt;0,0,-LN(N26)/LN(2)))</f>
        <v/>
      </c>
      <c r="P26" s="65" t="str">
        <f t="shared" ref="P26:P39" si="9">IF(L26="","",IF((-LN(L26)/LN(2))&lt;0,0,-LN(L26)/LN(2)))</f>
        <v/>
      </c>
      <c r="Q26" s="66" t="str">
        <f t="shared" ref="Q26:Q39" si="10">IF(I26="","",IF(I26=30,2,IF(I26=45,3,IF(I26=4,11,IF(I26=90,5,IF(I26=120,6,7))))))</f>
        <v/>
      </c>
      <c r="V26" s="3">
        <v>90</v>
      </c>
      <c r="W26" s="51">
        <f t="shared" si="2"/>
        <v>1.2166666666666667E-3</v>
      </c>
      <c r="X26" s="51">
        <f t="shared" si="2"/>
        <v>9.1666666666666654E-4</v>
      </c>
      <c r="Y26" s="51">
        <f t="shared" si="2"/>
        <v>9.1666666666666654E-4</v>
      </c>
      <c r="Z26" s="51">
        <f t="shared" si="2"/>
        <v>1.0333333333333332E-3</v>
      </c>
      <c r="AA26" s="51">
        <f t="shared" si="2"/>
        <v>1.6666666666666666E-3</v>
      </c>
      <c r="AB26" s="52">
        <f t="shared" si="2"/>
        <v>1.9E-3</v>
      </c>
      <c r="AD26" s="23"/>
      <c r="AE26" s="23">
        <v>3.571875001</v>
      </c>
      <c r="AF26" s="26">
        <v>0.140625</v>
      </c>
      <c r="AG26" s="24">
        <v>0.15625</v>
      </c>
      <c r="AH26" s="27"/>
      <c r="AI26" s="53"/>
      <c r="AJ26" s="23"/>
    </row>
    <row r="27" spans="1:36" x14ac:dyDescent="0.2">
      <c r="A27" s="60"/>
      <c r="B27" s="61"/>
      <c r="C27" s="61"/>
      <c r="D27" s="61"/>
      <c r="E27" s="61"/>
      <c r="F27" s="61"/>
      <c r="G27" s="61"/>
      <c r="H27" s="61"/>
      <c r="I27" s="61"/>
      <c r="J27" s="62" t="str">
        <f t="shared" si="3"/>
        <v/>
      </c>
      <c r="K27" s="46" t="str">
        <f t="shared" si="4"/>
        <v/>
      </c>
      <c r="L27" s="63" t="str">
        <f t="shared" si="5"/>
        <v/>
      </c>
      <c r="M27" s="63" t="str">
        <f t="shared" si="6"/>
        <v/>
      </c>
      <c r="N27" s="63" t="str">
        <f t="shared" si="7"/>
        <v/>
      </c>
      <c r="O27" s="64" t="str">
        <f t="shared" si="8"/>
        <v/>
      </c>
      <c r="P27" s="65" t="str">
        <f t="shared" si="9"/>
        <v/>
      </c>
      <c r="Q27" s="66" t="str">
        <f t="shared" si="10"/>
        <v/>
      </c>
      <c r="V27" s="3">
        <v>95</v>
      </c>
      <c r="W27" s="51">
        <f t="shared" si="2"/>
        <v>1.3583333333333334E-3</v>
      </c>
      <c r="X27" s="51">
        <f t="shared" si="2"/>
        <v>1.0583333333333332E-3</v>
      </c>
      <c r="Y27" s="51">
        <f t="shared" si="2"/>
        <v>1.0583333333333332E-3</v>
      </c>
      <c r="Z27" s="51">
        <f t="shared" si="2"/>
        <v>1.1666666666666665E-3</v>
      </c>
      <c r="AA27" s="51">
        <f t="shared" si="2"/>
        <v>1.8333333333333335E-3</v>
      </c>
      <c r="AB27" s="52">
        <f t="shared" si="2"/>
        <v>2.0500000000000002E-3</v>
      </c>
      <c r="AD27" s="23"/>
      <c r="AE27" s="23">
        <v>3.7703125009999998</v>
      </c>
      <c r="AF27" s="26">
        <v>0.1484375</v>
      </c>
      <c r="AG27" s="24">
        <v>0.15625</v>
      </c>
      <c r="AH27" s="27"/>
      <c r="AI27" s="53"/>
      <c r="AJ27" s="23"/>
    </row>
    <row r="28" spans="1:36" x14ac:dyDescent="0.2">
      <c r="A28" s="60"/>
      <c r="B28" s="61"/>
      <c r="C28" s="61"/>
      <c r="D28" s="61"/>
      <c r="E28" s="61"/>
      <c r="F28" s="61"/>
      <c r="G28" s="61"/>
      <c r="H28" s="61"/>
      <c r="I28" s="61"/>
      <c r="J28" s="62" t="str">
        <f t="shared" si="3"/>
        <v/>
      </c>
      <c r="K28" s="46" t="str">
        <f t="shared" si="4"/>
        <v/>
      </c>
      <c r="L28" s="63" t="str">
        <f t="shared" si="5"/>
        <v/>
      </c>
      <c r="M28" s="63" t="str">
        <f t="shared" si="6"/>
        <v/>
      </c>
      <c r="N28" s="63" t="str">
        <f t="shared" si="7"/>
        <v/>
      </c>
      <c r="O28" s="64" t="str">
        <f t="shared" si="8"/>
        <v/>
      </c>
      <c r="P28" s="65" t="str">
        <f t="shared" si="9"/>
        <v/>
      </c>
      <c r="Q28" s="66" t="str">
        <f t="shared" si="10"/>
        <v/>
      </c>
      <c r="V28" s="3">
        <v>100</v>
      </c>
      <c r="W28" s="47">
        <v>1.5E-3</v>
      </c>
      <c r="X28" s="47">
        <v>1.1999999999999999E-3</v>
      </c>
      <c r="Y28" s="47">
        <v>1.1999999999999999E-3</v>
      </c>
      <c r="Z28" s="47">
        <v>1.2999999999999999E-3</v>
      </c>
      <c r="AA28" s="47">
        <v>2E-3</v>
      </c>
      <c r="AB28" s="48">
        <v>2.2000000000000001E-3</v>
      </c>
      <c r="AD28" s="23"/>
      <c r="AE28" s="23">
        <v>3.9687500010000001</v>
      </c>
      <c r="AF28" s="26">
        <v>0.15625</v>
      </c>
      <c r="AG28" s="24">
        <v>0.15625</v>
      </c>
      <c r="AH28" s="27"/>
      <c r="AI28" s="53"/>
      <c r="AJ28" s="23"/>
    </row>
    <row r="29" spans="1:36" x14ac:dyDescent="0.2">
      <c r="A29" s="60"/>
      <c r="B29" s="61"/>
      <c r="C29" s="61"/>
      <c r="D29" s="61"/>
      <c r="E29" s="61"/>
      <c r="F29" s="61"/>
      <c r="G29" s="61"/>
      <c r="H29" s="61"/>
      <c r="I29" s="61"/>
      <c r="J29" s="62" t="str">
        <f t="shared" si="3"/>
        <v/>
      </c>
      <c r="K29" s="46" t="str">
        <f t="shared" si="4"/>
        <v/>
      </c>
      <c r="L29" s="63" t="str">
        <f t="shared" si="5"/>
        <v/>
      </c>
      <c r="M29" s="63" t="str">
        <f t="shared" si="6"/>
        <v/>
      </c>
      <c r="N29" s="63" t="str">
        <f t="shared" si="7"/>
        <v/>
      </c>
      <c r="O29" s="64" t="str">
        <f t="shared" si="8"/>
        <v/>
      </c>
      <c r="P29" s="65" t="str">
        <f t="shared" si="9"/>
        <v/>
      </c>
      <c r="Q29" s="66" t="str">
        <f t="shared" si="10"/>
        <v/>
      </c>
      <c r="V29" s="3">
        <v>105</v>
      </c>
      <c r="W29" s="51">
        <f t="shared" ref="W29:AB32" si="11">((($V29-$V$28)/($V$33-$V$28))*(W$33-W$28))+W$28</f>
        <v>1.56E-3</v>
      </c>
      <c r="X29" s="51">
        <f t="shared" si="11"/>
        <v>1.2599999999999998E-3</v>
      </c>
      <c r="Y29" s="51">
        <f t="shared" si="11"/>
        <v>1.2599999999999998E-3</v>
      </c>
      <c r="Z29" s="51">
        <f t="shared" si="11"/>
        <v>1.34E-3</v>
      </c>
      <c r="AA29" s="51">
        <f t="shared" si="11"/>
        <v>2.0600000000000002E-3</v>
      </c>
      <c r="AB29" s="52">
        <f t="shared" si="11"/>
        <v>2.2600000000000003E-3</v>
      </c>
      <c r="AD29" s="23"/>
      <c r="AE29" s="23">
        <v>4.1671875009999999</v>
      </c>
      <c r="AF29" s="26">
        <v>0.1640625</v>
      </c>
      <c r="AG29" s="24">
        <v>0.1875</v>
      </c>
      <c r="AH29" s="27"/>
      <c r="AI29" s="53"/>
      <c r="AJ29" s="23"/>
    </row>
    <row r="30" spans="1:36" x14ac:dyDescent="0.2">
      <c r="A30" s="60"/>
      <c r="B30" s="61"/>
      <c r="C30" s="61"/>
      <c r="D30" s="61"/>
      <c r="E30" s="61"/>
      <c r="F30" s="61"/>
      <c r="G30" s="61"/>
      <c r="H30" s="61"/>
      <c r="I30" s="61"/>
      <c r="J30" s="62" t="str">
        <f t="shared" si="3"/>
        <v/>
      </c>
      <c r="K30" s="46" t="str">
        <f t="shared" si="4"/>
        <v/>
      </c>
      <c r="L30" s="63" t="str">
        <f t="shared" si="5"/>
        <v/>
      </c>
      <c r="M30" s="63" t="str">
        <f t="shared" si="6"/>
        <v/>
      </c>
      <c r="N30" s="63" t="str">
        <f t="shared" si="7"/>
        <v/>
      </c>
      <c r="O30" s="64" t="str">
        <f t="shared" si="8"/>
        <v/>
      </c>
      <c r="P30" s="65" t="str">
        <f t="shared" si="9"/>
        <v/>
      </c>
      <c r="Q30" s="66" t="str">
        <f t="shared" si="10"/>
        <v/>
      </c>
      <c r="V30" s="3">
        <v>110</v>
      </c>
      <c r="W30" s="51">
        <f t="shared" si="11"/>
        <v>1.6199999999999999E-3</v>
      </c>
      <c r="X30" s="51">
        <f t="shared" si="11"/>
        <v>1.32E-3</v>
      </c>
      <c r="Y30" s="51">
        <f t="shared" si="11"/>
        <v>1.32E-3</v>
      </c>
      <c r="Z30" s="51">
        <f t="shared" si="11"/>
        <v>1.3799999999999999E-3</v>
      </c>
      <c r="AA30" s="51">
        <f t="shared" si="11"/>
        <v>2.1199999999999999E-3</v>
      </c>
      <c r="AB30" s="52">
        <f t="shared" si="11"/>
        <v>2.32E-3</v>
      </c>
      <c r="AD30" s="23"/>
      <c r="AE30" s="23">
        <v>4.3656250009999997</v>
      </c>
      <c r="AF30" s="26">
        <v>0.171875</v>
      </c>
      <c r="AG30" s="24">
        <v>0.1875</v>
      </c>
      <c r="AH30" s="27"/>
      <c r="AI30" s="53"/>
      <c r="AJ30" s="23"/>
    </row>
    <row r="31" spans="1:36" x14ac:dyDescent="0.2">
      <c r="A31" s="60"/>
      <c r="B31" s="61"/>
      <c r="C31" s="61"/>
      <c r="D31" s="61"/>
      <c r="E31" s="61"/>
      <c r="F31" s="61"/>
      <c r="G31" s="61"/>
      <c r="H31" s="61"/>
      <c r="I31" s="61"/>
      <c r="J31" s="62" t="str">
        <f t="shared" si="3"/>
        <v/>
      </c>
      <c r="K31" s="46" t="str">
        <f t="shared" si="4"/>
        <v/>
      </c>
      <c r="L31" s="63" t="str">
        <f t="shared" si="5"/>
        <v/>
      </c>
      <c r="M31" s="63" t="str">
        <f t="shared" si="6"/>
        <v/>
      </c>
      <c r="N31" s="63" t="str">
        <f t="shared" si="7"/>
        <v/>
      </c>
      <c r="O31" s="64" t="str">
        <f t="shared" si="8"/>
        <v/>
      </c>
      <c r="P31" s="65" t="str">
        <f t="shared" si="9"/>
        <v/>
      </c>
      <c r="Q31" s="66" t="str">
        <f t="shared" si="10"/>
        <v/>
      </c>
      <c r="V31" s="3">
        <v>115</v>
      </c>
      <c r="W31" s="51">
        <f t="shared" si="11"/>
        <v>1.6800000000000001E-3</v>
      </c>
      <c r="X31" s="51">
        <f t="shared" si="11"/>
        <v>1.3799999999999999E-3</v>
      </c>
      <c r="Y31" s="51">
        <f t="shared" si="11"/>
        <v>1.3799999999999999E-3</v>
      </c>
      <c r="Z31" s="51">
        <f t="shared" si="11"/>
        <v>1.42E-3</v>
      </c>
      <c r="AA31" s="51">
        <f t="shared" si="11"/>
        <v>2.1800000000000001E-3</v>
      </c>
      <c r="AB31" s="52">
        <f t="shared" si="11"/>
        <v>2.3800000000000002E-3</v>
      </c>
      <c r="AD31" s="23"/>
      <c r="AE31" s="23">
        <v>4.5640625010000004</v>
      </c>
      <c r="AF31" s="26">
        <v>0.1796875</v>
      </c>
      <c r="AG31" s="24">
        <v>0.1875</v>
      </c>
      <c r="AH31" s="27"/>
      <c r="AI31" s="53"/>
      <c r="AJ31" s="23"/>
    </row>
    <row r="32" spans="1:36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2" t="str">
        <f t="shared" si="3"/>
        <v/>
      </c>
      <c r="K32" s="46" t="str">
        <f t="shared" si="4"/>
        <v/>
      </c>
      <c r="L32" s="63" t="str">
        <f t="shared" si="5"/>
        <v/>
      </c>
      <c r="M32" s="63" t="str">
        <f t="shared" si="6"/>
        <v/>
      </c>
      <c r="N32" s="63" t="str">
        <f t="shared" si="7"/>
        <v/>
      </c>
      <c r="O32" s="64" t="str">
        <f t="shared" si="8"/>
        <v/>
      </c>
      <c r="P32" s="65" t="str">
        <f t="shared" si="9"/>
        <v/>
      </c>
      <c r="Q32" s="66" t="str">
        <f t="shared" si="10"/>
        <v/>
      </c>
      <c r="V32" s="3">
        <v>120</v>
      </c>
      <c r="W32" s="51">
        <f t="shared" si="11"/>
        <v>1.74E-3</v>
      </c>
      <c r="X32" s="51">
        <f t="shared" si="11"/>
        <v>1.4400000000000001E-3</v>
      </c>
      <c r="Y32" s="51">
        <f t="shared" si="11"/>
        <v>1.4400000000000001E-3</v>
      </c>
      <c r="Z32" s="51">
        <f t="shared" si="11"/>
        <v>1.4599999999999999E-3</v>
      </c>
      <c r="AA32" s="51">
        <f t="shared" si="11"/>
        <v>2.2399999999999998E-3</v>
      </c>
      <c r="AB32" s="52">
        <f t="shared" si="11"/>
        <v>2.4399999999999999E-3</v>
      </c>
      <c r="AD32" s="23"/>
      <c r="AE32" s="23">
        <v>4.7625000010000003</v>
      </c>
      <c r="AF32" s="26">
        <v>0.1875</v>
      </c>
      <c r="AG32" s="24">
        <v>0.1875</v>
      </c>
      <c r="AH32" s="27"/>
      <c r="AI32" s="53"/>
      <c r="AJ32" s="23"/>
    </row>
    <row r="33" spans="1:46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2" t="str">
        <f t="shared" si="3"/>
        <v/>
      </c>
      <c r="K33" s="46" t="str">
        <f t="shared" si="4"/>
        <v/>
      </c>
      <c r="L33" s="63" t="str">
        <f t="shared" si="5"/>
        <v/>
      </c>
      <c r="M33" s="63" t="str">
        <f t="shared" si="6"/>
        <v/>
      </c>
      <c r="N33" s="63" t="str">
        <f t="shared" si="7"/>
        <v/>
      </c>
      <c r="O33" s="64" t="str">
        <f t="shared" si="8"/>
        <v/>
      </c>
      <c r="P33" s="65" t="str">
        <f t="shared" si="9"/>
        <v/>
      </c>
      <c r="Q33" s="66" t="str">
        <f t="shared" si="10"/>
        <v/>
      </c>
      <c r="V33" s="3">
        <v>125</v>
      </c>
      <c r="W33" s="47">
        <v>1.8E-3</v>
      </c>
      <c r="X33" s="47">
        <v>1.5E-3</v>
      </c>
      <c r="Y33" s="47">
        <v>1.5E-3</v>
      </c>
      <c r="Z33" s="47">
        <v>1.5E-3</v>
      </c>
      <c r="AA33" s="47">
        <v>2.3E-3</v>
      </c>
      <c r="AB33" s="48">
        <v>2.5000000000000001E-3</v>
      </c>
      <c r="AD33" s="23"/>
      <c r="AE33" s="23">
        <v>4.9609375010000001</v>
      </c>
      <c r="AF33" s="26">
        <v>0.1953125</v>
      </c>
      <c r="AG33" s="24">
        <v>0.21875</v>
      </c>
      <c r="AH33" s="27"/>
      <c r="AI33" s="53"/>
      <c r="AJ33" s="23"/>
    </row>
    <row r="34" spans="1:46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2" t="str">
        <f t="shared" si="3"/>
        <v/>
      </c>
      <c r="K34" s="46" t="str">
        <f t="shared" si="4"/>
        <v/>
      </c>
      <c r="L34" s="63" t="str">
        <f t="shared" si="5"/>
        <v/>
      </c>
      <c r="M34" s="63" t="str">
        <f t="shared" si="6"/>
        <v/>
      </c>
      <c r="N34" s="63" t="str">
        <f t="shared" si="7"/>
        <v/>
      </c>
      <c r="O34" s="64" t="str">
        <f t="shared" si="8"/>
        <v/>
      </c>
      <c r="P34" s="65" t="str">
        <f t="shared" si="9"/>
        <v/>
      </c>
      <c r="Q34" s="66" t="str">
        <f t="shared" si="10"/>
        <v/>
      </c>
      <c r="V34" s="67">
        <v>130</v>
      </c>
      <c r="W34" s="51">
        <f t="shared" ref="W34:AB37" si="12">((($V34-$V$33)/($V$38-$V$33))*(W$38-W$33))+W$33</f>
        <v>1.8400000000000001E-3</v>
      </c>
      <c r="X34" s="51">
        <f t="shared" si="12"/>
        <v>1.5200000000000001E-3</v>
      </c>
      <c r="Y34" s="51">
        <f t="shared" si="12"/>
        <v>1.5200000000000001E-3</v>
      </c>
      <c r="Z34" s="51">
        <f t="shared" si="12"/>
        <v>1.5200000000000001E-3</v>
      </c>
      <c r="AA34" s="51">
        <f t="shared" si="12"/>
        <v>2.32E-3</v>
      </c>
      <c r="AB34" s="52">
        <f t="shared" si="12"/>
        <v>2.5200000000000001E-3</v>
      </c>
      <c r="AD34" s="23"/>
      <c r="AE34" s="23">
        <v>5.1593750009999999</v>
      </c>
      <c r="AF34" s="26">
        <v>0.203125</v>
      </c>
      <c r="AG34" s="24">
        <v>0.21875</v>
      </c>
      <c r="AH34" s="27"/>
      <c r="AI34" s="53"/>
      <c r="AJ34" s="23"/>
    </row>
    <row r="35" spans="1:46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2" t="str">
        <f t="shared" si="3"/>
        <v/>
      </c>
      <c r="K35" s="46" t="str">
        <f t="shared" si="4"/>
        <v/>
      </c>
      <c r="L35" s="63" t="str">
        <f t="shared" si="5"/>
        <v/>
      </c>
      <c r="M35" s="63" t="str">
        <f t="shared" si="6"/>
        <v/>
      </c>
      <c r="N35" s="63" t="str">
        <f t="shared" si="7"/>
        <v/>
      </c>
      <c r="O35" s="64" t="str">
        <f t="shared" si="8"/>
        <v/>
      </c>
      <c r="P35" s="65" t="str">
        <f t="shared" si="9"/>
        <v/>
      </c>
      <c r="Q35" s="66" t="str">
        <f t="shared" si="10"/>
        <v/>
      </c>
      <c r="V35" s="67">
        <v>135</v>
      </c>
      <c r="W35" s="51">
        <f t="shared" si="12"/>
        <v>1.8799999999999999E-3</v>
      </c>
      <c r="X35" s="51">
        <f t="shared" si="12"/>
        <v>1.5400000000000001E-3</v>
      </c>
      <c r="Y35" s="51">
        <f t="shared" si="12"/>
        <v>1.5400000000000001E-3</v>
      </c>
      <c r="Z35" s="51">
        <f t="shared" si="12"/>
        <v>1.5400000000000001E-3</v>
      </c>
      <c r="AA35" s="51">
        <f t="shared" si="12"/>
        <v>2.3400000000000001E-3</v>
      </c>
      <c r="AB35" s="52">
        <f t="shared" si="12"/>
        <v>2.5400000000000002E-3</v>
      </c>
      <c r="AD35" s="23"/>
      <c r="AE35" s="23">
        <v>5.3578125009999997</v>
      </c>
      <c r="AF35" s="26">
        <v>0.2109375</v>
      </c>
      <c r="AG35" s="24">
        <v>0.21875</v>
      </c>
      <c r="AH35" s="27"/>
      <c r="AI35" s="53"/>
      <c r="AJ35" s="23"/>
    </row>
    <row r="36" spans="1:46" x14ac:dyDescent="0.2">
      <c r="A36" s="60"/>
      <c r="B36" s="61"/>
      <c r="C36" s="61"/>
      <c r="D36" s="61"/>
      <c r="E36" s="61"/>
      <c r="F36" s="61"/>
      <c r="G36" s="61"/>
      <c r="H36" s="61"/>
      <c r="I36" s="61"/>
      <c r="J36" s="62" t="str">
        <f t="shared" si="3"/>
        <v/>
      </c>
      <c r="K36" s="46" t="str">
        <f t="shared" si="4"/>
        <v/>
      </c>
      <c r="L36" s="63" t="str">
        <f t="shared" si="5"/>
        <v/>
      </c>
      <c r="M36" s="63" t="str">
        <f t="shared" si="6"/>
        <v/>
      </c>
      <c r="N36" s="63" t="str">
        <f t="shared" si="7"/>
        <v/>
      </c>
      <c r="O36" s="64" t="str">
        <f t="shared" si="8"/>
        <v/>
      </c>
      <c r="P36" s="65" t="str">
        <f t="shared" si="9"/>
        <v/>
      </c>
      <c r="Q36" s="66" t="str">
        <f t="shared" si="10"/>
        <v/>
      </c>
      <c r="V36" s="67">
        <v>140</v>
      </c>
      <c r="W36" s="51">
        <f t="shared" si="12"/>
        <v>1.92E-3</v>
      </c>
      <c r="X36" s="51">
        <f t="shared" si="12"/>
        <v>1.56E-3</v>
      </c>
      <c r="Y36" s="51">
        <f t="shared" si="12"/>
        <v>1.56E-3</v>
      </c>
      <c r="Z36" s="51">
        <f t="shared" si="12"/>
        <v>1.56E-3</v>
      </c>
      <c r="AA36" s="51">
        <f t="shared" si="12"/>
        <v>2.3599999999999997E-3</v>
      </c>
      <c r="AB36" s="52">
        <f t="shared" si="12"/>
        <v>2.5599999999999998E-3</v>
      </c>
      <c r="AD36" s="23"/>
      <c r="AE36" s="23">
        <v>5.5562500010000004</v>
      </c>
      <c r="AF36" s="26">
        <v>0.21875</v>
      </c>
      <c r="AG36" s="24">
        <v>0.21875</v>
      </c>
      <c r="AH36" s="27"/>
      <c r="AI36" s="53"/>
      <c r="AJ36" s="23"/>
    </row>
    <row r="37" spans="1:46" x14ac:dyDescent="0.2">
      <c r="A37" s="60"/>
      <c r="B37" s="61"/>
      <c r="C37" s="61"/>
      <c r="D37" s="61"/>
      <c r="E37" s="61"/>
      <c r="F37" s="61"/>
      <c r="G37" s="61"/>
      <c r="H37" s="61"/>
      <c r="I37" s="61"/>
      <c r="J37" s="62" t="str">
        <f t="shared" si="3"/>
        <v/>
      </c>
      <c r="K37" s="46" t="str">
        <f t="shared" si="4"/>
        <v/>
      </c>
      <c r="L37" s="63" t="str">
        <f t="shared" si="5"/>
        <v/>
      </c>
      <c r="M37" s="63" t="str">
        <f t="shared" si="6"/>
        <v/>
      </c>
      <c r="N37" s="63" t="str">
        <f t="shared" si="7"/>
        <v/>
      </c>
      <c r="O37" s="64" t="str">
        <f t="shared" si="8"/>
        <v/>
      </c>
      <c r="P37" s="65" t="str">
        <f t="shared" si="9"/>
        <v/>
      </c>
      <c r="Q37" s="66" t="str">
        <f t="shared" si="10"/>
        <v/>
      </c>
      <c r="V37" s="67">
        <v>145</v>
      </c>
      <c r="W37" s="51">
        <f t="shared" si="12"/>
        <v>1.9599999999999999E-3</v>
      </c>
      <c r="X37" s="51">
        <f t="shared" si="12"/>
        <v>1.58E-3</v>
      </c>
      <c r="Y37" s="51">
        <f t="shared" si="12"/>
        <v>1.58E-3</v>
      </c>
      <c r="Z37" s="51">
        <f t="shared" si="12"/>
        <v>1.58E-3</v>
      </c>
      <c r="AA37" s="51">
        <f t="shared" si="12"/>
        <v>2.3799999999999997E-3</v>
      </c>
      <c r="AB37" s="52">
        <f t="shared" si="12"/>
        <v>2.5799999999999998E-3</v>
      </c>
      <c r="AD37" s="23"/>
      <c r="AE37" s="23">
        <v>5.7546875010000003</v>
      </c>
      <c r="AF37" s="26">
        <v>0.2265625</v>
      </c>
      <c r="AG37" s="24">
        <v>0.25</v>
      </c>
      <c r="AH37" s="27"/>
      <c r="AI37" s="53"/>
      <c r="AJ37" s="23"/>
    </row>
    <row r="38" spans="1:46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2" t="str">
        <f t="shared" si="3"/>
        <v/>
      </c>
      <c r="K38" s="46" t="str">
        <f t="shared" si="4"/>
        <v/>
      </c>
      <c r="L38" s="63" t="str">
        <f t="shared" si="5"/>
        <v/>
      </c>
      <c r="M38" s="63" t="str">
        <f t="shared" si="6"/>
        <v/>
      </c>
      <c r="N38" s="63" t="str">
        <f t="shared" si="7"/>
        <v/>
      </c>
      <c r="O38" s="64" t="str">
        <f t="shared" si="8"/>
        <v/>
      </c>
      <c r="P38" s="65" t="str">
        <f t="shared" si="9"/>
        <v/>
      </c>
      <c r="Q38" s="66" t="str">
        <f t="shared" si="10"/>
        <v/>
      </c>
      <c r="V38" s="68">
        <v>150</v>
      </c>
      <c r="W38" s="69">
        <v>2E-3</v>
      </c>
      <c r="X38" s="69">
        <v>1.6000000000000001E-3</v>
      </c>
      <c r="Y38" s="69">
        <v>1.6000000000000001E-3</v>
      </c>
      <c r="Z38" s="69">
        <v>1.6000000000000001E-3</v>
      </c>
      <c r="AA38" s="69">
        <v>2.3999999999999998E-3</v>
      </c>
      <c r="AB38" s="70">
        <v>2.5999999999999999E-3</v>
      </c>
      <c r="AD38" s="23"/>
      <c r="AE38" s="23">
        <v>5.9531250010000001</v>
      </c>
      <c r="AF38" s="26">
        <v>0.234375</v>
      </c>
      <c r="AG38" s="24">
        <v>0.25</v>
      </c>
      <c r="AH38" s="27"/>
      <c r="AI38" s="53"/>
      <c r="AJ38" s="23"/>
    </row>
    <row r="39" spans="1:46" x14ac:dyDescent="0.2">
      <c r="A39" s="60"/>
      <c r="B39" s="61"/>
      <c r="C39" s="61"/>
      <c r="D39" s="61"/>
      <c r="E39" s="61"/>
      <c r="F39" s="71"/>
      <c r="G39" s="61"/>
      <c r="H39" s="61"/>
      <c r="I39" s="61"/>
      <c r="J39" s="62" t="str">
        <f t="shared" si="3"/>
        <v/>
      </c>
      <c r="K39" s="46" t="str">
        <f t="shared" si="4"/>
        <v/>
      </c>
      <c r="L39" s="63" t="str">
        <f t="shared" si="5"/>
        <v/>
      </c>
      <c r="M39" s="63" t="str">
        <f t="shared" si="6"/>
        <v/>
      </c>
      <c r="N39" s="63" t="str">
        <f t="shared" si="7"/>
        <v/>
      </c>
      <c r="O39" s="64" t="str">
        <f t="shared" si="8"/>
        <v/>
      </c>
      <c r="P39" s="65" t="str">
        <f t="shared" si="9"/>
        <v/>
      </c>
      <c r="Q39" s="66" t="str">
        <f t="shared" si="10"/>
        <v/>
      </c>
      <c r="W39" s="72"/>
      <c r="X39" s="73" t="s">
        <v>84</v>
      </c>
      <c r="AD39" s="23"/>
      <c r="AE39" s="23">
        <v>6.1515625009999999</v>
      </c>
      <c r="AF39" s="26">
        <v>0.2421875</v>
      </c>
      <c r="AG39" s="24">
        <v>0.25</v>
      </c>
      <c r="AH39" s="27"/>
      <c r="AI39" s="53"/>
      <c r="AJ39" s="23"/>
    </row>
    <row r="40" spans="1:46" x14ac:dyDescent="0.2">
      <c r="A40" s="74" t="s">
        <v>85</v>
      </c>
      <c r="E40" s="8" t="s">
        <v>86</v>
      </c>
      <c r="F40" s="75" t="str">
        <f>IF(A26="","",SUM(F26:F38))</f>
        <v/>
      </c>
      <c r="AD40" s="23"/>
      <c r="AE40">
        <v>6.3500000009999997</v>
      </c>
      <c r="AF40" s="26">
        <v>0.25</v>
      </c>
      <c r="AG40" s="24" t="s">
        <v>87</v>
      </c>
      <c r="AH40" s="27"/>
      <c r="AI40" s="53"/>
    </row>
    <row r="41" spans="1:46" ht="12.75" customHeight="1" x14ac:dyDescent="0.2">
      <c r="A41" s="13" t="str">
        <f>IF(D8="","",B3&amp;"        Workload ="&amp;D11&amp;"   mA * min /wk"&amp;" @ "&amp;D13&amp;" kVp")</f>
        <v/>
      </c>
      <c r="AD41" s="23"/>
      <c r="AE41" s="23">
        <v>25.400000000999999</v>
      </c>
    </row>
    <row r="42" spans="1:46" ht="12.75" customHeight="1" x14ac:dyDescent="0.2">
      <c r="A42" s="13" t="s">
        <v>88</v>
      </c>
      <c r="D42" s="13" t="str">
        <f>IF($B$3="","",$B$3)</f>
        <v/>
      </c>
      <c r="M42" s="76" t="str">
        <f>IF($B$5="","",$B$5)</f>
        <v/>
      </c>
      <c r="N42" s="3" t="s">
        <v>89</v>
      </c>
      <c r="O42" s="234" t="s">
        <v>90</v>
      </c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5" t="s">
        <v>90</v>
      </c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</row>
    <row r="43" spans="1:46" x14ac:dyDescent="0.2">
      <c r="A43" s="13"/>
      <c r="B43" s="229" t="s">
        <v>60</v>
      </c>
      <c r="C43" s="229"/>
      <c r="D43" s="229"/>
      <c r="E43" s="230" t="s">
        <v>62</v>
      </c>
      <c r="F43" s="230"/>
      <c r="G43" s="230"/>
      <c r="H43" s="229" t="s">
        <v>91</v>
      </c>
      <c r="I43" s="229"/>
      <c r="J43" s="229"/>
      <c r="K43" s="77" t="s">
        <v>92</v>
      </c>
      <c r="N43" s="3" t="s">
        <v>93</v>
      </c>
      <c r="O43" s="78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E43" s="3"/>
      <c r="AT43" s="37"/>
    </row>
    <row r="44" spans="1:46" x14ac:dyDescent="0.2">
      <c r="A44" s="10" t="s">
        <v>68</v>
      </c>
      <c r="B44" s="38" t="str">
        <f>$A$17</f>
        <v>Lead</v>
      </c>
      <c r="C44" s="39" t="str">
        <f>$A$18</f>
        <v>Concrete</v>
      </c>
      <c r="D44" s="79" t="str">
        <f>$A$19</f>
        <v>Gypsum</v>
      </c>
      <c r="E44" s="38" t="str">
        <f>B44</f>
        <v>Lead</v>
      </c>
      <c r="F44" s="39" t="str">
        <f>C44</f>
        <v>Concrete</v>
      </c>
      <c r="G44" s="80" t="str">
        <f>D44</f>
        <v>Gypsum</v>
      </c>
      <c r="H44" s="38" t="str">
        <f>B44</f>
        <v>Lead</v>
      </c>
      <c r="I44" s="39" t="str">
        <f>C44</f>
        <v>Concrete</v>
      </c>
      <c r="J44" s="79" t="str">
        <f>D44</f>
        <v>Gypsum</v>
      </c>
      <c r="K44" s="38" t="str">
        <f>H44</f>
        <v>Lead</v>
      </c>
      <c r="L44" s="39" t="str">
        <f>I44</f>
        <v>Concrete</v>
      </c>
      <c r="M44" s="79" t="str">
        <f>J44</f>
        <v>Gypsum</v>
      </c>
      <c r="N44" s="38" t="s">
        <v>94</v>
      </c>
      <c r="O44" s="3"/>
      <c r="P44" s="228" t="s">
        <v>95</v>
      </c>
      <c r="Q44" s="228"/>
      <c r="R44" s="228"/>
      <c r="S44"/>
      <c r="T44"/>
      <c r="U44" s="228" t="s">
        <v>96</v>
      </c>
      <c r="V44" s="228"/>
      <c r="W44" s="228"/>
      <c r="X44"/>
      <c r="Y44"/>
      <c r="Z44" s="228" t="s">
        <v>53</v>
      </c>
      <c r="AA44" s="228"/>
      <c r="AB44" s="228"/>
      <c r="AC44"/>
      <c r="AE44" s="229" t="s">
        <v>55</v>
      </c>
      <c r="AF44" s="229"/>
      <c r="AG44" s="229"/>
      <c r="AJ44" s="228" t="s">
        <v>97</v>
      </c>
      <c r="AK44" s="228"/>
      <c r="AL44" s="228"/>
      <c r="AO44" s="228" t="s">
        <v>59</v>
      </c>
      <c r="AP44" s="228"/>
      <c r="AQ44" s="228"/>
      <c r="AT44" s="42"/>
    </row>
    <row r="45" spans="1:46" x14ac:dyDescent="0.2">
      <c r="A45" s="45" t="str">
        <f t="shared" ref="A45:A58" si="13">IF($A26="","",$A26)</f>
        <v/>
      </c>
      <c r="B45" s="81" t="str">
        <f t="shared" ref="B45:B58" si="14">IF(OR($B26=0,$F26=""),"",(1/($B$17*$D$17))*LN(((($L26/$E$17)^-$D$17)+($C$17/$B$17))/(1+($C$17/$B$17))))</f>
        <v/>
      </c>
      <c r="C45" s="82" t="str">
        <f t="shared" ref="C45:C58" si="15">IF(OR($B26=0,$F26=""),"",(1/($B$18*$D$18))*LN(((($L26/$E$18)^-$D$18)+($C$18/$B$18))/(1+($C$18/$B$18))))</f>
        <v/>
      </c>
      <c r="D45" s="82" t="str">
        <f t="shared" ref="D45:D58" si="16">IF(OR($B26=0,$F26=""),"",(1/($B$19*$D$19))*LN(((($L26/$E$19)^-$D$19)+($C$19/$B$19))/(1+($C$19/$B$19))))</f>
        <v/>
      </c>
      <c r="E45" s="81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82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83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84" t="str">
        <f t="shared" ref="H45:H58" si="20">IF($N26="","",IF(-LN($N26)*$F$17/LN(2)&lt;0,0,-LN($N26)*$F$17/LN(2)))</f>
        <v/>
      </c>
      <c r="I45" s="84" t="str">
        <f t="shared" ref="I45:I58" si="21">IF($N26="","",IF(-LN($N26)*$F$18/LN(2)&lt;0,0,-LN($N26)*$F$18/LN(2)))</f>
        <v/>
      </c>
      <c r="J45" s="84" t="str">
        <f t="shared" ref="J45:J58" si="22">IF($N26="","",IF(-LN($N26)*$F$19/LN(2)&lt;0,0,-LN($N26)*$F$19/LN(2)))</f>
        <v/>
      </c>
      <c r="K45" s="81" t="str">
        <f t="shared" ref="K45:K58" si="23">IF($E45="","",IF(AND($E45=0,$H45=0),0,IF(OR($E45=0,$H45=0),MAX($E45,$H45),IF(ABS($E45-$H45)&gt;$G$17,MAX($E45,$H45),(MAX($E45,$H45)+$F$17)))))</f>
        <v/>
      </c>
      <c r="L45" s="82" t="str">
        <f t="shared" ref="L45:L58" si="24">IF($F45="","",IF(AND($F45=0,$I45=0),0,IF(OR($F45=0,$I45=0),MAX($F45,$I45),IF(ABS($F45-$I45)&gt;$G$18,MAX($F45,$I45),(MAX($F45,$I45)+$F$18)))))</f>
        <v/>
      </c>
      <c r="M45" s="82" t="str">
        <f t="shared" ref="M45:M58" si="25">IF($G45="","",IF(AND($G45=0,$J45=0),0,IF(OR($G45=0,$J45=0),MAX($G45,$J45),IF(ABS($G45-$J45)&gt;$G$19,MAX($G45,$J45),(MAX($G45,$J45)+$F$19)))))</f>
        <v/>
      </c>
      <c r="N45" s="85" t="str">
        <f t="shared" ref="N45:N58" si="26">IF(AND(B45="",E45="",H45=""),"",IF(B45="",LOOKUP(K45,mm_value,minimum_Pb),LOOKUP(B45,mm_value,minimum_Pb)))</f>
        <v/>
      </c>
      <c r="O45" s="38" t="s">
        <v>38</v>
      </c>
      <c r="P45" s="43" t="s">
        <v>41</v>
      </c>
      <c r="Q45" s="43" t="s">
        <v>42</v>
      </c>
      <c r="R45" s="43" t="s">
        <v>43</v>
      </c>
      <c r="S45" s="39" t="s">
        <v>45</v>
      </c>
      <c r="T45" s="39" t="s">
        <v>46</v>
      </c>
      <c r="U45" s="43" t="s">
        <v>41</v>
      </c>
      <c r="V45" s="43" t="s">
        <v>42</v>
      </c>
      <c r="W45" s="43" t="s">
        <v>43</v>
      </c>
      <c r="X45" s="39" t="s">
        <v>45</v>
      </c>
      <c r="Y45" s="39" t="s">
        <v>46</v>
      </c>
      <c r="Z45" s="43" t="s">
        <v>41</v>
      </c>
      <c r="AA45" s="43" t="s">
        <v>42</v>
      </c>
      <c r="AB45" s="43" t="s">
        <v>43</v>
      </c>
      <c r="AC45" s="39" t="s">
        <v>45</v>
      </c>
      <c r="AD45" s="39" t="s">
        <v>46</v>
      </c>
      <c r="AE45" s="86" t="s">
        <v>41</v>
      </c>
      <c r="AF45" s="43" t="s">
        <v>42</v>
      </c>
      <c r="AG45" s="43" t="s">
        <v>43</v>
      </c>
      <c r="AH45" s="39" t="s">
        <v>45</v>
      </c>
      <c r="AI45" s="39" t="s">
        <v>46</v>
      </c>
      <c r="AJ45" s="43" t="s">
        <v>41</v>
      </c>
      <c r="AK45" s="43" t="s">
        <v>42</v>
      </c>
      <c r="AL45" s="43" t="s">
        <v>43</v>
      </c>
      <c r="AM45" s="39" t="s">
        <v>45</v>
      </c>
      <c r="AN45" s="39" t="s">
        <v>46</v>
      </c>
      <c r="AO45" s="43" t="s">
        <v>41</v>
      </c>
      <c r="AP45" s="43" t="s">
        <v>42</v>
      </c>
      <c r="AQ45" s="43" t="s">
        <v>43</v>
      </c>
      <c r="AR45" s="39" t="s">
        <v>45</v>
      </c>
      <c r="AS45" s="39" t="s">
        <v>46</v>
      </c>
      <c r="AT45" s="40" t="s">
        <v>98</v>
      </c>
    </row>
    <row r="46" spans="1:46" x14ac:dyDescent="0.2">
      <c r="A46" s="45" t="str">
        <f t="shared" si="13"/>
        <v/>
      </c>
      <c r="B46" s="81" t="str">
        <f t="shared" si="14"/>
        <v/>
      </c>
      <c r="C46" s="82" t="str">
        <f t="shared" si="15"/>
        <v/>
      </c>
      <c r="D46" s="82" t="str">
        <f t="shared" si="16"/>
        <v/>
      </c>
      <c r="E46" s="81" t="str">
        <f t="shared" si="17"/>
        <v/>
      </c>
      <c r="F46" s="82" t="str">
        <f t="shared" si="18"/>
        <v/>
      </c>
      <c r="G46" s="83" t="str">
        <f t="shared" si="19"/>
        <v/>
      </c>
      <c r="H46" s="84" t="str">
        <f t="shared" si="20"/>
        <v/>
      </c>
      <c r="I46" s="84" t="str">
        <f t="shared" si="21"/>
        <v/>
      </c>
      <c r="J46" s="84" t="str">
        <f t="shared" si="22"/>
        <v/>
      </c>
      <c r="K46" s="81" t="str">
        <f t="shared" si="23"/>
        <v/>
      </c>
      <c r="L46" s="82" t="str">
        <f t="shared" si="24"/>
        <v/>
      </c>
      <c r="M46" s="82" t="str">
        <f t="shared" si="25"/>
        <v/>
      </c>
      <c r="N46" s="85" t="str">
        <f t="shared" si="26"/>
        <v/>
      </c>
      <c r="O46" s="3">
        <v>25</v>
      </c>
      <c r="P46" s="87">
        <v>49.52</v>
      </c>
      <c r="Q46" s="88">
        <v>194</v>
      </c>
      <c r="R46" s="87">
        <v>0.30370000000000003</v>
      </c>
      <c r="S46" s="89">
        <f t="shared" ref="S46:S71" si="27">IF(P46="","",LN(2)/P46)</f>
        <v>1.3997317862680639E-2</v>
      </c>
      <c r="T46" s="89">
        <f t="shared" ref="T46:T71" si="28">IF(S46="","",(LN(10)/LN(2))*S46)</f>
        <v>4.6498083461107544E-2</v>
      </c>
      <c r="U46" s="87">
        <v>0.39040000000000002</v>
      </c>
      <c r="V46" s="87">
        <v>1.645</v>
      </c>
      <c r="W46" s="87">
        <v>0.2757</v>
      </c>
      <c r="X46" s="89">
        <f t="shared" ref="X46:X71" si="29">IF(U46="","",LN(2)/U46)</f>
        <v>1.775479458401499</v>
      </c>
      <c r="Y46" s="89">
        <f t="shared" ref="Y46:Y71" si="30">IF(X46="","",(LN(10)/LN(2))*X46)</f>
        <v>5.8980150947593382</v>
      </c>
      <c r="Z46" s="87">
        <v>0.15759999999999999</v>
      </c>
      <c r="AA46" s="87">
        <v>0.71750000000000003</v>
      </c>
      <c r="AB46" s="87">
        <v>0.30480000000000002</v>
      </c>
      <c r="AC46" s="89">
        <f t="shared" ref="AC46:AC71" si="31">IF(Z46="","",LN(2)/Z46)</f>
        <v>4.3981420086290948</v>
      </c>
      <c r="AD46" s="89">
        <f t="shared" ref="AD46:AD71" si="32">IF(AC46="","",(LN(10)/LN(2))*AC46)</f>
        <v>14.610311503769328</v>
      </c>
      <c r="AE46" s="90">
        <v>9.3640000000000008</v>
      </c>
      <c r="AF46" s="87">
        <v>41.25</v>
      </c>
      <c r="AG46" s="87">
        <v>0.32019999999999998</v>
      </c>
      <c r="AH46" s="89">
        <f t="shared" ref="AH46:AH71" si="33">IF(AE46="","",LN(2)/AE46)</f>
        <v>7.4022552387862581E-2</v>
      </c>
      <c r="AI46" s="89">
        <f t="shared" ref="AI46:AI71" si="34">IF(AH46="","",(LN(10)/LN(2))*AH46)</f>
        <v>0.24589759643251233</v>
      </c>
      <c r="AJ46" s="87">
        <v>0.38040000000000002</v>
      </c>
      <c r="AK46" s="87">
        <v>1.5429999999999999</v>
      </c>
      <c r="AL46" s="87">
        <v>0.28689999999999999</v>
      </c>
      <c r="AM46" s="89">
        <f t="shared" ref="AM46:AM71" si="35">IF(AJ46="","",LN(2)/AJ46)</f>
        <v>1.8221534715035363</v>
      </c>
      <c r="AN46" s="89">
        <f t="shared" ref="AN46:AN71" si="36">IF(AM46="","",(LN(10)/LN(2))*AM46)</f>
        <v>6.0530628101841364</v>
      </c>
      <c r="AO46" s="91">
        <v>2.23E-2</v>
      </c>
      <c r="AP46" s="89">
        <v>4.3400000000000001E-2</v>
      </c>
      <c r="AQ46" s="87">
        <v>0.19370000000000001</v>
      </c>
      <c r="AR46" s="89">
        <f t="shared" ref="AR46:AR71" si="37">IF(AO46="","",LN(2)/AO46)</f>
        <v>31.082833208966157</v>
      </c>
      <c r="AS46" s="89">
        <f t="shared" ref="AS46:AS71" si="38">IF(AR46="","",(LN(10)/LN(2))*AR46)</f>
        <v>103.2549369055626</v>
      </c>
      <c r="AT46" s="92">
        <f>0.1965*O46-3.429</f>
        <v>1.4835000000000007</v>
      </c>
    </row>
    <row r="47" spans="1:46" x14ac:dyDescent="0.2">
      <c r="A47" s="45" t="str">
        <f t="shared" si="13"/>
        <v/>
      </c>
      <c r="B47" s="81" t="str">
        <f t="shared" si="14"/>
        <v/>
      </c>
      <c r="C47" s="82" t="str">
        <f t="shared" si="15"/>
        <v/>
      </c>
      <c r="D47" s="82" t="str">
        <f t="shared" si="16"/>
        <v/>
      </c>
      <c r="E47" s="81" t="str">
        <f t="shared" si="17"/>
        <v/>
      </c>
      <c r="F47" s="82" t="str">
        <f t="shared" si="18"/>
        <v/>
      </c>
      <c r="G47" s="83" t="str">
        <f t="shared" si="19"/>
        <v/>
      </c>
      <c r="H47" s="84" t="str">
        <f t="shared" si="20"/>
        <v/>
      </c>
      <c r="I47" s="84" t="str">
        <f t="shared" si="21"/>
        <v/>
      </c>
      <c r="J47" s="84" t="str">
        <f t="shared" si="22"/>
        <v/>
      </c>
      <c r="K47" s="81" t="str">
        <f t="shared" si="23"/>
        <v/>
      </c>
      <c r="L47" s="82" t="str">
        <f t="shared" si="24"/>
        <v/>
      </c>
      <c r="M47" s="82" t="str">
        <f t="shared" si="25"/>
        <v/>
      </c>
      <c r="N47" s="85" t="str">
        <f t="shared" si="26"/>
        <v/>
      </c>
      <c r="O47" s="3">
        <v>30</v>
      </c>
      <c r="P47" s="87">
        <v>38.799999999999997</v>
      </c>
      <c r="Q47" s="88">
        <v>178</v>
      </c>
      <c r="R47" s="87">
        <v>0.3473</v>
      </c>
      <c r="S47" s="89">
        <f t="shared" si="27"/>
        <v>1.7864618055668694E-2</v>
      </c>
      <c r="T47" s="89">
        <f t="shared" si="28"/>
        <v>5.9344976623557887E-2</v>
      </c>
      <c r="U47" s="87">
        <v>0.31730000000000003</v>
      </c>
      <c r="V47" s="87">
        <v>1.698</v>
      </c>
      <c r="W47" s="87">
        <v>0.35930000000000001</v>
      </c>
      <c r="X47" s="89">
        <f t="shared" si="29"/>
        <v>2.1845167997477</v>
      </c>
      <c r="Y47" s="89">
        <f t="shared" si="30"/>
        <v>7.2568077308353152</v>
      </c>
      <c r="Z47" s="87">
        <v>0.1208</v>
      </c>
      <c r="AA47" s="87">
        <v>0.70430000000000004</v>
      </c>
      <c r="AB47" s="87">
        <v>0.36130000000000001</v>
      </c>
      <c r="AC47" s="89">
        <f t="shared" si="31"/>
        <v>5.7379733490061691</v>
      </c>
      <c r="AD47" s="89">
        <f t="shared" si="32"/>
        <v>19.061134875778524</v>
      </c>
      <c r="AE47" s="90">
        <v>7.4059999999999997</v>
      </c>
      <c r="AF47" s="87">
        <v>41.93</v>
      </c>
      <c r="AG47" s="87">
        <v>0.39589999999999997</v>
      </c>
      <c r="AH47" s="89">
        <f t="shared" si="33"/>
        <v>9.3592651979468713E-2</v>
      </c>
      <c r="AI47" s="89">
        <f t="shared" si="34"/>
        <v>0.31090806008561245</v>
      </c>
      <c r="AJ47" s="87">
        <v>0.30609999999999998</v>
      </c>
      <c r="AK47" s="87">
        <v>1.599</v>
      </c>
      <c r="AL47" s="87">
        <v>0.36930000000000002</v>
      </c>
      <c r="AM47" s="89">
        <f t="shared" si="35"/>
        <v>2.2644468492647674</v>
      </c>
      <c r="AN47" s="89">
        <f t="shared" si="36"/>
        <v>7.5223296079517992</v>
      </c>
      <c r="AO47" s="91">
        <v>2.1659999999999999E-2</v>
      </c>
      <c r="AP47" s="89">
        <v>3.9660000000000001E-2</v>
      </c>
      <c r="AQ47" s="87">
        <v>0.2843</v>
      </c>
      <c r="AR47" s="89">
        <f t="shared" si="37"/>
        <v>32.001254873497011</v>
      </c>
      <c r="AS47" s="89">
        <f t="shared" si="38"/>
        <v>106.30586763592085</v>
      </c>
      <c r="AT47" s="92">
        <f>0.1965*O47-3.429</f>
        <v>2.4660000000000006</v>
      </c>
    </row>
    <row r="48" spans="1:46" x14ac:dyDescent="0.2">
      <c r="A48" s="45" t="str">
        <f t="shared" si="13"/>
        <v/>
      </c>
      <c r="B48" s="81" t="str">
        <f t="shared" si="14"/>
        <v/>
      </c>
      <c r="C48" s="82" t="str">
        <f t="shared" si="15"/>
        <v/>
      </c>
      <c r="D48" s="82" t="str">
        <f t="shared" si="16"/>
        <v/>
      </c>
      <c r="E48" s="81" t="str">
        <f t="shared" si="17"/>
        <v/>
      </c>
      <c r="F48" s="82" t="str">
        <f t="shared" si="18"/>
        <v/>
      </c>
      <c r="G48" s="83" t="str">
        <f t="shared" si="19"/>
        <v/>
      </c>
      <c r="H48" s="84" t="str">
        <f t="shared" si="20"/>
        <v/>
      </c>
      <c r="I48" s="84" t="str">
        <f t="shared" si="21"/>
        <v/>
      </c>
      <c r="J48" s="84" t="str">
        <f t="shared" si="22"/>
        <v/>
      </c>
      <c r="K48" s="81" t="str">
        <f t="shared" si="23"/>
        <v/>
      </c>
      <c r="L48" s="82" t="str">
        <f t="shared" si="24"/>
        <v/>
      </c>
      <c r="M48" s="82" t="str">
        <f t="shared" si="25"/>
        <v/>
      </c>
      <c r="N48" s="85" t="str">
        <f t="shared" si="26"/>
        <v/>
      </c>
      <c r="O48" s="3">
        <v>35</v>
      </c>
      <c r="P48" s="87">
        <v>29.55</v>
      </c>
      <c r="Q48" s="88">
        <v>164.7</v>
      </c>
      <c r="R48" s="87">
        <v>0.39479999999999998</v>
      </c>
      <c r="S48" s="89">
        <f t="shared" si="27"/>
        <v>2.345675737935517E-2</v>
      </c>
      <c r="T48" s="89">
        <f t="shared" si="28"/>
        <v>7.7921661353436408E-2</v>
      </c>
      <c r="U48" s="87">
        <v>0.25280000000000002</v>
      </c>
      <c r="V48" s="87">
        <v>1.8069999999999999</v>
      </c>
      <c r="W48" s="87">
        <v>0.46479999999999999</v>
      </c>
      <c r="X48" s="89">
        <f t="shared" si="29"/>
        <v>2.741879669936492</v>
      </c>
      <c r="Y48" s="89">
        <f t="shared" si="30"/>
        <v>9.1083271083625217</v>
      </c>
      <c r="Z48" s="87">
        <v>8.8779999999999998E-2</v>
      </c>
      <c r="AA48" s="87">
        <v>0.69879999999999998</v>
      </c>
      <c r="AB48" s="87">
        <v>0.42449999999999999</v>
      </c>
      <c r="AC48" s="89">
        <f t="shared" si="31"/>
        <v>7.8074699319660432</v>
      </c>
      <c r="AD48" s="89">
        <f t="shared" si="32"/>
        <v>25.935853716986326</v>
      </c>
      <c r="AE48" s="90">
        <v>5.7160000000000002</v>
      </c>
      <c r="AF48" s="87">
        <v>43.41</v>
      </c>
      <c r="AG48" s="87">
        <v>0.48570000000000002</v>
      </c>
      <c r="AH48" s="89">
        <f t="shared" si="33"/>
        <v>0.12126437728480498</v>
      </c>
      <c r="AI48" s="89">
        <f t="shared" si="34"/>
        <v>0.40283154181141456</v>
      </c>
      <c r="AJ48" s="87">
        <v>0.23960000000000001</v>
      </c>
      <c r="AK48" s="87">
        <v>1.694</v>
      </c>
      <c r="AL48" s="87">
        <v>0.46829999999999999</v>
      </c>
      <c r="AM48" s="89">
        <f t="shared" si="35"/>
        <v>2.892934810350356</v>
      </c>
      <c r="AN48" s="89">
        <f t="shared" si="36"/>
        <v>9.6101214231804928</v>
      </c>
      <c r="AO48" s="91">
        <v>1.9009999999999999E-2</v>
      </c>
      <c r="AP48" s="89">
        <v>3.8730000000000001E-2</v>
      </c>
      <c r="AQ48" s="87">
        <v>0.37319999999999998</v>
      </c>
      <c r="AR48" s="89">
        <f t="shared" si="37"/>
        <v>36.462239903205962</v>
      </c>
      <c r="AS48" s="89">
        <f t="shared" si="38"/>
        <v>121.12493913698296</v>
      </c>
      <c r="AT48" s="92">
        <f>0.1965*O48-3.429</f>
        <v>3.4485000000000006</v>
      </c>
    </row>
    <row r="49" spans="1:46" x14ac:dyDescent="0.2">
      <c r="A49" s="45" t="str">
        <f t="shared" si="13"/>
        <v/>
      </c>
      <c r="B49" s="81" t="str">
        <f t="shared" si="14"/>
        <v/>
      </c>
      <c r="C49" s="82" t="str">
        <f t="shared" si="15"/>
        <v/>
      </c>
      <c r="D49" s="82" t="str">
        <f t="shared" si="16"/>
        <v/>
      </c>
      <c r="E49" s="81" t="str">
        <f t="shared" si="17"/>
        <v/>
      </c>
      <c r="F49" s="82" t="str">
        <f t="shared" si="18"/>
        <v/>
      </c>
      <c r="G49" s="83" t="str">
        <f t="shared" si="19"/>
        <v/>
      </c>
      <c r="H49" s="84" t="str">
        <f t="shared" si="20"/>
        <v/>
      </c>
      <c r="I49" s="84" t="str">
        <f t="shared" si="21"/>
        <v/>
      </c>
      <c r="J49" s="84" t="str">
        <f t="shared" si="22"/>
        <v/>
      </c>
      <c r="K49" s="81" t="str">
        <f t="shared" si="23"/>
        <v/>
      </c>
      <c r="L49" s="82" t="str">
        <f t="shared" si="24"/>
        <v/>
      </c>
      <c r="M49" s="82" t="str">
        <f t="shared" si="25"/>
        <v/>
      </c>
      <c r="N49" s="85" t="str">
        <f t="shared" si="26"/>
        <v/>
      </c>
      <c r="O49" s="3">
        <v>40</v>
      </c>
      <c r="P49" s="87"/>
      <c r="Q49" s="88"/>
      <c r="R49" s="87"/>
      <c r="S49" s="89" t="str">
        <f t="shared" si="27"/>
        <v/>
      </c>
      <c r="T49" s="89" t="str">
        <f t="shared" si="28"/>
        <v/>
      </c>
      <c r="U49" s="87">
        <v>0.12970000000000001</v>
      </c>
      <c r="V49" s="87">
        <v>0.17799999999999999</v>
      </c>
      <c r="W49" s="87">
        <v>0.21890000000000001</v>
      </c>
      <c r="X49" s="89">
        <f t="shared" si="29"/>
        <v>5.3442342371622606</v>
      </c>
      <c r="Y49" s="89">
        <f t="shared" si="30"/>
        <v>17.753161858088248</v>
      </c>
      <c r="Z49" s="87"/>
      <c r="AA49" s="87"/>
      <c r="AB49" s="87"/>
      <c r="AC49" s="89" t="str">
        <f t="shared" si="31"/>
        <v/>
      </c>
      <c r="AD49" s="89" t="str">
        <f t="shared" si="32"/>
        <v/>
      </c>
      <c r="AE49" s="90"/>
      <c r="AF49" s="87"/>
      <c r="AG49" s="87"/>
      <c r="AH49" s="89" t="str">
        <f t="shared" si="33"/>
        <v/>
      </c>
      <c r="AI49" s="89" t="str">
        <f t="shared" si="34"/>
        <v/>
      </c>
      <c r="AJ49" s="87"/>
      <c r="AK49" s="87"/>
      <c r="AL49" s="87"/>
      <c r="AM49" s="89" t="str">
        <f t="shared" si="35"/>
        <v/>
      </c>
      <c r="AN49" s="89" t="str">
        <f t="shared" si="36"/>
        <v/>
      </c>
      <c r="AO49" s="91"/>
      <c r="AP49" s="89"/>
      <c r="AQ49" s="87"/>
      <c r="AR49" s="89" t="str">
        <f t="shared" si="37"/>
        <v/>
      </c>
      <c r="AS49" s="89" t="str">
        <f t="shared" si="38"/>
        <v/>
      </c>
      <c r="AT49" s="92">
        <f t="shared" ref="AT49:AT71" si="39">1.222-0.05664*O49+0.001227*O49^2-0.000003136*O49^3</f>
        <v>0.71889599999999998</v>
      </c>
    </row>
    <row r="50" spans="1:46" x14ac:dyDescent="0.2">
      <c r="A50" s="45" t="str">
        <f t="shared" si="13"/>
        <v/>
      </c>
      <c r="B50" s="81" t="str">
        <f t="shared" si="14"/>
        <v/>
      </c>
      <c r="C50" s="82" t="str">
        <f t="shared" si="15"/>
        <v/>
      </c>
      <c r="D50" s="82" t="str">
        <f t="shared" si="16"/>
        <v/>
      </c>
      <c r="E50" s="81" t="str">
        <f t="shared" si="17"/>
        <v/>
      </c>
      <c r="F50" s="82" t="str">
        <f t="shared" si="18"/>
        <v/>
      </c>
      <c r="G50" s="83" t="str">
        <f t="shared" si="19"/>
        <v/>
      </c>
      <c r="H50" s="84" t="str">
        <f t="shared" si="20"/>
        <v/>
      </c>
      <c r="I50" s="84" t="str">
        <f t="shared" si="21"/>
        <v/>
      </c>
      <c r="J50" s="84" t="str">
        <f t="shared" si="22"/>
        <v/>
      </c>
      <c r="K50" s="81" t="str">
        <f t="shared" si="23"/>
        <v/>
      </c>
      <c r="L50" s="82" t="str">
        <f t="shared" si="24"/>
        <v/>
      </c>
      <c r="M50" s="82" t="str">
        <f t="shared" si="25"/>
        <v/>
      </c>
      <c r="N50" s="85" t="str">
        <f t="shared" si="26"/>
        <v/>
      </c>
      <c r="O50" s="3">
        <v>45</v>
      </c>
      <c r="P50" s="87"/>
      <c r="Q50" s="88"/>
      <c r="R50" s="87"/>
      <c r="S50" s="89" t="str">
        <f t="shared" si="27"/>
        <v/>
      </c>
      <c r="T50" s="89" t="str">
        <f t="shared" si="28"/>
        <v/>
      </c>
      <c r="U50" s="87">
        <v>0.1095</v>
      </c>
      <c r="V50" s="87">
        <v>0.1741</v>
      </c>
      <c r="W50" s="87">
        <v>0.22689999999999999</v>
      </c>
      <c r="X50" s="89">
        <f t="shared" si="29"/>
        <v>6.3301112379903683</v>
      </c>
      <c r="Y50" s="89">
        <f t="shared" si="30"/>
        <v>21.028174365242428</v>
      </c>
      <c r="Z50" s="87"/>
      <c r="AA50" s="87"/>
      <c r="AB50" s="87"/>
      <c r="AC50" s="89" t="str">
        <f t="shared" si="31"/>
        <v/>
      </c>
      <c r="AD50" s="89" t="str">
        <f t="shared" si="32"/>
        <v/>
      </c>
      <c r="AE50" s="90"/>
      <c r="AF50" s="87"/>
      <c r="AG50" s="87"/>
      <c r="AH50" s="89" t="str">
        <f t="shared" si="33"/>
        <v/>
      </c>
      <c r="AI50" s="89" t="str">
        <f t="shared" si="34"/>
        <v/>
      </c>
      <c r="AJ50" s="87"/>
      <c r="AK50" s="87"/>
      <c r="AL50" s="87"/>
      <c r="AM50" s="89" t="str">
        <f t="shared" si="35"/>
        <v/>
      </c>
      <c r="AN50" s="89" t="str">
        <f t="shared" si="36"/>
        <v/>
      </c>
      <c r="AO50" s="91"/>
      <c r="AP50" s="89"/>
      <c r="AQ50" s="87"/>
      <c r="AR50" s="89" t="str">
        <f t="shared" si="37"/>
        <v/>
      </c>
      <c r="AS50" s="89" t="str">
        <f t="shared" si="38"/>
        <v/>
      </c>
      <c r="AT50" s="92">
        <f t="shared" si="39"/>
        <v>0.87210700000000019</v>
      </c>
    </row>
    <row r="51" spans="1:46" x14ac:dyDescent="0.2">
      <c r="A51" s="45" t="str">
        <f t="shared" si="13"/>
        <v/>
      </c>
      <c r="B51" s="81" t="str">
        <f t="shared" si="14"/>
        <v/>
      </c>
      <c r="C51" s="82" t="str">
        <f t="shared" si="15"/>
        <v/>
      </c>
      <c r="D51" s="82" t="str">
        <f t="shared" si="16"/>
        <v/>
      </c>
      <c r="E51" s="81" t="str">
        <f t="shared" si="17"/>
        <v/>
      </c>
      <c r="F51" s="82" t="str">
        <f t="shared" si="18"/>
        <v/>
      </c>
      <c r="G51" s="83" t="str">
        <f t="shared" si="19"/>
        <v/>
      </c>
      <c r="H51" s="84" t="str">
        <f t="shared" si="20"/>
        <v/>
      </c>
      <c r="I51" s="84" t="str">
        <f t="shared" si="21"/>
        <v/>
      </c>
      <c r="J51" s="84" t="str">
        <f t="shared" si="22"/>
        <v/>
      </c>
      <c r="K51" s="81" t="str">
        <f t="shared" si="23"/>
        <v/>
      </c>
      <c r="L51" s="82" t="str">
        <f t="shared" si="24"/>
        <v/>
      </c>
      <c r="M51" s="82" t="str">
        <f t="shared" si="25"/>
        <v/>
      </c>
      <c r="N51" s="85" t="str">
        <f t="shared" si="26"/>
        <v/>
      </c>
      <c r="O51" s="3">
        <v>50</v>
      </c>
      <c r="P51" s="87">
        <v>8.8010000000000002</v>
      </c>
      <c r="Q51" s="88">
        <v>27.28</v>
      </c>
      <c r="R51" s="87">
        <v>0.29570000000000002</v>
      </c>
      <c r="S51" s="89">
        <f t="shared" si="27"/>
        <v>7.8757775316435089E-2</v>
      </c>
      <c r="T51" s="89">
        <f t="shared" si="28"/>
        <v>0.26162766651449215</v>
      </c>
      <c r="U51" s="87">
        <v>9.3200000000000005E-2</v>
      </c>
      <c r="V51" s="87">
        <v>0.17119999999999999</v>
      </c>
      <c r="W51" s="87">
        <v>0.2324</v>
      </c>
      <c r="X51" s="89">
        <f t="shared" si="29"/>
        <v>7.4372015081539189</v>
      </c>
      <c r="Y51" s="89">
        <f t="shared" si="30"/>
        <v>24.705848637275167</v>
      </c>
      <c r="Z51" s="87">
        <v>3.8830000000000003E-2</v>
      </c>
      <c r="AA51" s="87">
        <v>8.7300000000000003E-2</v>
      </c>
      <c r="AB51" s="87">
        <v>0.51049999999999995</v>
      </c>
      <c r="AC51" s="89">
        <f t="shared" si="31"/>
        <v>17.85081587844309</v>
      </c>
      <c r="AD51" s="89">
        <f t="shared" si="32"/>
        <v>59.299126783261535</v>
      </c>
      <c r="AE51" s="90">
        <v>1.8169999999999999</v>
      </c>
      <c r="AF51" s="87">
        <v>4.84</v>
      </c>
      <c r="AG51" s="87">
        <v>0.40210000000000001</v>
      </c>
      <c r="AH51" s="89">
        <f t="shared" si="33"/>
        <v>0.38147891059985983</v>
      </c>
      <c r="AI51" s="89">
        <f t="shared" si="34"/>
        <v>1.2672455107286988</v>
      </c>
      <c r="AJ51" s="87">
        <v>9.7210000000000005E-2</v>
      </c>
      <c r="AK51" s="87">
        <v>0.1799</v>
      </c>
      <c r="AL51" s="87">
        <v>0.49120000000000003</v>
      </c>
      <c r="AM51" s="89">
        <f t="shared" si="35"/>
        <v>7.1304102516196401</v>
      </c>
      <c r="AN51" s="89">
        <f t="shared" si="36"/>
        <v>23.686710142928153</v>
      </c>
      <c r="AO51" s="91">
        <v>1.076E-2</v>
      </c>
      <c r="AP51" s="89">
        <v>1.8619999999999999E-3</v>
      </c>
      <c r="AQ51" s="87">
        <v>1.17</v>
      </c>
      <c r="AR51" s="89">
        <f t="shared" si="37"/>
        <v>64.418882951667769</v>
      </c>
      <c r="AS51" s="89">
        <f t="shared" si="38"/>
        <v>213.9948971184057</v>
      </c>
      <c r="AT51" s="92">
        <f t="shared" si="39"/>
        <v>1.0654999999999997</v>
      </c>
    </row>
    <row r="52" spans="1:46" x14ac:dyDescent="0.2">
      <c r="A52" s="45" t="str">
        <f t="shared" si="13"/>
        <v/>
      </c>
      <c r="B52" s="81" t="str">
        <f t="shared" si="14"/>
        <v/>
      </c>
      <c r="C52" s="82" t="str">
        <f t="shared" si="15"/>
        <v/>
      </c>
      <c r="D52" s="82" t="str">
        <f t="shared" si="16"/>
        <v/>
      </c>
      <c r="E52" s="81" t="str">
        <f t="shared" si="17"/>
        <v/>
      </c>
      <c r="F52" s="82" t="str">
        <f t="shared" si="18"/>
        <v/>
      </c>
      <c r="G52" s="83" t="str">
        <f t="shared" si="19"/>
        <v/>
      </c>
      <c r="H52" s="84" t="str">
        <f t="shared" si="20"/>
        <v/>
      </c>
      <c r="I52" s="84" t="str">
        <f t="shared" si="21"/>
        <v/>
      </c>
      <c r="J52" s="84" t="str">
        <f t="shared" si="22"/>
        <v/>
      </c>
      <c r="K52" s="81" t="str">
        <f t="shared" si="23"/>
        <v/>
      </c>
      <c r="L52" s="82" t="str">
        <f t="shared" si="24"/>
        <v/>
      </c>
      <c r="M52" s="82" t="str">
        <f t="shared" si="25"/>
        <v/>
      </c>
      <c r="N52" s="85" t="str">
        <f t="shared" si="26"/>
        <v/>
      </c>
      <c r="O52" s="3">
        <v>55</v>
      </c>
      <c r="P52" s="87">
        <v>7.8390000000000004</v>
      </c>
      <c r="Q52" s="88">
        <v>25.92</v>
      </c>
      <c r="R52" s="87">
        <v>0.34989999999999999</v>
      </c>
      <c r="S52" s="89">
        <f t="shared" si="27"/>
        <v>8.8422908605682513E-2</v>
      </c>
      <c r="T52" s="89">
        <f t="shared" si="28"/>
        <v>0.2937345443288743</v>
      </c>
      <c r="U52" s="87">
        <v>7.4219999999999994E-2</v>
      </c>
      <c r="V52" s="87">
        <v>0.16969999999999999</v>
      </c>
      <c r="W52" s="87">
        <v>0.24540000000000001</v>
      </c>
      <c r="X52" s="89">
        <f t="shared" si="29"/>
        <v>9.3390889323625075</v>
      </c>
      <c r="Y52" s="89">
        <f t="shared" si="30"/>
        <v>31.023781905066638</v>
      </c>
      <c r="Z52" s="87">
        <v>3.4189999999999998E-2</v>
      </c>
      <c r="AA52" s="87">
        <v>8.3150000000000002E-2</v>
      </c>
      <c r="AB52" s="87">
        <v>0.56059999999999999</v>
      </c>
      <c r="AC52" s="89">
        <f t="shared" si="31"/>
        <v>20.273389311492991</v>
      </c>
      <c r="AD52" s="89">
        <f t="shared" si="32"/>
        <v>67.346741532437733</v>
      </c>
      <c r="AE52" s="90">
        <v>1.4930000000000001</v>
      </c>
      <c r="AF52" s="87">
        <v>4.5149999999999997</v>
      </c>
      <c r="AG52" s="87">
        <v>0.42930000000000001</v>
      </c>
      <c r="AH52" s="89">
        <f t="shared" si="33"/>
        <v>0.46426468892159761</v>
      </c>
      <c r="AI52" s="89">
        <f t="shared" si="34"/>
        <v>1.5422539135927968</v>
      </c>
      <c r="AJ52" s="87">
        <v>8.5519999999999999E-2</v>
      </c>
      <c r="AK52" s="87">
        <v>0.1661</v>
      </c>
      <c r="AL52" s="87">
        <v>0.51119999999999999</v>
      </c>
      <c r="AM52" s="89">
        <f t="shared" si="35"/>
        <v>8.1050886407851408</v>
      </c>
      <c r="AN52" s="89">
        <f t="shared" si="36"/>
        <v>26.924521667376585</v>
      </c>
      <c r="AO52" s="91">
        <v>1.0120000000000001E-2</v>
      </c>
      <c r="AP52" s="89">
        <v>1.4040000000000001E-3</v>
      </c>
      <c r="AQ52" s="87">
        <v>1.2689999999999999</v>
      </c>
      <c r="AR52" s="89">
        <f t="shared" si="37"/>
        <v>68.49280440315664</v>
      </c>
      <c r="AS52" s="89">
        <f t="shared" si="38"/>
        <v>227.52817124447091</v>
      </c>
      <c r="AT52" s="92">
        <f t="shared" si="39"/>
        <v>1.2967229999999998</v>
      </c>
    </row>
    <row r="53" spans="1:46" x14ac:dyDescent="0.2">
      <c r="A53" s="45" t="str">
        <f t="shared" si="13"/>
        <v/>
      </c>
      <c r="B53" s="81" t="str">
        <f t="shared" si="14"/>
        <v/>
      </c>
      <c r="C53" s="82" t="str">
        <f t="shared" si="15"/>
        <v/>
      </c>
      <c r="D53" s="82" t="str">
        <f t="shared" si="16"/>
        <v/>
      </c>
      <c r="E53" s="81" t="str">
        <f t="shared" si="17"/>
        <v/>
      </c>
      <c r="F53" s="82" t="str">
        <f t="shared" si="18"/>
        <v/>
      </c>
      <c r="G53" s="83" t="str">
        <f t="shared" si="19"/>
        <v/>
      </c>
      <c r="H53" s="84" t="str">
        <f t="shared" si="20"/>
        <v/>
      </c>
      <c r="I53" s="84" t="str">
        <f t="shared" si="21"/>
        <v/>
      </c>
      <c r="J53" s="84" t="str">
        <f t="shared" si="22"/>
        <v/>
      </c>
      <c r="K53" s="81" t="str">
        <f t="shared" si="23"/>
        <v/>
      </c>
      <c r="L53" s="82" t="str">
        <f t="shared" si="24"/>
        <v/>
      </c>
      <c r="M53" s="82" t="str">
        <f t="shared" si="25"/>
        <v/>
      </c>
      <c r="N53" s="85" t="str">
        <f t="shared" si="26"/>
        <v/>
      </c>
      <c r="O53" s="3">
        <v>60</v>
      </c>
      <c r="P53" s="87">
        <v>6.9509999999999996</v>
      </c>
      <c r="Q53" s="88">
        <v>24.89</v>
      </c>
      <c r="R53" s="87">
        <v>0.41980000000000001</v>
      </c>
      <c r="S53" s="89">
        <f t="shared" si="27"/>
        <v>9.971905920873908E-2</v>
      </c>
      <c r="T53" s="89">
        <f t="shared" si="28"/>
        <v>0.33125954438124672</v>
      </c>
      <c r="U53" s="87">
        <v>6.2509999999999996E-2</v>
      </c>
      <c r="V53" s="87">
        <v>0.16919999999999999</v>
      </c>
      <c r="W53" s="87">
        <v>0.27329999999999999</v>
      </c>
      <c r="X53" s="89">
        <f t="shared" si="29"/>
        <v>11.088580716044557</v>
      </c>
      <c r="Y53" s="89">
        <f t="shared" si="30"/>
        <v>36.835467813054642</v>
      </c>
      <c r="Z53" s="87">
        <v>2.9850000000000002E-2</v>
      </c>
      <c r="AA53" s="87">
        <v>7.961E-2</v>
      </c>
      <c r="AB53" s="87">
        <v>0.6169</v>
      </c>
      <c r="AC53" s="89">
        <f t="shared" si="31"/>
        <v>23.221011074035015</v>
      </c>
      <c r="AD53" s="89">
        <f t="shared" si="32"/>
        <v>77.138529078527483</v>
      </c>
      <c r="AE53" s="90">
        <v>1.1830000000000001</v>
      </c>
      <c r="AF53" s="87">
        <v>4.2190000000000003</v>
      </c>
      <c r="AG53" s="87">
        <v>0.45710000000000001</v>
      </c>
      <c r="AH53" s="89">
        <f t="shared" si="33"/>
        <v>0.58592322955194021</v>
      </c>
      <c r="AI53" s="89">
        <f t="shared" si="34"/>
        <v>1.9463948376957276</v>
      </c>
      <c r="AJ53" s="87">
        <v>7.4520000000000003E-2</v>
      </c>
      <c r="AK53" s="87">
        <v>0.15390000000000001</v>
      </c>
      <c r="AL53" s="87">
        <v>0.53039999999999998</v>
      </c>
      <c r="AM53" s="89">
        <f t="shared" si="35"/>
        <v>9.3014919559842362</v>
      </c>
      <c r="AN53" s="89">
        <f t="shared" si="36"/>
        <v>30.898887452952842</v>
      </c>
      <c r="AO53" s="91">
        <v>9.5119999999999996E-3</v>
      </c>
      <c r="AP53" s="89">
        <v>9.6719999999999998E-4</v>
      </c>
      <c r="AQ53" s="87">
        <v>1.333</v>
      </c>
      <c r="AR53" s="89">
        <f t="shared" si="37"/>
        <v>72.870813767866409</v>
      </c>
      <c r="AS53" s="89">
        <f t="shared" si="38"/>
        <v>242.07160355278026</v>
      </c>
      <c r="AT53" s="92">
        <f t="shared" si="39"/>
        <v>1.5634240000000001</v>
      </c>
    </row>
    <row r="54" spans="1:46" x14ac:dyDescent="0.2">
      <c r="A54" s="45" t="str">
        <f t="shared" si="13"/>
        <v/>
      </c>
      <c r="B54" s="81" t="str">
        <f t="shared" si="14"/>
        <v/>
      </c>
      <c r="C54" s="82" t="str">
        <f t="shared" si="15"/>
        <v/>
      </c>
      <c r="D54" s="82" t="str">
        <f t="shared" si="16"/>
        <v/>
      </c>
      <c r="E54" s="81" t="str">
        <f t="shared" si="17"/>
        <v/>
      </c>
      <c r="F54" s="82" t="str">
        <f t="shared" si="18"/>
        <v/>
      </c>
      <c r="G54" s="83" t="str">
        <f t="shared" si="19"/>
        <v/>
      </c>
      <c r="H54" s="84" t="str">
        <f t="shared" si="20"/>
        <v/>
      </c>
      <c r="I54" s="84" t="str">
        <f t="shared" si="21"/>
        <v/>
      </c>
      <c r="J54" s="84" t="str">
        <f t="shared" si="22"/>
        <v/>
      </c>
      <c r="K54" s="81" t="str">
        <f t="shared" si="23"/>
        <v/>
      </c>
      <c r="L54" s="82" t="str">
        <f t="shared" si="24"/>
        <v/>
      </c>
      <c r="M54" s="82" t="str">
        <f t="shared" si="25"/>
        <v/>
      </c>
      <c r="N54" s="85" t="str">
        <f t="shared" si="26"/>
        <v/>
      </c>
      <c r="O54" s="3">
        <v>65</v>
      </c>
      <c r="P54" s="87">
        <v>6.13</v>
      </c>
      <c r="Q54" s="88">
        <v>24.09</v>
      </c>
      <c r="R54" s="87">
        <v>0.50190000000000001</v>
      </c>
      <c r="S54" s="89">
        <f t="shared" si="27"/>
        <v>0.1130745808417529</v>
      </c>
      <c r="T54" s="89">
        <f t="shared" si="28"/>
        <v>0.37562562691583129</v>
      </c>
      <c r="U54" s="87">
        <v>5.5280000000000003E-2</v>
      </c>
      <c r="V54" s="87">
        <v>0.1696</v>
      </c>
      <c r="W54" s="87">
        <v>0.32169999999999999</v>
      </c>
      <c r="X54" s="89">
        <f t="shared" si="29"/>
        <v>12.53884190593244</v>
      </c>
      <c r="Y54" s="89">
        <f t="shared" si="30"/>
        <v>41.653131204667979</v>
      </c>
      <c r="Z54" s="87">
        <v>2.6089999999999999E-2</v>
      </c>
      <c r="AA54" s="87">
        <v>7.5969999999999996E-2</v>
      </c>
      <c r="AB54" s="87">
        <v>0.67559999999999998</v>
      </c>
      <c r="AC54" s="89">
        <f t="shared" si="31"/>
        <v>26.56754237485417</v>
      </c>
      <c r="AD54" s="89">
        <f t="shared" si="32"/>
        <v>88.255465427138589</v>
      </c>
      <c r="AE54" s="90">
        <v>0.91720000000000002</v>
      </c>
      <c r="AF54" s="87">
        <v>3.9820000000000002</v>
      </c>
      <c r="AG54" s="87">
        <v>0.49220000000000003</v>
      </c>
      <c r="AH54" s="89">
        <f t="shared" si="33"/>
        <v>0.75572086846919462</v>
      </c>
      <c r="AI54" s="89">
        <f t="shared" si="34"/>
        <v>2.5104503848604947</v>
      </c>
      <c r="AJ54" s="87">
        <v>6.5140000000000003E-2</v>
      </c>
      <c r="AK54" s="87">
        <v>0.14430000000000001</v>
      </c>
      <c r="AL54" s="87">
        <v>0.55820000000000003</v>
      </c>
      <c r="AM54" s="89">
        <f t="shared" si="35"/>
        <v>10.640883950874198</v>
      </c>
      <c r="AN54" s="89">
        <f t="shared" si="36"/>
        <v>35.348251350845032</v>
      </c>
      <c r="AO54" s="91">
        <v>8.9899999999999997E-3</v>
      </c>
      <c r="AP54" s="89">
        <v>6.4700000000000001E-4</v>
      </c>
      <c r="AQ54" s="87">
        <v>1.353</v>
      </c>
      <c r="AR54" s="89">
        <f t="shared" si="37"/>
        <v>77.102022309226399</v>
      </c>
      <c r="AS54" s="89">
        <f t="shared" si="38"/>
        <v>256.1273740816514</v>
      </c>
      <c r="AT54" s="92">
        <f t="shared" si="39"/>
        <v>1.863251</v>
      </c>
    </row>
    <row r="55" spans="1:46" x14ac:dyDescent="0.2">
      <c r="A55" s="45" t="str">
        <f t="shared" si="13"/>
        <v/>
      </c>
      <c r="B55" s="81" t="str">
        <f t="shared" si="14"/>
        <v/>
      </c>
      <c r="C55" s="82" t="str">
        <f t="shared" si="15"/>
        <v/>
      </c>
      <c r="D55" s="82" t="str">
        <f t="shared" si="16"/>
        <v/>
      </c>
      <c r="E55" s="81" t="str">
        <f t="shared" si="17"/>
        <v/>
      </c>
      <c r="F55" s="82" t="str">
        <f t="shared" si="18"/>
        <v/>
      </c>
      <c r="G55" s="83" t="str">
        <f t="shared" si="19"/>
        <v/>
      </c>
      <c r="H55" s="84" t="str">
        <f t="shared" si="20"/>
        <v/>
      </c>
      <c r="I55" s="84" t="str">
        <f t="shared" si="21"/>
        <v/>
      </c>
      <c r="J55" s="84" t="str">
        <f t="shared" si="22"/>
        <v/>
      </c>
      <c r="K55" s="81" t="str">
        <f t="shared" si="23"/>
        <v/>
      </c>
      <c r="L55" s="82" t="str">
        <f t="shared" si="24"/>
        <v/>
      </c>
      <c r="M55" s="82" t="str">
        <f t="shared" si="25"/>
        <v/>
      </c>
      <c r="N55" s="85" t="str">
        <f t="shared" si="26"/>
        <v/>
      </c>
      <c r="O55" s="3">
        <v>70</v>
      </c>
      <c r="P55" s="87">
        <v>5.3689999999999998</v>
      </c>
      <c r="Q55" s="88">
        <v>23.49</v>
      </c>
      <c r="R55" s="87">
        <v>0.58809999999999996</v>
      </c>
      <c r="S55" s="89">
        <f t="shared" si="27"/>
        <v>0.12910172854534277</v>
      </c>
      <c r="T55" s="89">
        <f t="shared" si="28"/>
        <v>0.42886665915329597</v>
      </c>
      <c r="U55" s="87">
        <v>5.0869999999999999E-2</v>
      </c>
      <c r="V55" s="87">
        <v>0.1696</v>
      </c>
      <c r="W55" s="87">
        <v>0.38469999999999999</v>
      </c>
      <c r="X55" s="89">
        <f t="shared" si="29"/>
        <v>13.625853755847166</v>
      </c>
      <c r="Y55" s="89">
        <f t="shared" si="30"/>
        <v>45.264106408375191</v>
      </c>
      <c r="Z55" s="87">
        <v>2.3019999999999999E-2</v>
      </c>
      <c r="AA55" s="87">
        <v>7.1629999999999999E-2</v>
      </c>
      <c r="AB55" s="87">
        <v>0.72989999999999999</v>
      </c>
      <c r="AC55" s="89">
        <f t="shared" si="31"/>
        <v>30.110650762812568</v>
      </c>
      <c r="AD55" s="89">
        <f t="shared" si="32"/>
        <v>100.02541672432866</v>
      </c>
      <c r="AE55" s="90">
        <v>0.71489999999999998</v>
      </c>
      <c r="AF55" s="87">
        <v>3.798</v>
      </c>
      <c r="AG55" s="87">
        <v>0.53779999999999994</v>
      </c>
      <c r="AH55" s="89">
        <f t="shared" si="33"/>
        <v>0.96957222067414361</v>
      </c>
      <c r="AI55" s="89">
        <f t="shared" si="34"/>
        <v>3.2208491998797673</v>
      </c>
      <c r="AJ55" s="87">
        <v>5.7910000000000003E-2</v>
      </c>
      <c r="AK55" s="87">
        <v>0.13569999999999999</v>
      </c>
      <c r="AL55" s="87">
        <v>0.59670000000000001</v>
      </c>
      <c r="AM55" s="89">
        <f t="shared" si="35"/>
        <v>11.969386644101974</v>
      </c>
      <c r="AN55" s="89">
        <f t="shared" si="36"/>
        <v>39.761441771611914</v>
      </c>
      <c r="AO55" s="91">
        <v>8.5500000000000003E-3</v>
      </c>
      <c r="AP55" s="89">
        <v>5.3899999999999998E-4</v>
      </c>
      <c r="AQ55" s="87">
        <v>1.194</v>
      </c>
      <c r="AR55" s="89">
        <f t="shared" si="37"/>
        <v>81.069845679525756</v>
      </c>
      <c r="AS55" s="89">
        <f t="shared" si="38"/>
        <v>269.30819801099949</v>
      </c>
      <c r="AT55" s="92">
        <f t="shared" si="39"/>
        <v>2.1938519999999997</v>
      </c>
    </row>
    <row r="56" spans="1:46" x14ac:dyDescent="0.2">
      <c r="A56" s="45" t="str">
        <f t="shared" si="13"/>
        <v/>
      </c>
      <c r="B56" s="81" t="str">
        <f t="shared" si="14"/>
        <v/>
      </c>
      <c r="C56" s="82" t="str">
        <f t="shared" si="15"/>
        <v/>
      </c>
      <c r="D56" s="82" t="str">
        <f t="shared" si="16"/>
        <v/>
      </c>
      <c r="E56" s="81" t="str">
        <f t="shared" si="17"/>
        <v/>
      </c>
      <c r="F56" s="82" t="str">
        <f t="shared" si="18"/>
        <v/>
      </c>
      <c r="G56" s="83" t="str">
        <f t="shared" si="19"/>
        <v/>
      </c>
      <c r="H56" s="84" t="str">
        <f t="shared" si="20"/>
        <v/>
      </c>
      <c r="I56" s="84" t="str">
        <f t="shared" si="21"/>
        <v/>
      </c>
      <c r="J56" s="84" t="str">
        <f t="shared" si="22"/>
        <v/>
      </c>
      <c r="K56" s="81" t="str">
        <f t="shared" si="23"/>
        <v/>
      </c>
      <c r="L56" s="82" t="str">
        <f t="shared" si="24"/>
        <v/>
      </c>
      <c r="M56" s="82" t="str">
        <f t="shared" si="25"/>
        <v/>
      </c>
      <c r="N56" s="85" t="str">
        <f t="shared" si="26"/>
        <v/>
      </c>
      <c r="O56" s="3">
        <v>75</v>
      </c>
      <c r="P56" s="87">
        <v>4.6660000000000004</v>
      </c>
      <c r="Q56" s="88">
        <v>22.69</v>
      </c>
      <c r="R56" s="87">
        <v>0.66180000000000005</v>
      </c>
      <c r="S56" s="89">
        <f t="shared" si="27"/>
        <v>0.14855276051434746</v>
      </c>
      <c r="T56" s="89">
        <f t="shared" si="28"/>
        <v>0.49348158872568487</v>
      </c>
      <c r="U56" s="87">
        <v>4.7969999999999999E-2</v>
      </c>
      <c r="V56" s="87">
        <v>0.1663</v>
      </c>
      <c r="W56" s="87">
        <v>0.44919999999999999</v>
      </c>
      <c r="X56" s="89">
        <f t="shared" si="29"/>
        <v>14.449597259952998</v>
      </c>
      <c r="Y56" s="89">
        <f t="shared" si="30"/>
        <v>48.000523097645321</v>
      </c>
      <c r="Z56" s="87">
        <v>2.0660000000000001E-2</v>
      </c>
      <c r="AA56" s="87">
        <v>6.6489999999999994E-2</v>
      </c>
      <c r="AB56" s="87">
        <v>0.77500000000000002</v>
      </c>
      <c r="AC56" s="89">
        <f t="shared" si="31"/>
        <v>33.550202350432976</v>
      </c>
      <c r="AD56" s="89">
        <f t="shared" si="32"/>
        <v>111.45135977705932</v>
      </c>
      <c r="AE56" s="90">
        <v>0.57930000000000004</v>
      </c>
      <c r="AF56" s="87">
        <v>3.629</v>
      </c>
      <c r="AG56" s="87">
        <v>0.59079999999999999</v>
      </c>
      <c r="AH56" s="89">
        <f t="shared" si="33"/>
        <v>1.1965254282063615</v>
      </c>
      <c r="AI56" s="89">
        <f t="shared" si="34"/>
        <v>3.9747714362058444</v>
      </c>
      <c r="AJ56" s="87">
        <v>5.2909999999999999E-2</v>
      </c>
      <c r="AK56" s="87">
        <v>0.128</v>
      </c>
      <c r="AL56" s="87">
        <v>0.64780000000000004</v>
      </c>
      <c r="AM56" s="89">
        <f t="shared" si="35"/>
        <v>13.100494813077779</v>
      </c>
      <c r="AN56" s="89">
        <f t="shared" si="36"/>
        <v>43.518901776489244</v>
      </c>
      <c r="AO56" s="91">
        <v>5.2030000000000002E-3</v>
      </c>
      <c r="AP56" s="89">
        <v>6.4210000000000005E-4</v>
      </c>
      <c r="AQ56" s="87">
        <v>1.0620000000000001</v>
      </c>
      <c r="AR56" s="89">
        <f t="shared" si="37"/>
        <v>133.22067664038926</v>
      </c>
      <c r="AS56" s="89">
        <f t="shared" si="38"/>
        <v>442.54950855161366</v>
      </c>
      <c r="AT56" s="92">
        <f t="shared" si="39"/>
        <v>2.5528750000000002</v>
      </c>
    </row>
    <row r="57" spans="1:46" x14ac:dyDescent="0.2">
      <c r="A57" s="45" t="str">
        <f t="shared" si="13"/>
        <v/>
      </c>
      <c r="B57" s="81" t="str">
        <f t="shared" si="14"/>
        <v/>
      </c>
      <c r="C57" s="82" t="str">
        <f t="shared" si="15"/>
        <v/>
      </c>
      <c r="D57" s="82" t="str">
        <f t="shared" si="16"/>
        <v/>
      </c>
      <c r="E57" s="81" t="str">
        <f t="shared" si="17"/>
        <v/>
      </c>
      <c r="F57" s="82" t="str">
        <f t="shared" si="18"/>
        <v/>
      </c>
      <c r="G57" s="83" t="str">
        <f t="shared" si="19"/>
        <v/>
      </c>
      <c r="H57" s="84" t="str">
        <f t="shared" si="20"/>
        <v/>
      </c>
      <c r="I57" s="84" t="str">
        <f t="shared" si="21"/>
        <v/>
      </c>
      <c r="J57" s="84" t="str">
        <f t="shared" si="22"/>
        <v/>
      </c>
      <c r="K57" s="81" t="str">
        <f t="shared" si="23"/>
        <v/>
      </c>
      <c r="L57" s="82" t="str">
        <f t="shared" si="24"/>
        <v/>
      </c>
      <c r="M57" s="82" t="str">
        <f t="shared" si="25"/>
        <v/>
      </c>
      <c r="N57" s="85" t="str">
        <f t="shared" si="26"/>
        <v/>
      </c>
      <c r="O57" s="3">
        <v>80</v>
      </c>
      <c r="P57" s="87">
        <v>4.04</v>
      </c>
      <c r="Q57" s="88">
        <v>21.69</v>
      </c>
      <c r="R57" s="87">
        <v>0.71870000000000001</v>
      </c>
      <c r="S57" s="89">
        <f t="shared" si="27"/>
        <v>0.17157108429701615</v>
      </c>
      <c r="T57" s="89">
        <f t="shared" si="28"/>
        <v>0.56994680519654595</v>
      </c>
      <c r="U57" s="87">
        <v>4.5830000000000003E-2</v>
      </c>
      <c r="V57" s="87">
        <v>0.15490000000000001</v>
      </c>
      <c r="W57" s="87">
        <v>0.49259999999999998</v>
      </c>
      <c r="X57" s="89">
        <f t="shared" si="29"/>
        <v>15.124311162119687</v>
      </c>
      <c r="Y57" s="89">
        <f t="shared" si="30"/>
        <v>50.241874165263923</v>
      </c>
      <c r="Z57" s="87">
        <v>1.8859999999999998E-2</v>
      </c>
      <c r="AA57" s="87">
        <v>6.0929999999999998E-2</v>
      </c>
      <c r="AB57" s="87">
        <v>0.81030000000000002</v>
      </c>
      <c r="AC57" s="89">
        <f t="shared" si="31"/>
        <v>36.752236509010885</v>
      </c>
      <c r="AD57" s="89">
        <f t="shared" si="32"/>
        <v>122.08828700922831</v>
      </c>
      <c r="AE57" s="90">
        <v>0.49209999999999998</v>
      </c>
      <c r="AF57" s="87">
        <v>3.4279999999999999</v>
      </c>
      <c r="AG57" s="87">
        <v>0.64270000000000005</v>
      </c>
      <c r="AH57" s="89">
        <f t="shared" si="33"/>
        <v>1.4085494423083627</v>
      </c>
      <c r="AI57" s="89">
        <f t="shared" si="34"/>
        <v>4.6790999654420764</v>
      </c>
      <c r="AJ57" s="87">
        <v>4.9549999999999997E-2</v>
      </c>
      <c r="AK57" s="87">
        <v>0.1208</v>
      </c>
      <c r="AL57" s="87">
        <v>0.7097</v>
      </c>
      <c r="AM57" s="89">
        <f t="shared" si="35"/>
        <v>13.988843199998897</v>
      </c>
      <c r="AN57" s="89">
        <f t="shared" si="36"/>
        <v>46.469931241050375</v>
      </c>
      <c r="AO57" s="91">
        <v>7.9030000000000003E-3</v>
      </c>
      <c r="AP57" s="89">
        <v>8.6399999999999997E-4</v>
      </c>
      <c r="AQ57" s="87">
        <v>0.97030000000000005</v>
      </c>
      <c r="AR57" s="89">
        <f t="shared" si="37"/>
        <v>87.706843041875899</v>
      </c>
      <c r="AS57" s="89">
        <f t="shared" si="38"/>
        <v>291.35582601468377</v>
      </c>
      <c r="AT57" s="92">
        <f t="shared" si="39"/>
        <v>2.9379679999999997</v>
      </c>
    </row>
    <row r="58" spans="1:46" x14ac:dyDescent="0.2">
      <c r="A58" s="45" t="str">
        <f t="shared" si="13"/>
        <v/>
      </c>
      <c r="B58" s="81" t="str">
        <f t="shared" si="14"/>
        <v/>
      </c>
      <c r="C58" s="82" t="str">
        <f t="shared" si="15"/>
        <v/>
      </c>
      <c r="D58" s="82" t="str">
        <f t="shared" si="16"/>
        <v/>
      </c>
      <c r="E58" s="81" t="str">
        <f t="shared" si="17"/>
        <v/>
      </c>
      <c r="F58" s="82" t="str">
        <f t="shared" si="18"/>
        <v/>
      </c>
      <c r="G58" s="83" t="str">
        <f t="shared" si="19"/>
        <v/>
      </c>
      <c r="H58" s="84" t="str">
        <f t="shared" si="20"/>
        <v/>
      </c>
      <c r="I58" s="84" t="str">
        <f t="shared" si="21"/>
        <v/>
      </c>
      <c r="J58" s="84" t="str">
        <f t="shared" si="22"/>
        <v/>
      </c>
      <c r="K58" s="81" t="str">
        <f t="shared" si="23"/>
        <v/>
      </c>
      <c r="L58" s="82" t="str">
        <f t="shared" si="24"/>
        <v/>
      </c>
      <c r="M58" s="82" t="str">
        <f t="shared" si="25"/>
        <v/>
      </c>
      <c r="N58" s="85" t="str">
        <f t="shared" si="26"/>
        <v/>
      </c>
      <c r="O58" s="3">
        <v>85</v>
      </c>
      <c r="P58" s="87">
        <v>3.504</v>
      </c>
      <c r="Q58" s="88">
        <v>20.37</v>
      </c>
      <c r="R58" s="87">
        <v>0.755</v>
      </c>
      <c r="S58" s="89">
        <f t="shared" si="27"/>
        <v>0.19781597618719901</v>
      </c>
      <c r="T58" s="89">
        <f t="shared" si="28"/>
        <v>0.65713044891382588</v>
      </c>
      <c r="U58" s="87">
        <v>4.3979999999999998E-2</v>
      </c>
      <c r="V58" s="87">
        <v>0.1348</v>
      </c>
      <c r="W58" s="87">
        <v>0.49430000000000002</v>
      </c>
      <c r="X58" s="89">
        <f t="shared" si="29"/>
        <v>15.760508880398939</v>
      </c>
      <c r="Y58" s="89">
        <f t="shared" si="30"/>
        <v>52.355277239519012</v>
      </c>
      <c r="Z58" s="87">
        <v>1.746E-2</v>
      </c>
      <c r="AA58" s="87">
        <v>5.5579999999999997E-2</v>
      </c>
      <c r="AB58" s="87">
        <v>0.83919999999999995</v>
      </c>
      <c r="AC58" s="89">
        <f t="shared" si="31"/>
        <v>39.699151234819318</v>
      </c>
      <c r="AD58" s="89">
        <f t="shared" si="32"/>
        <v>131.87772583012864</v>
      </c>
      <c r="AE58" s="90">
        <v>0.4355</v>
      </c>
      <c r="AF58" s="87">
        <v>3.1779999999999999</v>
      </c>
      <c r="AG58" s="87">
        <v>0.68610000000000004</v>
      </c>
      <c r="AH58" s="89">
        <f t="shared" si="33"/>
        <v>1.5916123549022854</v>
      </c>
      <c r="AI58" s="89">
        <f t="shared" si="34"/>
        <v>5.287221797919738</v>
      </c>
      <c r="AJ58" s="87">
        <v>4.7210000000000002E-2</v>
      </c>
      <c r="AK58" s="87">
        <v>0.114</v>
      </c>
      <c r="AL58" s="87">
        <v>0.77859999999999996</v>
      </c>
      <c r="AM58" s="89">
        <f t="shared" si="35"/>
        <v>14.682210984112375</v>
      </c>
      <c r="AN58" s="89">
        <f t="shared" si="36"/>
        <v>48.773249163186733</v>
      </c>
      <c r="AO58" s="91">
        <v>7.6860000000000001E-3</v>
      </c>
      <c r="AP58" s="89">
        <v>1.0560000000000001E-3</v>
      </c>
      <c r="AQ58" s="87">
        <v>1.0149999999999999</v>
      </c>
      <c r="AR58" s="89">
        <f t="shared" si="37"/>
        <v>90.183083601345984</v>
      </c>
      <c r="AS58" s="89">
        <f t="shared" si="38"/>
        <v>299.58171909888699</v>
      </c>
      <c r="AT58" s="92">
        <f t="shared" si="39"/>
        <v>3.3467790000000015</v>
      </c>
    </row>
    <row r="59" spans="1:46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O59" s="3">
        <v>90</v>
      </c>
      <c r="P59" s="87">
        <v>3.0670000000000002</v>
      </c>
      <c r="Q59" s="88">
        <v>18.829999999999998</v>
      </c>
      <c r="R59" s="87">
        <v>0.77259999999999995</v>
      </c>
      <c r="S59" s="89">
        <f t="shared" si="27"/>
        <v>0.22600168912942459</v>
      </c>
      <c r="T59" s="89">
        <f t="shared" si="28"/>
        <v>0.75076136061103538</v>
      </c>
      <c r="U59" s="87">
        <v>4.2279999999999998E-2</v>
      </c>
      <c r="V59" s="87">
        <v>0.1137</v>
      </c>
      <c r="W59" s="87">
        <v>0.46899999999999997</v>
      </c>
      <c r="X59" s="89">
        <f t="shared" si="29"/>
        <v>16.394209568589055</v>
      </c>
      <c r="Y59" s="89">
        <f t="shared" si="30"/>
        <v>54.460385359367208</v>
      </c>
      <c r="Z59" s="87">
        <v>1.6629999999999999E-2</v>
      </c>
      <c r="AA59" s="87">
        <v>5.0389999999999997E-2</v>
      </c>
      <c r="AB59" s="87">
        <v>0.85850000000000004</v>
      </c>
      <c r="AC59" s="89">
        <f t="shared" si="31"/>
        <v>41.680527995186132</v>
      </c>
      <c r="AD59" s="89">
        <f t="shared" si="32"/>
        <v>138.45971695694806</v>
      </c>
      <c r="AE59" s="90">
        <v>0.39710000000000001</v>
      </c>
      <c r="AF59" s="87">
        <v>2.9129999999999998</v>
      </c>
      <c r="AG59" s="87">
        <v>0.72040000000000004</v>
      </c>
      <c r="AH59" s="89">
        <f t="shared" si="33"/>
        <v>1.7455229930998371</v>
      </c>
      <c r="AI59" s="89">
        <f t="shared" si="34"/>
        <v>5.7985018710502283</v>
      </c>
      <c r="AJ59" s="87">
        <v>4.5499999999999999E-2</v>
      </c>
      <c r="AK59" s="87">
        <v>0.1077</v>
      </c>
      <c r="AL59" s="87">
        <v>0.85219999999999996</v>
      </c>
      <c r="AM59" s="89">
        <f t="shared" si="35"/>
        <v>15.234003968350446</v>
      </c>
      <c r="AN59" s="89">
        <f t="shared" si="36"/>
        <v>50.606265780088918</v>
      </c>
      <c r="AO59" s="91">
        <v>7.5110000000000003E-3</v>
      </c>
      <c r="AP59" s="89">
        <v>1.1590000000000001E-3</v>
      </c>
      <c r="AQ59" s="87">
        <v>1.081</v>
      </c>
      <c r="AR59" s="89">
        <f t="shared" si="37"/>
        <v>92.284273806409971</v>
      </c>
      <c r="AS59" s="89">
        <f t="shared" si="38"/>
        <v>306.56172187379121</v>
      </c>
      <c r="AT59" s="92">
        <f t="shared" si="39"/>
        <v>3.7769560000000002</v>
      </c>
    </row>
    <row r="60" spans="1:46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O60" s="3">
        <v>95</v>
      </c>
      <c r="P60" s="87">
        <v>2.7309999999999999</v>
      </c>
      <c r="Q60" s="88">
        <v>17.07</v>
      </c>
      <c r="R60" s="87">
        <v>0.77139999999999997</v>
      </c>
      <c r="S60" s="89">
        <f t="shared" si="27"/>
        <v>0.25380709650675404</v>
      </c>
      <c r="T60" s="89">
        <f t="shared" si="28"/>
        <v>0.84312892456757438</v>
      </c>
      <c r="U60" s="87">
        <v>4.0680000000000001E-2</v>
      </c>
      <c r="V60" s="87">
        <v>9.7049999999999997E-2</v>
      </c>
      <c r="W60" s="87">
        <v>0.44059999999999999</v>
      </c>
      <c r="X60" s="89">
        <f t="shared" si="29"/>
        <v>17.039016237953422</v>
      </c>
      <c r="Y60" s="89">
        <f t="shared" si="30"/>
        <v>56.602386750099448</v>
      </c>
      <c r="Z60" s="87">
        <v>1.5429999999999999E-2</v>
      </c>
      <c r="AA60" s="87">
        <v>4.5710000000000001E-2</v>
      </c>
      <c r="AB60" s="87">
        <v>0.87629999999999997</v>
      </c>
      <c r="AC60" s="89">
        <f t="shared" si="31"/>
        <v>44.922046698635469</v>
      </c>
      <c r="AD60" s="89">
        <f t="shared" si="32"/>
        <v>149.22780900803926</v>
      </c>
      <c r="AE60" s="90">
        <v>0.36809999999999998</v>
      </c>
      <c r="AF60" s="87">
        <v>2.6539999999999999</v>
      </c>
      <c r="AG60" s="87">
        <v>0.74609999999999999</v>
      </c>
      <c r="AH60" s="89">
        <f t="shared" si="33"/>
        <v>1.8830404253190582</v>
      </c>
      <c r="AI60" s="89">
        <f t="shared" si="34"/>
        <v>6.2553248926760281</v>
      </c>
      <c r="AJ60" s="87">
        <v>4.41E-2</v>
      </c>
      <c r="AK60" s="87">
        <v>0.1013</v>
      </c>
      <c r="AL60" s="87">
        <v>0.92220000000000002</v>
      </c>
      <c r="AM60" s="89">
        <f t="shared" si="35"/>
        <v>15.717623141948872</v>
      </c>
      <c r="AN60" s="89">
        <f t="shared" si="36"/>
        <v>52.212813900091739</v>
      </c>
      <c r="AO60" s="91">
        <v>7.345E-3</v>
      </c>
      <c r="AP60" s="89">
        <v>1.1329999999999999E-3</v>
      </c>
      <c r="AQ60" s="87">
        <v>1.1160000000000001</v>
      </c>
      <c r="AR60" s="89">
        <f t="shared" si="37"/>
        <v>94.369936087126661</v>
      </c>
      <c r="AS60" s="89">
        <f t="shared" si="38"/>
        <v>313.49014200055086</v>
      </c>
      <c r="AT60" s="92">
        <f t="shared" si="39"/>
        <v>4.2261469999999983</v>
      </c>
    </row>
    <row r="61" spans="1:46" x14ac:dyDescent="0.2">
      <c r="A61" s="13"/>
      <c r="B61" s="227" t="s">
        <v>60</v>
      </c>
      <c r="C61" s="227"/>
      <c r="D61" s="227"/>
      <c r="E61" s="227" t="s">
        <v>62</v>
      </c>
      <c r="F61" s="227"/>
      <c r="G61" s="227"/>
      <c r="H61" s="227" t="s">
        <v>91</v>
      </c>
      <c r="I61" s="227"/>
      <c r="J61" s="227"/>
      <c r="K61" s="93" t="s">
        <v>92</v>
      </c>
      <c r="L61" s="44"/>
      <c r="M61" s="44"/>
      <c r="O61" s="3">
        <v>100</v>
      </c>
      <c r="P61" s="87">
        <v>2.5</v>
      </c>
      <c r="Q61" s="88">
        <v>15.28</v>
      </c>
      <c r="R61" s="87">
        <v>0.75570000000000004</v>
      </c>
      <c r="S61" s="89">
        <f t="shared" si="27"/>
        <v>0.2772588722239781</v>
      </c>
      <c r="T61" s="89">
        <f t="shared" si="28"/>
        <v>0.92103403719761834</v>
      </c>
      <c r="U61" s="87">
        <v>3.925E-2</v>
      </c>
      <c r="V61" s="87">
        <v>8.5669999999999996E-2</v>
      </c>
      <c r="W61" s="87">
        <v>0.42730000000000001</v>
      </c>
      <c r="X61" s="89">
        <f t="shared" si="29"/>
        <v>17.659800778597333</v>
      </c>
      <c r="Y61" s="89">
        <f t="shared" si="30"/>
        <v>58.6645883565362</v>
      </c>
      <c r="Z61" s="87">
        <v>1.4659999999999999E-2</v>
      </c>
      <c r="AA61" s="87">
        <v>4.1709999999999997E-2</v>
      </c>
      <c r="AB61" s="87">
        <v>0.89390000000000003</v>
      </c>
      <c r="AC61" s="89">
        <f t="shared" si="31"/>
        <v>47.281526641196812</v>
      </c>
      <c r="AD61" s="89">
        <f t="shared" si="32"/>
        <v>157.06583171855701</v>
      </c>
      <c r="AE61" s="90">
        <v>0.34150000000000003</v>
      </c>
      <c r="AF61" s="87">
        <v>2.42</v>
      </c>
      <c r="AG61" s="87">
        <v>0.76449999999999996</v>
      </c>
      <c r="AH61" s="89">
        <f t="shared" si="33"/>
        <v>2.0297135594727531</v>
      </c>
      <c r="AI61" s="89">
        <f t="shared" si="34"/>
        <v>6.7425624977863707</v>
      </c>
      <c r="AJ61" s="87">
        <v>4.2779999999999999E-2</v>
      </c>
      <c r="AK61" s="87">
        <v>9.4659999999999994E-2</v>
      </c>
      <c r="AL61" s="87">
        <v>0.97909999999999997</v>
      </c>
      <c r="AM61" s="89">
        <f t="shared" si="35"/>
        <v>16.202598891069314</v>
      </c>
      <c r="AN61" s="89">
        <f t="shared" si="36"/>
        <v>53.823868466433979</v>
      </c>
      <c r="AO61" s="91">
        <v>7.2300000000000003E-3</v>
      </c>
      <c r="AP61" s="89">
        <v>9.343E-4</v>
      </c>
      <c r="AQ61" s="87">
        <v>1.3089999999999999</v>
      </c>
      <c r="AR61" s="89">
        <f t="shared" si="37"/>
        <v>95.870979330559507</v>
      </c>
      <c r="AS61" s="89">
        <f t="shared" si="38"/>
        <v>318.47649972255124</v>
      </c>
      <c r="AT61" s="92">
        <f t="shared" si="39"/>
        <v>4.6919999999999993</v>
      </c>
    </row>
    <row r="62" spans="1:46" x14ac:dyDescent="0.2">
      <c r="A62" s="10" t="s">
        <v>68</v>
      </c>
      <c r="B62" s="94" t="str">
        <f>$A$20</f>
        <v>Steel</v>
      </c>
      <c r="C62" s="95" t="str">
        <f>$A$21</f>
        <v>Glass</v>
      </c>
      <c r="D62" s="95" t="str">
        <f>$A$22</f>
        <v>Wood</v>
      </c>
      <c r="E62" s="94" t="str">
        <f>B62</f>
        <v>Steel</v>
      </c>
      <c r="F62" s="95" t="str">
        <f>C62</f>
        <v>Glass</v>
      </c>
      <c r="G62" s="95" t="str">
        <f>$A$22</f>
        <v>Wood</v>
      </c>
      <c r="H62" s="94" t="str">
        <f>B62</f>
        <v>Steel</v>
      </c>
      <c r="I62" s="95" t="str">
        <f>C62</f>
        <v>Glass</v>
      </c>
      <c r="J62" s="95" t="str">
        <f>$A$22</f>
        <v>Wood</v>
      </c>
      <c r="K62" s="94" t="str">
        <f>H62</f>
        <v>Steel</v>
      </c>
      <c r="L62" s="95" t="str">
        <f>I62</f>
        <v>Glass</v>
      </c>
      <c r="M62" s="95" t="str">
        <f>$A$22</f>
        <v>Wood</v>
      </c>
      <c r="O62" s="3">
        <v>105</v>
      </c>
      <c r="P62" s="87">
        <v>2.3639999999999999</v>
      </c>
      <c r="Q62" s="88">
        <v>13.41</v>
      </c>
      <c r="R62" s="87">
        <v>0.72389999999999999</v>
      </c>
      <c r="S62" s="89">
        <f t="shared" si="27"/>
        <v>0.29320946724193964</v>
      </c>
      <c r="T62" s="89">
        <f t="shared" si="28"/>
        <v>0.97402076691795514</v>
      </c>
      <c r="U62" s="87">
        <v>3.8080000000000003E-2</v>
      </c>
      <c r="V62" s="87">
        <v>7.8619999999999995E-2</v>
      </c>
      <c r="W62" s="87">
        <v>0.43940000000000001</v>
      </c>
      <c r="X62" s="89">
        <f t="shared" si="29"/>
        <v>18.202394447477552</v>
      </c>
      <c r="Y62" s="89">
        <f t="shared" si="30"/>
        <v>60.467045509297414</v>
      </c>
      <c r="Z62" s="87">
        <v>1.397E-2</v>
      </c>
      <c r="AA62" s="87">
        <v>3.8150000000000003E-2</v>
      </c>
      <c r="AB62" s="87">
        <v>0.90800000000000003</v>
      </c>
      <c r="AC62" s="89">
        <f t="shared" si="31"/>
        <v>49.616834685751272</v>
      </c>
      <c r="AD62" s="89">
        <f t="shared" si="32"/>
        <v>164.82355712197892</v>
      </c>
      <c r="AE62" s="90">
        <v>0.3135</v>
      </c>
      <c r="AF62" s="87">
        <v>2.2269999999999999</v>
      </c>
      <c r="AG62" s="87">
        <v>0.77880000000000005</v>
      </c>
      <c r="AH62" s="89">
        <f t="shared" si="33"/>
        <v>2.2109957912597937</v>
      </c>
      <c r="AI62" s="89">
        <f t="shared" si="34"/>
        <v>7.3447690366636236</v>
      </c>
      <c r="AJ62" s="87">
        <v>4.1430000000000002E-2</v>
      </c>
      <c r="AK62" s="87">
        <v>8.7510000000000004E-2</v>
      </c>
      <c r="AL62" s="87">
        <v>1.014</v>
      </c>
      <c r="AM62" s="89">
        <f t="shared" si="35"/>
        <v>16.730561925173674</v>
      </c>
      <c r="AN62" s="89">
        <f t="shared" si="36"/>
        <v>55.577723702487233</v>
      </c>
      <c r="AO62" s="91">
        <v>7.0499999999999998E-3</v>
      </c>
      <c r="AP62" s="89">
        <v>6.1990000000000005E-4</v>
      </c>
      <c r="AQ62" s="87">
        <v>1.365</v>
      </c>
      <c r="AR62" s="89">
        <f t="shared" si="37"/>
        <v>98.318749015595074</v>
      </c>
      <c r="AS62" s="89">
        <f t="shared" si="38"/>
        <v>326.60781460908453</v>
      </c>
      <c r="AT62" s="92">
        <f t="shared" si="39"/>
        <v>5.1721629999999994</v>
      </c>
    </row>
    <row r="63" spans="1:46" x14ac:dyDescent="0.2">
      <c r="A63" s="45" t="str">
        <f t="shared" ref="A63:A76" si="40">IF($A45="","",$A45)</f>
        <v/>
      </c>
      <c r="B63" s="81" t="str">
        <f t="shared" ref="B63:B76" si="41">IF(OR($B26=0,$F26=""),"",(1/($B$20*$D$20))*LN((((L26/$E$20)^-$D$20)+($C$20/$B$20))/(1+($C$20/$B$20))))</f>
        <v/>
      </c>
      <c r="C63" s="82" t="str">
        <f t="shared" ref="C63:C76" si="42">IF(OR($B26=0,$F26=""),"",(1/($B$21*$D$21))*LN(((($L26/$E$21)^-$D$21)+($C$21/$B$21))/(1+($C$21/$B$21))))</f>
        <v/>
      </c>
      <c r="D63" s="65" t="str">
        <f t="shared" ref="D63:D76" si="43">IF(OR($B26=0,$F26=""),"",(1/($B$22*$D$22))*LN(((($L26/$E$22)^-$D$22)+($C$22/$B$22))/(1+($C$22/$B$22))))</f>
        <v/>
      </c>
      <c r="E63" s="81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82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83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84" t="str">
        <f t="shared" ref="H63:H76" si="47">IF($N26="","",IF(-LN($N26)*$F$20/LN(2)&lt;0,0,-LN($N26)*$F$20/LN(2)))</f>
        <v/>
      </c>
      <c r="I63" s="84" t="str">
        <f t="shared" ref="I63:I76" si="48">IF($N26="","",IF(-LN($N26)*$F$21/LN(2)&lt;0,0,-LN($N26)*$F$21/LN(2)))</f>
        <v/>
      </c>
      <c r="J63" s="84" t="str">
        <f t="shared" ref="J63:J76" si="49">IF($N26="","",IF(-LN($N26)*$F$22/LN(2)&lt;0,0,-LN($N26)*$F$22/LN(2)))</f>
        <v/>
      </c>
      <c r="K63" s="81" t="str">
        <f t="shared" ref="K63:K76" si="50">IF($E63="","",IF(AND($E63=0,$H63=0),0,IF(OR($E63=0,$H63=0),MAX($E63,$H63),IF(ABS($E63-$H63)&gt;$G$20,MAX($E63,$H63),(MAX($E63,$H63)+$F$20)))))</f>
        <v/>
      </c>
      <c r="L63" s="82" t="str">
        <f t="shared" ref="L63:L76" si="51">IF($F63="","",IF(AND($F63=0,$I63=0),0,IF(OR($F63=0,$I63=0),MAX($F63,$I63),IF(ABS($F63-$I63)&gt;$G$21,MAX($F63,$I63),(MAX($F63,$I63)+$F$21)))))</f>
        <v/>
      </c>
      <c r="M63" s="82" t="str">
        <f t="shared" ref="M63:M76" si="52">IF($G63="","",IF(AND($G63=0,$J63=0),0,IF(OR($G63=0,$J63=0),MAX($G63,$J63),IF(ABS($G63-$J63)&gt;$G$22,MAX($G63,$J63),(MAX($G63,$J63)+$F$22)))))</f>
        <v/>
      </c>
      <c r="O63" s="3">
        <v>110</v>
      </c>
      <c r="P63" s="87">
        <v>2.2959999999999998</v>
      </c>
      <c r="Q63" s="88">
        <v>11.7</v>
      </c>
      <c r="R63" s="87">
        <v>0.68269999999999997</v>
      </c>
      <c r="S63" s="89">
        <f t="shared" si="27"/>
        <v>0.301893371324018</v>
      </c>
      <c r="T63" s="89">
        <f t="shared" si="28"/>
        <v>1.0028680718615182</v>
      </c>
      <c r="U63" s="87">
        <v>3.7150000000000002E-2</v>
      </c>
      <c r="V63" s="87">
        <v>7.4359999999999996E-2</v>
      </c>
      <c r="W63" s="87">
        <v>0.47520000000000001</v>
      </c>
      <c r="X63" s="89">
        <f t="shared" si="29"/>
        <v>18.658066771465553</v>
      </c>
      <c r="Y63" s="89">
        <f t="shared" si="30"/>
        <v>61.980756204415769</v>
      </c>
      <c r="Z63" s="87">
        <v>1.336E-2</v>
      </c>
      <c r="AA63" s="87">
        <v>3.5209999999999998E-2</v>
      </c>
      <c r="AB63" s="87">
        <v>0.9244</v>
      </c>
      <c r="AC63" s="89">
        <f t="shared" si="31"/>
        <v>51.882273994007882</v>
      </c>
      <c r="AD63" s="89">
        <f t="shared" si="32"/>
        <v>172.34918360733877</v>
      </c>
      <c r="AE63" s="90">
        <v>0.28489999999999999</v>
      </c>
      <c r="AF63" s="87">
        <v>2.0609999999999999</v>
      </c>
      <c r="AG63" s="87">
        <v>0.78969999999999996</v>
      </c>
      <c r="AH63" s="89">
        <f t="shared" si="33"/>
        <v>2.4329490367144446</v>
      </c>
      <c r="AI63" s="89">
        <f t="shared" si="34"/>
        <v>8.08208175849086</v>
      </c>
      <c r="AJ63" s="87">
        <v>4.0079999999999998E-2</v>
      </c>
      <c r="AK63" s="87">
        <v>8.047E-2</v>
      </c>
      <c r="AL63" s="87">
        <v>1.03</v>
      </c>
      <c r="AM63" s="89">
        <f t="shared" si="35"/>
        <v>17.294091331335963</v>
      </c>
      <c r="AN63" s="89">
        <f t="shared" si="36"/>
        <v>57.449727869112927</v>
      </c>
      <c r="AO63" s="91">
        <v>6.9210000000000001E-3</v>
      </c>
      <c r="AP63" s="89">
        <v>1.9760000000000001E-4</v>
      </c>
      <c r="AQ63" s="87">
        <v>3.3090000000000002</v>
      </c>
      <c r="AR63" s="89">
        <f t="shared" si="37"/>
        <v>100.15130480565601</v>
      </c>
      <c r="AS63" s="89">
        <f t="shared" si="38"/>
        <v>332.69543317353646</v>
      </c>
      <c r="AT63" s="92">
        <f t="shared" si="39"/>
        <v>5.6642840000000003</v>
      </c>
    </row>
    <row r="64" spans="1:46" x14ac:dyDescent="0.2">
      <c r="A64" s="45" t="str">
        <f t="shared" si="40"/>
        <v/>
      </c>
      <c r="B64" s="81" t="str">
        <f t="shared" si="41"/>
        <v/>
      </c>
      <c r="C64" s="82" t="str">
        <f t="shared" si="42"/>
        <v/>
      </c>
      <c r="D64" s="65" t="str">
        <f t="shared" si="43"/>
        <v/>
      </c>
      <c r="E64" s="81" t="str">
        <f t="shared" si="44"/>
        <v/>
      </c>
      <c r="F64" s="82" t="str">
        <f t="shared" si="45"/>
        <v/>
      </c>
      <c r="G64" s="83" t="str">
        <f t="shared" si="46"/>
        <v/>
      </c>
      <c r="H64" s="84" t="str">
        <f t="shared" si="47"/>
        <v/>
      </c>
      <c r="I64" s="84" t="str">
        <f t="shared" si="48"/>
        <v/>
      </c>
      <c r="J64" s="84" t="str">
        <f t="shared" si="49"/>
        <v/>
      </c>
      <c r="K64" s="81" t="str">
        <f t="shared" si="50"/>
        <v/>
      </c>
      <c r="L64" s="82" t="str">
        <f t="shared" si="51"/>
        <v/>
      </c>
      <c r="M64" s="82" t="str">
        <f t="shared" si="52"/>
        <v/>
      </c>
      <c r="O64" s="3">
        <v>115</v>
      </c>
      <c r="P64" s="87">
        <v>2.2650000000000001</v>
      </c>
      <c r="Q64" s="88">
        <v>10.210000000000001</v>
      </c>
      <c r="R64" s="87">
        <v>0.63629999999999998</v>
      </c>
      <c r="S64" s="89">
        <f t="shared" si="27"/>
        <v>0.30602524528032904</v>
      </c>
      <c r="T64" s="89">
        <f t="shared" si="28"/>
        <v>1.0165938600415214</v>
      </c>
      <c r="U64" s="87">
        <v>3.6360000000000003E-2</v>
      </c>
      <c r="V64" s="87">
        <v>7.2010000000000005E-2</v>
      </c>
      <c r="W64" s="87">
        <v>0.53190000000000004</v>
      </c>
      <c r="X64" s="89">
        <f t="shared" si="29"/>
        <v>19.063453810779571</v>
      </c>
      <c r="Y64" s="89">
        <f t="shared" si="30"/>
        <v>63.327422799616215</v>
      </c>
      <c r="Z64" s="87">
        <v>1.2829999999999999E-2</v>
      </c>
      <c r="AA64" s="87">
        <v>6.2710000000000002E-2</v>
      </c>
      <c r="AB64" s="87">
        <v>0.94230000000000003</v>
      </c>
      <c r="AC64" s="89">
        <f t="shared" si="31"/>
        <v>54.025501212778281</v>
      </c>
      <c r="AD64" s="89">
        <f t="shared" si="32"/>
        <v>179.46883031909945</v>
      </c>
      <c r="AE64" s="90">
        <v>0.25790000000000002</v>
      </c>
      <c r="AF64" s="87">
        <v>1.9219999999999999</v>
      </c>
      <c r="AG64" s="87">
        <v>0.80079999999999996</v>
      </c>
      <c r="AH64" s="89">
        <f t="shared" si="33"/>
        <v>2.6876587070955611</v>
      </c>
      <c r="AI64" s="89">
        <f t="shared" si="34"/>
        <v>8.9282089685693897</v>
      </c>
      <c r="AJ64" s="87">
        <v>3.8780000000000002E-2</v>
      </c>
      <c r="AK64" s="87">
        <v>7.3940000000000006E-2</v>
      </c>
      <c r="AL64" s="87">
        <v>1.0329999999999999</v>
      </c>
      <c r="AM64" s="89">
        <f t="shared" si="35"/>
        <v>17.873831370808283</v>
      </c>
      <c r="AN64" s="89">
        <f t="shared" si="36"/>
        <v>59.375582593967138</v>
      </c>
      <c r="AO64" s="91">
        <v>6.8640000000000003E-3</v>
      </c>
      <c r="AP64" s="89">
        <v>-3.9080000000000001E-4</v>
      </c>
      <c r="AQ64" s="87">
        <v>0.64690000000000003</v>
      </c>
      <c r="AR64" s="89">
        <f t="shared" si="37"/>
        <v>100.98298085080788</v>
      </c>
      <c r="AS64" s="89">
        <f t="shared" si="38"/>
        <v>335.45820119377123</v>
      </c>
      <c r="AT64" s="92">
        <f t="shared" si="39"/>
        <v>6.1660109999999984</v>
      </c>
    </row>
    <row r="65" spans="1:46" x14ac:dyDescent="0.2">
      <c r="A65" s="45" t="str">
        <f t="shared" si="40"/>
        <v/>
      </c>
      <c r="B65" s="81" t="str">
        <f t="shared" si="41"/>
        <v/>
      </c>
      <c r="C65" s="82" t="str">
        <f t="shared" si="42"/>
        <v/>
      </c>
      <c r="D65" s="65" t="str">
        <f t="shared" si="43"/>
        <v/>
      </c>
      <c r="E65" s="81" t="str">
        <f t="shared" si="44"/>
        <v/>
      </c>
      <c r="F65" s="82" t="str">
        <f t="shared" si="45"/>
        <v/>
      </c>
      <c r="G65" s="83" t="str">
        <f t="shared" si="46"/>
        <v/>
      </c>
      <c r="H65" s="84" t="str">
        <f t="shared" si="47"/>
        <v/>
      </c>
      <c r="I65" s="84" t="str">
        <f t="shared" si="48"/>
        <v/>
      </c>
      <c r="J65" s="84" t="str">
        <f t="shared" si="49"/>
        <v/>
      </c>
      <c r="K65" s="81" t="str">
        <f t="shared" si="50"/>
        <v/>
      </c>
      <c r="L65" s="82" t="str">
        <f t="shared" si="51"/>
        <v/>
      </c>
      <c r="M65" s="82" t="str">
        <f t="shared" si="52"/>
        <v/>
      </c>
      <c r="O65" s="3">
        <v>120</v>
      </c>
      <c r="P65" s="87">
        <v>2.246</v>
      </c>
      <c r="Q65" s="88">
        <v>8.9499999999999993</v>
      </c>
      <c r="R65" s="87">
        <v>0.58730000000000004</v>
      </c>
      <c r="S65" s="89">
        <f t="shared" si="27"/>
        <v>0.30861406080140041</v>
      </c>
      <c r="T65" s="89">
        <f t="shared" si="28"/>
        <v>1.0251937190534488</v>
      </c>
      <c r="U65" s="87">
        <v>3.5659999999999997E-2</v>
      </c>
      <c r="V65" s="87">
        <v>7.109E-2</v>
      </c>
      <c r="W65" s="87">
        <v>0.60729999999999995</v>
      </c>
      <c r="X65" s="89">
        <f t="shared" si="29"/>
        <v>19.437666308467339</v>
      </c>
      <c r="Y65" s="89">
        <f t="shared" si="30"/>
        <v>64.570529809143181</v>
      </c>
      <c r="Z65" s="87">
        <v>1.235E-2</v>
      </c>
      <c r="AA65" s="87">
        <v>3.0470000000000001E-2</v>
      </c>
      <c r="AB65" s="87">
        <v>0.95660000000000001</v>
      </c>
      <c r="AC65" s="89">
        <f t="shared" si="31"/>
        <v>56.125277778133224</v>
      </c>
      <c r="AD65" s="89">
        <f t="shared" si="32"/>
        <v>186.44413708453814</v>
      </c>
      <c r="AE65" s="90">
        <v>0.2336</v>
      </c>
      <c r="AF65" s="87">
        <v>1.7969999999999999</v>
      </c>
      <c r="AG65" s="87">
        <v>0.81159999999999999</v>
      </c>
      <c r="AH65" s="89">
        <f t="shared" si="33"/>
        <v>2.9672396428079848</v>
      </c>
      <c r="AI65" s="89">
        <f t="shared" si="34"/>
        <v>9.8569567337073867</v>
      </c>
      <c r="AJ65" s="87">
        <v>3.7580000000000002E-2</v>
      </c>
      <c r="AK65" s="87">
        <v>6.8080000000000002E-2</v>
      </c>
      <c r="AL65" s="87">
        <v>1.0309999999999999</v>
      </c>
      <c r="AM65" s="89">
        <f t="shared" si="35"/>
        <v>18.44457638530988</v>
      </c>
      <c r="AN65" s="89">
        <f t="shared" si="36"/>
        <v>61.271556492656885</v>
      </c>
      <c r="AO65" s="91">
        <v>6.7260000000000002E-3</v>
      </c>
      <c r="AP65" s="89">
        <v>-8.3080000000000003E-4</v>
      </c>
      <c r="AQ65" s="87">
        <v>1.006</v>
      </c>
      <c r="AR65" s="89">
        <f t="shared" si="37"/>
        <v>103.05488857566834</v>
      </c>
      <c r="AS65" s="89">
        <f t="shared" si="38"/>
        <v>342.34092967499936</v>
      </c>
      <c r="AT65" s="92">
        <f t="shared" si="39"/>
        <v>6.6749920000000014</v>
      </c>
    </row>
    <row r="66" spans="1:46" x14ac:dyDescent="0.2">
      <c r="A66" s="45" t="str">
        <f t="shared" si="40"/>
        <v/>
      </c>
      <c r="B66" s="81" t="str">
        <f t="shared" si="41"/>
        <v/>
      </c>
      <c r="C66" s="82" t="str">
        <f t="shared" si="42"/>
        <v/>
      </c>
      <c r="D66" s="65" t="str">
        <f t="shared" si="43"/>
        <v/>
      </c>
      <c r="E66" s="81" t="str">
        <f t="shared" si="44"/>
        <v/>
      </c>
      <c r="F66" s="82" t="str">
        <f t="shared" si="45"/>
        <v/>
      </c>
      <c r="G66" s="83" t="str">
        <f t="shared" si="46"/>
        <v/>
      </c>
      <c r="H66" s="84" t="str">
        <f t="shared" si="47"/>
        <v/>
      </c>
      <c r="I66" s="84" t="str">
        <f t="shared" si="48"/>
        <v/>
      </c>
      <c r="J66" s="84" t="str">
        <f t="shared" si="49"/>
        <v/>
      </c>
      <c r="K66" s="81" t="str">
        <f t="shared" si="50"/>
        <v/>
      </c>
      <c r="L66" s="82" t="str">
        <f t="shared" si="51"/>
        <v/>
      </c>
      <c r="M66" s="82" t="str">
        <f t="shared" si="52"/>
        <v/>
      </c>
      <c r="O66" s="3">
        <v>125</v>
      </c>
      <c r="P66" s="87">
        <v>2.2189999999999999</v>
      </c>
      <c r="Q66" s="88">
        <v>7.923</v>
      </c>
      <c r="R66" s="87">
        <v>0.53859999999999997</v>
      </c>
      <c r="S66" s="89">
        <f t="shared" si="27"/>
        <v>0.31236916654346342</v>
      </c>
      <c r="T66" s="89">
        <f t="shared" si="28"/>
        <v>1.0376679103172808</v>
      </c>
      <c r="U66" s="87">
        <v>3.5020000000000003E-2</v>
      </c>
      <c r="V66" s="87">
        <v>7.1129999999999999E-2</v>
      </c>
      <c r="W66" s="87">
        <v>0.69740000000000002</v>
      </c>
      <c r="X66" s="89">
        <f t="shared" si="29"/>
        <v>19.792894933179475</v>
      </c>
      <c r="Y66" s="89">
        <f t="shared" si="30"/>
        <v>65.750573757682631</v>
      </c>
      <c r="Z66" s="87">
        <v>1.192E-2</v>
      </c>
      <c r="AA66" s="87">
        <v>2.8629999999999999E-2</v>
      </c>
      <c r="AB66" s="87">
        <v>0.96840000000000004</v>
      </c>
      <c r="AC66" s="89">
        <f t="shared" si="31"/>
        <v>58.149931255028967</v>
      </c>
      <c r="AD66" s="89">
        <f t="shared" si="32"/>
        <v>193.16989035184949</v>
      </c>
      <c r="AE66" s="90">
        <v>0.21299999999999999</v>
      </c>
      <c r="AF66" s="87">
        <v>1.677</v>
      </c>
      <c r="AG66" s="87">
        <v>0.82169999999999999</v>
      </c>
      <c r="AH66" s="89">
        <f t="shared" si="33"/>
        <v>3.2542121153049077</v>
      </c>
      <c r="AI66" s="89">
        <f t="shared" si="34"/>
        <v>10.810258652554207</v>
      </c>
      <c r="AJ66" s="87">
        <v>3.6519999999999997E-2</v>
      </c>
      <c r="AK66" s="87">
        <v>6.3039999999999999E-2</v>
      </c>
      <c r="AL66" s="87">
        <v>1.0309999999999999</v>
      </c>
      <c r="AM66" s="89">
        <f t="shared" si="35"/>
        <v>18.979933750272327</v>
      </c>
      <c r="AN66" s="89">
        <f t="shared" si="36"/>
        <v>63.049975164130508</v>
      </c>
      <c r="AO66" s="91">
        <v>6.5839999999999996E-3</v>
      </c>
      <c r="AP66" s="89">
        <v>-1.214E-3</v>
      </c>
      <c r="AQ66" s="87">
        <v>1.1919999999999999</v>
      </c>
      <c r="AR66" s="89">
        <f t="shared" si="37"/>
        <v>105.27751831104881</v>
      </c>
      <c r="AS66" s="89">
        <f t="shared" si="38"/>
        <v>349.7243458374918</v>
      </c>
      <c r="AT66" s="92">
        <f t="shared" si="39"/>
        <v>7.1888749999999995</v>
      </c>
    </row>
    <row r="67" spans="1:46" x14ac:dyDescent="0.2">
      <c r="A67" s="45" t="str">
        <f t="shared" si="40"/>
        <v/>
      </c>
      <c r="B67" s="81" t="str">
        <f t="shared" si="41"/>
        <v/>
      </c>
      <c r="C67" s="82" t="str">
        <f t="shared" si="42"/>
        <v/>
      </c>
      <c r="D67" s="65" t="str">
        <f t="shared" si="43"/>
        <v/>
      </c>
      <c r="E67" s="81" t="str">
        <f t="shared" si="44"/>
        <v/>
      </c>
      <c r="F67" s="82" t="str">
        <f t="shared" si="45"/>
        <v/>
      </c>
      <c r="G67" s="83" t="str">
        <f t="shared" si="46"/>
        <v/>
      </c>
      <c r="H67" s="84" t="str">
        <f t="shared" si="47"/>
        <v/>
      </c>
      <c r="I67" s="84" t="str">
        <f t="shared" si="48"/>
        <v/>
      </c>
      <c r="J67" s="84" t="str">
        <f t="shared" si="49"/>
        <v/>
      </c>
      <c r="K67" s="81" t="str">
        <f t="shared" si="50"/>
        <v/>
      </c>
      <c r="L67" s="82" t="str">
        <f t="shared" si="51"/>
        <v/>
      </c>
      <c r="M67" s="82" t="str">
        <f t="shared" si="52"/>
        <v/>
      </c>
      <c r="O67" s="3">
        <v>130</v>
      </c>
      <c r="P67" s="87">
        <v>2.17</v>
      </c>
      <c r="Q67" s="88">
        <v>7.0940000000000003</v>
      </c>
      <c r="R67" s="87">
        <v>0.4909</v>
      </c>
      <c r="S67" s="89">
        <f t="shared" si="27"/>
        <v>0.31942266385250934</v>
      </c>
      <c r="T67" s="89">
        <f t="shared" si="28"/>
        <v>1.0610991211954128</v>
      </c>
      <c r="U67" s="87">
        <v>3.4450000000000001E-2</v>
      </c>
      <c r="V67" s="87">
        <v>7.1599999999999997E-2</v>
      </c>
      <c r="W67" s="87">
        <v>0.79690000000000005</v>
      </c>
      <c r="X67" s="89">
        <f t="shared" si="29"/>
        <v>20.120382599708137</v>
      </c>
      <c r="Y67" s="89">
        <f t="shared" si="30"/>
        <v>66.838464237853287</v>
      </c>
      <c r="Z67" s="87">
        <v>1.155E-2</v>
      </c>
      <c r="AA67" s="87">
        <v>2.7019999999999999E-2</v>
      </c>
      <c r="AB67" s="87">
        <v>0.98019999999999996</v>
      </c>
      <c r="AC67" s="89">
        <f t="shared" si="31"/>
        <v>60.012742905622972</v>
      </c>
      <c r="AD67" s="89">
        <f t="shared" si="32"/>
        <v>199.35801670944122</v>
      </c>
      <c r="AE67" s="90">
        <v>0.19689999999999999</v>
      </c>
      <c r="AF67" s="87">
        <v>1.5569999999999999</v>
      </c>
      <c r="AG67" s="87">
        <v>0.83089999999999997</v>
      </c>
      <c r="AH67" s="89">
        <f t="shared" si="33"/>
        <v>3.5203005615030234</v>
      </c>
      <c r="AI67" s="89">
        <f t="shared" si="34"/>
        <v>11.694185337704651</v>
      </c>
      <c r="AJ67" s="87">
        <v>3.5610000000000003E-2</v>
      </c>
      <c r="AK67" s="87">
        <v>5.8740000000000001E-2</v>
      </c>
      <c r="AL67" s="87">
        <v>1.0369999999999999</v>
      </c>
      <c r="AM67" s="89">
        <f t="shared" si="35"/>
        <v>19.464958735185206</v>
      </c>
      <c r="AN67" s="89">
        <f t="shared" si="36"/>
        <v>64.661193288234927</v>
      </c>
      <c r="AO67" s="91">
        <v>6.4720000000000003E-3</v>
      </c>
      <c r="AP67" s="89">
        <v>-1.539E-3</v>
      </c>
      <c r="AQ67" s="87">
        <v>1.2849999999999999</v>
      </c>
      <c r="AR67" s="89">
        <f t="shared" si="37"/>
        <v>107.09937894931169</v>
      </c>
      <c r="AS67" s="89">
        <f t="shared" si="38"/>
        <v>355.77643587670667</v>
      </c>
      <c r="AT67" s="92">
        <f t="shared" si="39"/>
        <v>7.7053080000000005</v>
      </c>
    </row>
    <row r="68" spans="1:46" x14ac:dyDescent="0.2">
      <c r="A68" s="45" t="str">
        <f t="shared" si="40"/>
        <v/>
      </c>
      <c r="B68" s="81" t="str">
        <f t="shared" si="41"/>
        <v/>
      </c>
      <c r="C68" s="82" t="str">
        <f t="shared" si="42"/>
        <v/>
      </c>
      <c r="D68" s="65" t="str">
        <f t="shared" si="43"/>
        <v/>
      </c>
      <c r="E68" s="81" t="str">
        <f t="shared" si="44"/>
        <v/>
      </c>
      <c r="F68" s="82" t="str">
        <f t="shared" si="45"/>
        <v/>
      </c>
      <c r="G68" s="83" t="str">
        <f t="shared" si="46"/>
        <v/>
      </c>
      <c r="H68" s="84" t="str">
        <f t="shared" si="47"/>
        <v/>
      </c>
      <c r="I68" s="84" t="str">
        <f t="shared" si="48"/>
        <v/>
      </c>
      <c r="J68" s="84" t="str">
        <f t="shared" si="49"/>
        <v/>
      </c>
      <c r="K68" s="81" t="str">
        <f t="shared" si="50"/>
        <v/>
      </c>
      <c r="L68" s="82" t="str">
        <f t="shared" si="51"/>
        <v/>
      </c>
      <c r="M68" s="82" t="str">
        <f t="shared" si="52"/>
        <v/>
      </c>
      <c r="O68" s="3">
        <v>135</v>
      </c>
      <c r="P68" s="87">
        <v>2.1019999999999999</v>
      </c>
      <c r="Q68" s="88">
        <v>6.45</v>
      </c>
      <c r="R68" s="87">
        <v>0.44690000000000002</v>
      </c>
      <c r="S68" s="89">
        <f t="shared" si="27"/>
        <v>0.32975603261652964</v>
      </c>
      <c r="T68" s="89">
        <f t="shared" si="28"/>
        <v>1.0954258292074432</v>
      </c>
      <c r="U68" s="87">
        <v>3.3939999999999998E-2</v>
      </c>
      <c r="V68" s="87">
        <v>7.263E-2</v>
      </c>
      <c r="W68" s="87">
        <v>0.90990000000000004</v>
      </c>
      <c r="X68" s="89">
        <f t="shared" si="29"/>
        <v>20.4227218786077</v>
      </c>
      <c r="Y68" s="89">
        <f t="shared" si="30"/>
        <v>67.842813582617737</v>
      </c>
      <c r="Z68" s="87">
        <v>1.1220000000000001E-2</v>
      </c>
      <c r="AA68" s="87">
        <v>2.5610000000000001E-2</v>
      </c>
      <c r="AB68" s="87">
        <v>0.99009999999999998</v>
      </c>
      <c r="AC68" s="89">
        <f t="shared" si="31"/>
        <v>61.777823579317754</v>
      </c>
      <c r="AD68" s="89">
        <f t="shared" si="32"/>
        <v>205.22148778913061</v>
      </c>
      <c r="AE68" s="90">
        <v>0.18379999999999999</v>
      </c>
      <c r="AF68" s="87">
        <v>1.44</v>
      </c>
      <c r="AG68" s="87">
        <v>0.83909999999999996</v>
      </c>
      <c r="AH68" s="89">
        <f t="shared" si="33"/>
        <v>3.7712033762782662</v>
      </c>
      <c r="AI68" s="89">
        <f t="shared" si="34"/>
        <v>12.52766644719285</v>
      </c>
      <c r="AJ68" s="87">
        <v>3.4810000000000001E-2</v>
      </c>
      <c r="AK68" s="87">
        <v>5.5190000000000003E-2</v>
      </c>
      <c r="AL68" s="87">
        <v>1.0489999999999999</v>
      </c>
      <c r="AM68" s="89">
        <f t="shared" si="35"/>
        <v>19.912300504451171</v>
      </c>
      <c r="AN68" s="89">
        <f t="shared" si="36"/>
        <v>66.147230479576152</v>
      </c>
      <c r="AO68" s="91">
        <v>6.306E-3</v>
      </c>
      <c r="AP68" s="89">
        <v>-1.7309999999999999E-3</v>
      </c>
      <c r="AQ68" s="87">
        <v>1.4650000000000001</v>
      </c>
      <c r="AR68" s="89">
        <f t="shared" si="37"/>
        <v>109.91867753884321</v>
      </c>
      <c r="AS68" s="89">
        <f t="shared" si="38"/>
        <v>365.14194306914777</v>
      </c>
      <c r="AT68" s="92">
        <f t="shared" si="39"/>
        <v>8.221938999999999</v>
      </c>
    </row>
    <row r="69" spans="1:46" x14ac:dyDescent="0.2">
      <c r="A69" s="45" t="str">
        <f t="shared" si="40"/>
        <v/>
      </c>
      <c r="B69" s="81" t="str">
        <f t="shared" si="41"/>
        <v/>
      </c>
      <c r="C69" s="82" t="str">
        <f t="shared" si="42"/>
        <v/>
      </c>
      <c r="D69" s="65" t="str">
        <f t="shared" si="43"/>
        <v/>
      </c>
      <c r="E69" s="81" t="str">
        <f t="shared" si="44"/>
        <v/>
      </c>
      <c r="F69" s="82" t="str">
        <f t="shared" si="45"/>
        <v/>
      </c>
      <c r="G69" s="83" t="str">
        <f t="shared" si="46"/>
        <v/>
      </c>
      <c r="H69" s="84" t="str">
        <f t="shared" si="47"/>
        <v/>
      </c>
      <c r="I69" s="84" t="str">
        <f t="shared" si="48"/>
        <v/>
      </c>
      <c r="J69" s="84" t="str">
        <f t="shared" si="49"/>
        <v/>
      </c>
      <c r="K69" s="81" t="str">
        <f t="shared" si="50"/>
        <v/>
      </c>
      <c r="L69" s="82" t="str">
        <f t="shared" si="51"/>
        <v/>
      </c>
      <c r="M69" s="82" t="str">
        <f t="shared" si="52"/>
        <v/>
      </c>
      <c r="O69" s="3">
        <v>140</v>
      </c>
      <c r="P69" s="87">
        <v>2.0089999999999999</v>
      </c>
      <c r="Q69" s="88">
        <v>5.9160000000000004</v>
      </c>
      <c r="R69" s="87">
        <v>0.40179999999999999</v>
      </c>
      <c r="S69" s="89">
        <f t="shared" si="27"/>
        <v>0.34502099579887774</v>
      </c>
      <c r="T69" s="89">
        <f t="shared" si="28"/>
        <v>1.1461349392703066</v>
      </c>
      <c r="U69" s="87">
        <v>3.3450000000000001E-2</v>
      </c>
      <c r="V69" s="87">
        <v>7.4759999999999993E-2</v>
      </c>
      <c r="W69" s="87">
        <v>1.0469999999999999</v>
      </c>
      <c r="X69" s="89">
        <f t="shared" si="29"/>
        <v>20.721888805977436</v>
      </c>
      <c r="Y69" s="89">
        <f t="shared" si="30"/>
        <v>68.836624603708387</v>
      </c>
      <c r="Z69" s="87">
        <v>1.0880000000000001E-2</v>
      </c>
      <c r="AA69" s="87">
        <v>2.436E-2</v>
      </c>
      <c r="AB69" s="87">
        <v>0.99639999999999995</v>
      </c>
      <c r="AC69" s="89">
        <f t="shared" si="31"/>
        <v>63.708380566171435</v>
      </c>
      <c r="AD69" s="89">
        <f t="shared" si="32"/>
        <v>211.63465928254095</v>
      </c>
      <c r="AE69" s="90">
        <v>0.1724</v>
      </c>
      <c r="AF69" s="87">
        <v>1.3280000000000001</v>
      </c>
      <c r="AG69" s="87">
        <v>0.8458</v>
      </c>
      <c r="AH69" s="89">
        <f t="shared" si="33"/>
        <v>4.0205752932711443</v>
      </c>
      <c r="AI69" s="89">
        <f t="shared" si="34"/>
        <v>13.356062024327411</v>
      </c>
      <c r="AJ69" s="87">
        <v>3.4070000000000003E-2</v>
      </c>
      <c r="AK69" s="87">
        <v>5.1450000000000003E-2</v>
      </c>
      <c r="AL69" s="87">
        <v>1.0569999999999999</v>
      </c>
      <c r="AM69" s="89">
        <f t="shared" si="35"/>
        <v>20.344795437626804</v>
      </c>
      <c r="AN69" s="89">
        <f t="shared" si="36"/>
        <v>67.583947548988718</v>
      </c>
      <c r="AO69" s="91">
        <v>6.1910000000000003E-3</v>
      </c>
      <c r="AP69" s="89">
        <v>-1.8489999999999999E-3</v>
      </c>
      <c r="AQ69" s="87">
        <v>1.53</v>
      </c>
      <c r="AR69" s="89">
        <f t="shared" si="37"/>
        <v>111.96045559036428</v>
      </c>
      <c r="AS69" s="89">
        <f t="shared" si="38"/>
        <v>371.92458294201998</v>
      </c>
      <c r="AT69" s="92">
        <f t="shared" si="39"/>
        <v>8.7364160000000002</v>
      </c>
    </row>
    <row r="70" spans="1:46" x14ac:dyDescent="0.2">
      <c r="A70" s="45" t="str">
        <f t="shared" si="40"/>
        <v/>
      </c>
      <c r="B70" s="81" t="str">
        <f t="shared" si="41"/>
        <v/>
      </c>
      <c r="C70" s="82" t="str">
        <f t="shared" si="42"/>
        <v/>
      </c>
      <c r="D70" s="65" t="str">
        <f t="shared" si="43"/>
        <v/>
      </c>
      <c r="E70" s="81" t="str">
        <f t="shared" si="44"/>
        <v/>
      </c>
      <c r="F70" s="82" t="str">
        <f t="shared" si="45"/>
        <v/>
      </c>
      <c r="G70" s="83" t="str">
        <f t="shared" si="46"/>
        <v/>
      </c>
      <c r="H70" s="84" t="str">
        <f t="shared" si="47"/>
        <v/>
      </c>
      <c r="I70" s="84" t="str">
        <f t="shared" si="48"/>
        <v/>
      </c>
      <c r="J70" s="84" t="str">
        <f t="shared" si="49"/>
        <v/>
      </c>
      <c r="K70" s="81" t="str">
        <f t="shared" si="50"/>
        <v/>
      </c>
      <c r="L70" s="82" t="str">
        <f t="shared" si="51"/>
        <v/>
      </c>
      <c r="M70" s="82" t="str">
        <f t="shared" si="52"/>
        <v/>
      </c>
      <c r="O70" s="3">
        <v>145</v>
      </c>
      <c r="P70" s="87">
        <v>1.895</v>
      </c>
      <c r="Q70" s="88">
        <v>5.4980000000000002</v>
      </c>
      <c r="R70" s="87">
        <v>0.35799999999999998</v>
      </c>
      <c r="S70" s="89">
        <f t="shared" si="27"/>
        <v>0.36577687628493155</v>
      </c>
      <c r="T70" s="89">
        <f t="shared" si="28"/>
        <v>1.2150844817910531</v>
      </c>
      <c r="U70" s="87">
        <v>3.2960000000000003E-2</v>
      </c>
      <c r="V70" s="87">
        <v>7.8750000000000001E-2</v>
      </c>
      <c r="W70" s="87">
        <v>1.224</v>
      </c>
      <c r="X70" s="89">
        <f t="shared" si="29"/>
        <v>21.029950866503192</v>
      </c>
      <c r="Y70" s="89">
        <f t="shared" si="30"/>
        <v>69.859984617537791</v>
      </c>
      <c r="Z70" s="87">
        <v>1.056E-2</v>
      </c>
      <c r="AA70" s="87">
        <v>2.3130000000000001E-2</v>
      </c>
      <c r="AB70" s="87">
        <v>0.99870000000000003</v>
      </c>
      <c r="AC70" s="89">
        <f t="shared" si="31"/>
        <v>65.638937553025116</v>
      </c>
      <c r="AD70" s="89">
        <f t="shared" si="32"/>
        <v>218.0478307759513</v>
      </c>
      <c r="AE70" s="90">
        <v>0.16159999999999999</v>
      </c>
      <c r="AF70" s="87">
        <v>1.2250000000000001</v>
      </c>
      <c r="AG70" s="87">
        <v>0.85189999999999999</v>
      </c>
      <c r="AH70" s="89">
        <f t="shared" si="33"/>
        <v>4.2892771074254039</v>
      </c>
      <c r="AI70" s="89">
        <f t="shared" si="34"/>
        <v>14.24867012991365</v>
      </c>
      <c r="AJ70" s="87">
        <v>3.3360000000000001E-2</v>
      </c>
      <c r="AK70" s="87">
        <v>4.795E-2</v>
      </c>
      <c r="AL70" s="87">
        <v>1.0629999999999999</v>
      </c>
      <c r="AM70" s="89">
        <f t="shared" si="35"/>
        <v>20.777793182252555</v>
      </c>
      <c r="AN70" s="89">
        <f t="shared" si="36"/>
        <v>69.022334921883868</v>
      </c>
      <c r="AO70" s="91">
        <v>6.1149999999999998E-3</v>
      </c>
      <c r="AP70" s="89">
        <v>-1.869E-3</v>
      </c>
      <c r="AQ70" s="87">
        <v>1.498</v>
      </c>
      <c r="AR70" s="89">
        <f t="shared" si="37"/>
        <v>113.35195103187985</v>
      </c>
      <c r="AS70" s="89">
        <f t="shared" si="38"/>
        <v>376.54703074309822</v>
      </c>
      <c r="AT70" s="92">
        <f t="shared" si="39"/>
        <v>9.2463870000000004</v>
      </c>
    </row>
    <row r="71" spans="1:46" x14ac:dyDescent="0.2">
      <c r="A71" s="45" t="str">
        <f t="shared" si="40"/>
        <v/>
      </c>
      <c r="B71" s="81" t="str">
        <f t="shared" si="41"/>
        <v/>
      </c>
      <c r="C71" s="82" t="str">
        <f t="shared" si="42"/>
        <v/>
      </c>
      <c r="D71" s="65" t="str">
        <f t="shared" si="43"/>
        <v/>
      </c>
      <c r="E71" s="81" t="str">
        <f t="shared" si="44"/>
        <v/>
      </c>
      <c r="F71" s="82" t="str">
        <f t="shared" si="45"/>
        <v/>
      </c>
      <c r="G71" s="83" t="str">
        <f t="shared" si="46"/>
        <v/>
      </c>
      <c r="H71" s="84" t="str">
        <f t="shared" si="47"/>
        <v/>
      </c>
      <c r="I71" s="84" t="str">
        <f t="shared" si="48"/>
        <v/>
      </c>
      <c r="J71" s="84" t="str">
        <f t="shared" si="49"/>
        <v/>
      </c>
      <c r="K71" s="81" t="str">
        <f t="shared" si="50"/>
        <v/>
      </c>
      <c r="L71" s="82" t="str">
        <f t="shared" si="51"/>
        <v/>
      </c>
      <c r="M71" s="82" t="str">
        <f t="shared" si="52"/>
        <v/>
      </c>
      <c r="O71" s="3">
        <v>150</v>
      </c>
      <c r="P71" s="87">
        <v>1.7569999999999999</v>
      </c>
      <c r="Q71" s="88">
        <v>5.1769999999999996</v>
      </c>
      <c r="R71" s="87">
        <v>0.31559999999999999</v>
      </c>
      <c r="S71" s="89">
        <f t="shared" si="27"/>
        <v>0.39450607886166494</v>
      </c>
      <c r="T71" s="89">
        <f t="shared" si="28"/>
        <v>1.3105208269744142</v>
      </c>
      <c r="U71" s="87">
        <v>3.243E-2</v>
      </c>
      <c r="V71" s="87">
        <v>8.5989999999999997E-2</v>
      </c>
      <c r="W71" s="87">
        <v>1.4670000000000001</v>
      </c>
      <c r="X71" s="89">
        <f t="shared" si="29"/>
        <v>21.373641090346755</v>
      </c>
      <c r="Y71" s="89">
        <f t="shared" si="30"/>
        <v>71.001698828061848</v>
      </c>
      <c r="Z71" s="87">
        <v>1.03E-2</v>
      </c>
      <c r="AA71" s="87">
        <v>2.198E-2</v>
      </c>
      <c r="AB71" s="87">
        <v>1.0129999999999999</v>
      </c>
      <c r="AC71" s="89">
        <f t="shared" si="31"/>
        <v>67.295842772810218</v>
      </c>
      <c r="AD71" s="89">
        <f t="shared" si="32"/>
        <v>223.55195077612095</v>
      </c>
      <c r="AE71" s="90">
        <v>0.15010000000000001</v>
      </c>
      <c r="AF71" s="87">
        <v>1.1319999999999999</v>
      </c>
      <c r="AG71" s="87">
        <v>0.85660000000000003</v>
      </c>
      <c r="AH71" s="89">
        <f t="shared" si="33"/>
        <v>4.6179026019983027</v>
      </c>
      <c r="AI71" s="89">
        <f t="shared" si="34"/>
        <v>15.340340393031617</v>
      </c>
      <c r="AJ71" s="87">
        <v>3.2660000000000002E-2</v>
      </c>
      <c r="AK71" s="87">
        <v>4.4909999999999999E-2</v>
      </c>
      <c r="AL71" s="87">
        <v>1.073</v>
      </c>
      <c r="AM71" s="89">
        <f t="shared" si="35"/>
        <v>21.223122491118961</v>
      </c>
      <c r="AN71" s="89">
        <f t="shared" si="36"/>
        <v>70.501686864483943</v>
      </c>
      <c r="AO71" s="91">
        <v>6.0200000000000002E-3</v>
      </c>
      <c r="AP71" s="89">
        <v>-1.7520000000000001E-3</v>
      </c>
      <c r="AQ71" s="87">
        <v>1.4830000000000001</v>
      </c>
      <c r="AR71" s="89">
        <f t="shared" si="37"/>
        <v>115.14072766776499</v>
      </c>
      <c r="AS71" s="89">
        <f t="shared" si="38"/>
        <v>382.48921810532318</v>
      </c>
      <c r="AT71" s="92">
        <f t="shared" si="39"/>
        <v>9.7495000000000012</v>
      </c>
    </row>
    <row r="72" spans="1:46" x14ac:dyDescent="0.2">
      <c r="A72" s="45" t="str">
        <f t="shared" si="40"/>
        <v/>
      </c>
      <c r="B72" s="81" t="str">
        <f t="shared" si="41"/>
        <v/>
      </c>
      <c r="C72" s="82" t="str">
        <f t="shared" si="42"/>
        <v/>
      </c>
      <c r="D72" s="65" t="str">
        <f t="shared" si="43"/>
        <v/>
      </c>
      <c r="E72" s="81" t="str">
        <f t="shared" si="44"/>
        <v/>
      </c>
      <c r="F72" s="82" t="str">
        <f t="shared" si="45"/>
        <v/>
      </c>
      <c r="G72" s="83" t="str">
        <f t="shared" si="46"/>
        <v/>
      </c>
      <c r="H72" s="84" t="str">
        <f t="shared" si="47"/>
        <v/>
      </c>
      <c r="I72" s="84" t="str">
        <f t="shared" si="48"/>
        <v/>
      </c>
      <c r="J72" s="84" t="str">
        <f t="shared" si="49"/>
        <v/>
      </c>
      <c r="K72" s="81" t="str">
        <f t="shared" si="50"/>
        <v/>
      </c>
      <c r="L72" s="82" t="str">
        <f t="shared" si="51"/>
        <v/>
      </c>
      <c r="M72" s="82" t="str">
        <f t="shared" si="52"/>
        <v/>
      </c>
      <c r="O72" s="68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68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7"/>
    </row>
    <row r="73" spans="1:46" x14ac:dyDescent="0.2">
      <c r="A73" s="45" t="str">
        <f t="shared" si="40"/>
        <v/>
      </c>
      <c r="B73" s="81" t="str">
        <f t="shared" si="41"/>
        <v/>
      </c>
      <c r="C73" s="82" t="str">
        <f t="shared" si="42"/>
        <v/>
      </c>
      <c r="D73" s="65" t="str">
        <f t="shared" si="43"/>
        <v/>
      </c>
      <c r="E73" s="81" t="str">
        <f t="shared" si="44"/>
        <v/>
      </c>
      <c r="F73" s="82" t="str">
        <f t="shared" si="45"/>
        <v/>
      </c>
      <c r="G73" s="83" t="str">
        <f t="shared" si="46"/>
        <v/>
      </c>
      <c r="H73" s="84" t="str">
        <f t="shared" si="47"/>
        <v/>
      </c>
      <c r="I73" s="84" t="str">
        <f t="shared" si="48"/>
        <v/>
      </c>
      <c r="J73" s="84" t="str">
        <f t="shared" si="49"/>
        <v/>
      </c>
      <c r="K73" s="81" t="str">
        <f t="shared" si="50"/>
        <v/>
      </c>
      <c r="L73" s="82" t="str">
        <f t="shared" si="51"/>
        <v/>
      </c>
      <c r="M73" s="82" t="str">
        <f t="shared" si="52"/>
        <v/>
      </c>
      <c r="O73" s="13" t="s">
        <v>99</v>
      </c>
      <c r="AM73" s="4"/>
      <c r="AN73" s="4"/>
      <c r="AO73" s="4"/>
    </row>
    <row r="74" spans="1:46" x14ac:dyDescent="0.2">
      <c r="A74" s="45" t="str">
        <f t="shared" si="40"/>
        <v/>
      </c>
      <c r="B74" s="81" t="str">
        <f t="shared" si="41"/>
        <v/>
      </c>
      <c r="C74" s="82" t="str">
        <f t="shared" si="42"/>
        <v/>
      </c>
      <c r="D74" s="65" t="str">
        <f t="shared" si="43"/>
        <v/>
      </c>
      <c r="E74" s="81" t="str">
        <f t="shared" si="44"/>
        <v/>
      </c>
      <c r="F74" s="82" t="str">
        <f t="shared" si="45"/>
        <v/>
      </c>
      <c r="G74" s="83" t="str">
        <f t="shared" si="46"/>
        <v/>
      </c>
      <c r="H74" s="84" t="str">
        <f t="shared" si="47"/>
        <v/>
      </c>
      <c r="I74" s="84" t="str">
        <f t="shared" si="48"/>
        <v/>
      </c>
      <c r="J74" s="84" t="str">
        <f t="shared" si="49"/>
        <v/>
      </c>
      <c r="K74" s="81" t="str">
        <f t="shared" si="50"/>
        <v/>
      </c>
      <c r="L74" s="82" t="str">
        <f t="shared" si="51"/>
        <v/>
      </c>
      <c r="M74" s="82" t="str">
        <f t="shared" si="52"/>
        <v/>
      </c>
      <c r="O74" s="13" t="s">
        <v>100</v>
      </c>
      <c r="AK74" s="4"/>
      <c r="AL74" s="4"/>
    </row>
    <row r="75" spans="1:46" x14ac:dyDescent="0.2">
      <c r="A75" s="45" t="str">
        <f t="shared" si="40"/>
        <v/>
      </c>
      <c r="B75" s="81" t="str">
        <f t="shared" si="41"/>
        <v/>
      </c>
      <c r="C75" s="82" t="str">
        <f t="shared" si="42"/>
        <v/>
      </c>
      <c r="D75" s="65" t="str">
        <f t="shared" si="43"/>
        <v/>
      </c>
      <c r="E75" s="81" t="str">
        <f t="shared" si="44"/>
        <v/>
      </c>
      <c r="F75" s="82" t="str">
        <f t="shared" si="45"/>
        <v/>
      </c>
      <c r="G75" s="83" t="str">
        <f t="shared" si="46"/>
        <v/>
      </c>
      <c r="H75" s="84" t="str">
        <f t="shared" si="47"/>
        <v/>
      </c>
      <c r="I75" s="84" t="str">
        <f t="shared" si="48"/>
        <v/>
      </c>
      <c r="J75" s="84" t="str">
        <f t="shared" si="49"/>
        <v/>
      </c>
      <c r="K75" s="81" t="str">
        <f t="shared" si="50"/>
        <v/>
      </c>
      <c r="L75" s="82" t="str">
        <f t="shared" si="51"/>
        <v/>
      </c>
      <c r="M75" s="82" t="str">
        <f t="shared" si="52"/>
        <v/>
      </c>
      <c r="P75" s="74" t="s">
        <v>101</v>
      </c>
    </row>
    <row r="76" spans="1:46" x14ac:dyDescent="0.2">
      <c r="A76" s="45" t="str">
        <f t="shared" si="40"/>
        <v/>
      </c>
      <c r="B76" s="81" t="str">
        <f t="shared" si="41"/>
        <v/>
      </c>
      <c r="C76" s="82" t="str">
        <f t="shared" si="42"/>
        <v/>
      </c>
      <c r="D76" s="65" t="str">
        <f t="shared" si="43"/>
        <v/>
      </c>
      <c r="E76" s="81" t="str">
        <f t="shared" si="44"/>
        <v/>
      </c>
      <c r="F76" s="82" t="str">
        <f t="shared" si="45"/>
        <v/>
      </c>
      <c r="G76" s="83" t="str">
        <f t="shared" si="46"/>
        <v/>
      </c>
      <c r="H76" s="84" t="str">
        <f t="shared" si="47"/>
        <v/>
      </c>
      <c r="I76" s="84" t="str">
        <f t="shared" si="48"/>
        <v/>
      </c>
      <c r="J76" s="84" t="str">
        <f t="shared" si="49"/>
        <v/>
      </c>
      <c r="K76" s="81" t="str">
        <f t="shared" si="50"/>
        <v/>
      </c>
      <c r="L76" s="82" t="str">
        <f t="shared" si="51"/>
        <v/>
      </c>
      <c r="M76" s="82" t="str">
        <f t="shared" si="52"/>
        <v/>
      </c>
    </row>
    <row r="77" spans="1:46" x14ac:dyDescent="0.2">
      <c r="A77" s="13" t="str">
        <f>A41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spans="1:46" x14ac:dyDescent="0.2">
      <c r="A78" s="13" t="s">
        <v>102</v>
      </c>
      <c r="B78" s="44"/>
      <c r="C78" s="44"/>
      <c r="D78" s="13" t="str">
        <f>IF($B$3="","",$B$3)</f>
        <v/>
      </c>
      <c r="M78" s="76" t="str">
        <f>IF($B$5="","",$B$5)</f>
        <v/>
      </c>
      <c r="N78" s="3" t="s">
        <v>89</v>
      </c>
    </row>
    <row r="79" spans="1:46" x14ac:dyDescent="0.2">
      <c r="A79" s="13"/>
      <c r="B79" s="227" t="s">
        <v>60</v>
      </c>
      <c r="C79" s="227"/>
      <c r="D79" s="227"/>
      <c r="E79" s="227" t="s">
        <v>62</v>
      </c>
      <c r="F79" s="227"/>
      <c r="G79" s="227"/>
      <c r="H79" s="227" t="s">
        <v>91</v>
      </c>
      <c r="I79" s="227"/>
      <c r="J79" s="227"/>
      <c r="K79" s="93" t="s">
        <v>92</v>
      </c>
      <c r="L79" s="44"/>
      <c r="M79" s="44"/>
      <c r="N79" s="3" t="s">
        <v>93</v>
      </c>
    </row>
    <row r="80" spans="1:46" x14ac:dyDescent="0.2">
      <c r="A80" s="10" t="s">
        <v>68</v>
      </c>
      <c r="B80" s="94" t="str">
        <f t="shared" ref="B80:M80" si="53">B44</f>
        <v>Lead</v>
      </c>
      <c r="C80" s="95" t="str">
        <f t="shared" si="53"/>
        <v>Concrete</v>
      </c>
      <c r="D80" s="95" t="str">
        <f t="shared" si="53"/>
        <v>Gypsum</v>
      </c>
      <c r="E80" s="94" t="str">
        <f t="shared" si="53"/>
        <v>Lead</v>
      </c>
      <c r="F80" s="95" t="str">
        <f t="shared" si="53"/>
        <v>Concrete</v>
      </c>
      <c r="G80" s="95" t="str">
        <f t="shared" si="53"/>
        <v>Gypsum</v>
      </c>
      <c r="H80" s="94" t="str">
        <f t="shared" si="53"/>
        <v>Lead</v>
      </c>
      <c r="I80" s="95" t="str">
        <f t="shared" si="53"/>
        <v>Concrete</v>
      </c>
      <c r="J80" s="95" t="str">
        <f t="shared" si="53"/>
        <v>Gypsum</v>
      </c>
      <c r="K80" s="94" t="str">
        <f t="shared" si="53"/>
        <v>Lead</v>
      </c>
      <c r="L80" s="95" t="str">
        <f t="shared" si="53"/>
        <v>Concrete</v>
      </c>
      <c r="M80" s="95" t="str">
        <f t="shared" si="53"/>
        <v>Gypsum</v>
      </c>
      <c r="N80" s="38" t="s">
        <v>94</v>
      </c>
    </row>
    <row r="81" spans="1:15" x14ac:dyDescent="0.2">
      <c r="A81" s="45" t="str">
        <f t="shared" ref="A81:A94" si="54">IF(A45="","",A45)</f>
        <v/>
      </c>
      <c r="B81" s="81" t="str">
        <f t="shared" ref="B81:M81" si="55">IF(B45="","",B45/25.4)</f>
        <v/>
      </c>
      <c r="C81" s="82" t="str">
        <f t="shared" si="55"/>
        <v/>
      </c>
      <c r="D81" s="82" t="str">
        <f t="shared" si="55"/>
        <v/>
      </c>
      <c r="E81" s="81" t="str">
        <f t="shared" si="55"/>
        <v/>
      </c>
      <c r="F81" s="82" t="str">
        <f t="shared" si="55"/>
        <v/>
      </c>
      <c r="G81" s="82" t="str">
        <f t="shared" si="55"/>
        <v/>
      </c>
      <c r="H81" s="81" t="str">
        <f t="shared" si="55"/>
        <v/>
      </c>
      <c r="I81" s="82" t="str">
        <f t="shared" si="55"/>
        <v/>
      </c>
      <c r="J81" s="82" t="str">
        <f t="shared" si="55"/>
        <v/>
      </c>
      <c r="K81" s="81" t="str">
        <f t="shared" si="55"/>
        <v/>
      </c>
      <c r="L81" s="82" t="str">
        <f t="shared" si="55"/>
        <v/>
      </c>
      <c r="M81" s="82" t="str">
        <f t="shared" si="55"/>
        <v/>
      </c>
      <c r="N81" s="85" t="str">
        <f t="shared" ref="N81:N94" si="56">IF(N45="","",N45)</f>
        <v/>
      </c>
    </row>
    <row r="82" spans="1:15" x14ac:dyDescent="0.2">
      <c r="A82" s="45" t="str">
        <f t="shared" si="54"/>
        <v/>
      </c>
      <c r="B82" s="81" t="str">
        <f t="shared" ref="B82:M82" si="57">IF(B46="","",B46/25.4)</f>
        <v/>
      </c>
      <c r="C82" s="82" t="str">
        <f t="shared" si="57"/>
        <v/>
      </c>
      <c r="D82" s="82" t="str">
        <f t="shared" si="57"/>
        <v/>
      </c>
      <c r="E82" s="81" t="str">
        <f t="shared" si="57"/>
        <v/>
      </c>
      <c r="F82" s="82" t="str">
        <f t="shared" si="57"/>
        <v/>
      </c>
      <c r="G82" s="82" t="str">
        <f t="shared" si="57"/>
        <v/>
      </c>
      <c r="H82" s="81" t="str">
        <f t="shared" si="57"/>
        <v/>
      </c>
      <c r="I82" s="82" t="str">
        <f t="shared" si="57"/>
        <v/>
      </c>
      <c r="J82" s="82" t="str">
        <f t="shared" si="57"/>
        <v/>
      </c>
      <c r="K82" s="81" t="str">
        <f t="shared" si="57"/>
        <v/>
      </c>
      <c r="L82" s="82" t="str">
        <f t="shared" si="57"/>
        <v/>
      </c>
      <c r="M82" s="82" t="str">
        <f t="shared" si="57"/>
        <v/>
      </c>
      <c r="N82" s="85" t="str">
        <f t="shared" si="56"/>
        <v/>
      </c>
    </row>
    <row r="83" spans="1:15" x14ac:dyDescent="0.2">
      <c r="A83" s="45" t="str">
        <f t="shared" si="54"/>
        <v/>
      </c>
      <c r="B83" s="81" t="str">
        <f t="shared" ref="B83:M83" si="58">IF(B47="","",B47/25.4)</f>
        <v/>
      </c>
      <c r="C83" s="82" t="str">
        <f t="shared" si="58"/>
        <v/>
      </c>
      <c r="D83" s="82" t="str">
        <f t="shared" si="58"/>
        <v/>
      </c>
      <c r="E83" s="81" t="str">
        <f t="shared" si="58"/>
        <v/>
      </c>
      <c r="F83" s="82" t="str">
        <f t="shared" si="58"/>
        <v/>
      </c>
      <c r="G83" s="82" t="str">
        <f t="shared" si="58"/>
        <v/>
      </c>
      <c r="H83" s="81" t="str">
        <f t="shared" si="58"/>
        <v/>
      </c>
      <c r="I83" s="82" t="str">
        <f t="shared" si="58"/>
        <v/>
      </c>
      <c r="J83" s="82" t="str">
        <f t="shared" si="58"/>
        <v/>
      </c>
      <c r="K83" s="81" t="str">
        <f t="shared" si="58"/>
        <v/>
      </c>
      <c r="L83" s="82" t="str">
        <f t="shared" si="58"/>
        <v/>
      </c>
      <c r="M83" s="82" t="str">
        <f t="shared" si="58"/>
        <v/>
      </c>
      <c r="N83" s="85" t="str">
        <f t="shared" si="56"/>
        <v/>
      </c>
    </row>
    <row r="84" spans="1:15" x14ac:dyDescent="0.2">
      <c r="A84" s="45" t="str">
        <f t="shared" si="54"/>
        <v/>
      </c>
      <c r="B84" s="81" t="str">
        <f t="shared" ref="B84:M84" si="59">IF(B48="","",B48/25.4)</f>
        <v/>
      </c>
      <c r="C84" s="82" t="str">
        <f t="shared" si="59"/>
        <v/>
      </c>
      <c r="D84" s="82" t="str">
        <f t="shared" si="59"/>
        <v/>
      </c>
      <c r="E84" s="81" t="str">
        <f t="shared" si="59"/>
        <v/>
      </c>
      <c r="F84" s="82" t="str">
        <f t="shared" si="59"/>
        <v/>
      </c>
      <c r="G84" s="82" t="str">
        <f t="shared" si="59"/>
        <v/>
      </c>
      <c r="H84" s="81" t="str">
        <f t="shared" si="59"/>
        <v/>
      </c>
      <c r="I84" s="82" t="str">
        <f t="shared" si="59"/>
        <v/>
      </c>
      <c r="J84" s="82" t="str">
        <f t="shared" si="59"/>
        <v/>
      </c>
      <c r="K84" s="81" t="str">
        <f t="shared" si="59"/>
        <v/>
      </c>
      <c r="L84" s="82" t="str">
        <f t="shared" si="59"/>
        <v/>
      </c>
      <c r="M84" s="82" t="str">
        <f t="shared" si="59"/>
        <v/>
      </c>
      <c r="N84" s="85" t="str">
        <f t="shared" si="56"/>
        <v/>
      </c>
      <c r="O84" s="44"/>
    </row>
    <row r="85" spans="1:15" x14ac:dyDescent="0.2">
      <c r="A85" s="45" t="str">
        <f t="shared" si="54"/>
        <v/>
      </c>
      <c r="B85" s="81" t="str">
        <f t="shared" ref="B85:M85" si="60">IF(B49="","",B49/25.4)</f>
        <v/>
      </c>
      <c r="C85" s="82" t="str">
        <f t="shared" si="60"/>
        <v/>
      </c>
      <c r="D85" s="82" t="str">
        <f t="shared" si="60"/>
        <v/>
      </c>
      <c r="E85" s="81" t="str">
        <f t="shared" si="60"/>
        <v/>
      </c>
      <c r="F85" s="82" t="str">
        <f t="shared" si="60"/>
        <v/>
      </c>
      <c r="G85" s="82" t="str">
        <f t="shared" si="60"/>
        <v/>
      </c>
      <c r="H85" s="81" t="str">
        <f t="shared" si="60"/>
        <v/>
      </c>
      <c r="I85" s="82" t="str">
        <f t="shared" si="60"/>
        <v/>
      </c>
      <c r="J85" s="82" t="str">
        <f t="shared" si="60"/>
        <v/>
      </c>
      <c r="K85" s="81" t="str">
        <f t="shared" si="60"/>
        <v/>
      </c>
      <c r="L85" s="82" t="str">
        <f t="shared" si="60"/>
        <v/>
      </c>
      <c r="M85" s="82" t="str">
        <f t="shared" si="60"/>
        <v/>
      </c>
      <c r="N85" s="85" t="str">
        <f t="shared" si="56"/>
        <v/>
      </c>
    </row>
    <row r="86" spans="1:15" x14ac:dyDescent="0.2">
      <c r="A86" s="45" t="str">
        <f t="shared" si="54"/>
        <v/>
      </c>
      <c r="B86" s="81" t="str">
        <f t="shared" ref="B86:M86" si="61">IF(B50="","",B50/25.4)</f>
        <v/>
      </c>
      <c r="C86" s="82" t="str">
        <f t="shared" si="61"/>
        <v/>
      </c>
      <c r="D86" s="82" t="str">
        <f t="shared" si="61"/>
        <v/>
      </c>
      <c r="E86" s="81" t="str">
        <f t="shared" si="61"/>
        <v/>
      </c>
      <c r="F86" s="82" t="str">
        <f t="shared" si="61"/>
        <v/>
      </c>
      <c r="G86" s="82" t="str">
        <f t="shared" si="61"/>
        <v/>
      </c>
      <c r="H86" s="81" t="str">
        <f t="shared" si="61"/>
        <v/>
      </c>
      <c r="I86" s="82" t="str">
        <f t="shared" si="61"/>
        <v/>
      </c>
      <c r="J86" s="82" t="str">
        <f t="shared" si="61"/>
        <v/>
      </c>
      <c r="K86" s="81" t="str">
        <f t="shared" si="61"/>
        <v/>
      </c>
      <c r="L86" s="82" t="str">
        <f t="shared" si="61"/>
        <v/>
      </c>
      <c r="M86" s="82" t="str">
        <f t="shared" si="61"/>
        <v/>
      </c>
      <c r="N86" s="85" t="str">
        <f t="shared" si="56"/>
        <v/>
      </c>
    </row>
    <row r="87" spans="1:15" x14ac:dyDescent="0.2">
      <c r="A87" s="45" t="str">
        <f t="shared" si="54"/>
        <v/>
      </c>
      <c r="B87" s="81" t="str">
        <f t="shared" ref="B87:M87" si="62">IF(B51="","",B51/25.4)</f>
        <v/>
      </c>
      <c r="C87" s="82" t="str">
        <f t="shared" si="62"/>
        <v/>
      </c>
      <c r="D87" s="82" t="str">
        <f t="shared" si="62"/>
        <v/>
      </c>
      <c r="E87" s="81" t="str">
        <f t="shared" si="62"/>
        <v/>
      </c>
      <c r="F87" s="82" t="str">
        <f t="shared" si="62"/>
        <v/>
      </c>
      <c r="G87" s="82" t="str">
        <f t="shared" si="62"/>
        <v/>
      </c>
      <c r="H87" s="81" t="str">
        <f t="shared" si="62"/>
        <v/>
      </c>
      <c r="I87" s="82" t="str">
        <f t="shared" si="62"/>
        <v/>
      </c>
      <c r="J87" s="82" t="str">
        <f t="shared" si="62"/>
        <v/>
      </c>
      <c r="K87" s="81" t="str">
        <f t="shared" si="62"/>
        <v/>
      </c>
      <c r="L87" s="82" t="str">
        <f t="shared" si="62"/>
        <v/>
      </c>
      <c r="M87" s="82" t="str">
        <f t="shared" si="62"/>
        <v/>
      </c>
      <c r="N87" s="85" t="str">
        <f t="shared" si="56"/>
        <v/>
      </c>
    </row>
    <row r="88" spans="1:15" x14ac:dyDescent="0.2">
      <c r="A88" s="45" t="str">
        <f t="shared" si="54"/>
        <v/>
      </c>
      <c r="B88" s="81" t="str">
        <f t="shared" ref="B88:M88" si="63">IF(B52="","",B52/25.4)</f>
        <v/>
      </c>
      <c r="C88" s="82" t="str">
        <f t="shared" si="63"/>
        <v/>
      </c>
      <c r="D88" s="82" t="str">
        <f t="shared" si="63"/>
        <v/>
      </c>
      <c r="E88" s="81" t="str">
        <f t="shared" si="63"/>
        <v/>
      </c>
      <c r="F88" s="82" t="str">
        <f t="shared" si="63"/>
        <v/>
      </c>
      <c r="G88" s="82" t="str">
        <f t="shared" si="63"/>
        <v/>
      </c>
      <c r="H88" s="81" t="str">
        <f t="shared" si="63"/>
        <v/>
      </c>
      <c r="I88" s="82" t="str">
        <f t="shared" si="63"/>
        <v/>
      </c>
      <c r="J88" s="82" t="str">
        <f t="shared" si="63"/>
        <v/>
      </c>
      <c r="K88" s="81" t="str">
        <f t="shared" si="63"/>
        <v/>
      </c>
      <c r="L88" s="82" t="str">
        <f t="shared" si="63"/>
        <v/>
      </c>
      <c r="M88" s="82" t="str">
        <f t="shared" si="63"/>
        <v/>
      </c>
      <c r="N88" s="85" t="str">
        <f t="shared" si="56"/>
        <v/>
      </c>
    </row>
    <row r="89" spans="1:15" x14ac:dyDescent="0.2">
      <c r="A89" s="45" t="str">
        <f t="shared" si="54"/>
        <v/>
      </c>
      <c r="B89" s="81" t="str">
        <f t="shared" ref="B89:M89" si="64">IF(B53="","",B53/25.4)</f>
        <v/>
      </c>
      <c r="C89" s="82" t="str">
        <f t="shared" si="64"/>
        <v/>
      </c>
      <c r="D89" s="82" t="str">
        <f t="shared" si="64"/>
        <v/>
      </c>
      <c r="E89" s="81" t="str">
        <f t="shared" si="64"/>
        <v/>
      </c>
      <c r="F89" s="82" t="str">
        <f t="shared" si="64"/>
        <v/>
      </c>
      <c r="G89" s="82" t="str">
        <f t="shared" si="64"/>
        <v/>
      </c>
      <c r="H89" s="81" t="str">
        <f t="shared" si="64"/>
        <v/>
      </c>
      <c r="I89" s="82" t="str">
        <f t="shared" si="64"/>
        <v/>
      </c>
      <c r="J89" s="82" t="str">
        <f t="shared" si="64"/>
        <v/>
      </c>
      <c r="K89" s="81" t="str">
        <f t="shared" si="64"/>
        <v/>
      </c>
      <c r="L89" s="82" t="str">
        <f t="shared" si="64"/>
        <v/>
      </c>
      <c r="M89" s="82" t="str">
        <f t="shared" si="64"/>
        <v/>
      </c>
      <c r="N89" s="85" t="str">
        <f t="shared" si="56"/>
        <v/>
      </c>
    </row>
    <row r="90" spans="1:15" x14ac:dyDescent="0.2">
      <c r="A90" s="45" t="str">
        <f t="shared" si="54"/>
        <v/>
      </c>
      <c r="B90" s="81" t="str">
        <f t="shared" ref="B90:M90" si="65">IF(B54="","",B54/25.4)</f>
        <v/>
      </c>
      <c r="C90" s="82" t="str">
        <f t="shared" si="65"/>
        <v/>
      </c>
      <c r="D90" s="82" t="str">
        <f t="shared" si="65"/>
        <v/>
      </c>
      <c r="E90" s="81" t="str">
        <f t="shared" si="65"/>
        <v/>
      </c>
      <c r="F90" s="82" t="str">
        <f t="shared" si="65"/>
        <v/>
      </c>
      <c r="G90" s="82" t="str">
        <f t="shared" si="65"/>
        <v/>
      </c>
      <c r="H90" s="81" t="str">
        <f t="shared" si="65"/>
        <v/>
      </c>
      <c r="I90" s="82" t="str">
        <f t="shared" si="65"/>
        <v/>
      </c>
      <c r="J90" s="82" t="str">
        <f t="shared" si="65"/>
        <v/>
      </c>
      <c r="K90" s="81" t="str">
        <f t="shared" si="65"/>
        <v/>
      </c>
      <c r="L90" s="82" t="str">
        <f t="shared" si="65"/>
        <v/>
      </c>
      <c r="M90" s="82" t="str">
        <f t="shared" si="65"/>
        <v/>
      </c>
      <c r="N90" s="85" t="str">
        <f t="shared" si="56"/>
        <v/>
      </c>
    </row>
    <row r="91" spans="1:15" x14ac:dyDescent="0.2">
      <c r="A91" s="45" t="str">
        <f t="shared" si="54"/>
        <v/>
      </c>
      <c r="B91" s="81" t="str">
        <f t="shared" ref="B91:M91" si="66">IF(B55="","",B55/25.4)</f>
        <v/>
      </c>
      <c r="C91" s="82" t="str">
        <f t="shared" si="66"/>
        <v/>
      </c>
      <c r="D91" s="82" t="str">
        <f t="shared" si="66"/>
        <v/>
      </c>
      <c r="E91" s="81" t="str">
        <f t="shared" si="66"/>
        <v/>
      </c>
      <c r="F91" s="82" t="str">
        <f t="shared" si="66"/>
        <v/>
      </c>
      <c r="G91" s="82" t="str">
        <f t="shared" si="66"/>
        <v/>
      </c>
      <c r="H91" s="81" t="str">
        <f t="shared" si="66"/>
        <v/>
      </c>
      <c r="I91" s="82" t="str">
        <f t="shared" si="66"/>
        <v/>
      </c>
      <c r="J91" s="82" t="str">
        <f t="shared" si="66"/>
        <v/>
      </c>
      <c r="K91" s="81" t="str">
        <f t="shared" si="66"/>
        <v/>
      </c>
      <c r="L91" s="82" t="str">
        <f t="shared" si="66"/>
        <v/>
      </c>
      <c r="M91" s="82" t="str">
        <f t="shared" si="66"/>
        <v/>
      </c>
      <c r="N91" s="85" t="str">
        <f t="shared" si="56"/>
        <v/>
      </c>
    </row>
    <row r="92" spans="1:15" x14ac:dyDescent="0.2">
      <c r="A92" s="45" t="str">
        <f t="shared" si="54"/>
        <v/>
      </c>
      <c r="B92" s="81" t="str">
        <f t="shared" ref="B92:M92" si="67">IF(B56="","",B56/25.4)</f>
        <v/>
      </c>
      <c r="C92" s="82" t="str">
        <f t="shared" si="67"/>
        <v/>
      </c>
      <c r="D92" s="82" t="str">
        <f t="shared" si="67"/>
        <v/>
      </c>
      <c r="E92" s="81" t="str">
        <f t="shared" si="67"/>
        <v/>
      </c>
      <c r="F92" s="82" t="str">
        <f t="shared" si="67"/>
        <v/>
      </c>
      <c r="G92" s="82" t="str">
        <f t="shared" si="67"/>
        <v/>
      </c>
      <c r="H92" s="81" t="str">
        <f t="shared" si="67"/>
        <v/>
      </c>
      <c r="I92" s="82" t="str">
        <f t="shared" si="67"/>
        <v/>
      </c>
      <c r="J92" s="82" t="str">
        <f t="shared" si="67"/>
        <v/>
      </c>
      <c r="K92" s="81" t="str">
        <f t="shared" si="67"/>
        <v/>
      </c>
      <c r="L92" s="82" t="str">
        <f t="shared" si="67"/>
        <v/>
      </c>
      <c r="M92" s="82" t="str">
        <f t="shared" si="67"/>
        <v/>
      </c>
      <c r="N92" s="85" t="str">
        <f t="shared" si="56"/>
        <v/>
      </c>
    </row>
    <row r="93" spans="1:15" x14ac:dyDescent="0.2">
      <c r="A93" s="45" t="str">
        <f t="shared" si="54"/>
        <v/>
      </c>
      <c r="B93" s="81" t="str">
        <f t="shared" ref="B93:M93" si="68">IF(B57="","",B57/25.4)</f>
        <v/>
      </c>
      <c r="C93" s="82" t="str">
        <f t="shared" si="68"/>
        <v/>
      </c>
      <c r="D93" s="82" t="str">
        <f t="shared" si="68"/>
        <v/>
      </c>
      <c r="E93" s="81" t="str">
        <f t="shared" si="68"/>
        <v/>
      </c>
      <c r="F93" s="82" t="str">
        <f t="shared" si="68"/>
        <v/>
      </c>
      <c r="G93" s="82" t="str">
        <f t="shared" si="68"/>
        <v/>
      </c>
      <c r="H93" s="81" t="str">
        <f t="shared" si="68"/>
        <v/>
      </c>
      <c r="I93" s="82" t="str">
        <f t="shared" si="68"/>
        <v/>
      </c>
      <c r="J93" s="82" t="str">
        <f t="shared" si="68"/>
        <v/>
      </c>
      <c r="K93" s="81" t="str">
        <f t="shared" si="68"/>
        <v/>
      </c>
      <c r="L93" s="82" t="str">
        <f t="shared" si="68"/>
        <v/>
      </c>
      <c r="M93" s="82" t="str">
        <f t="shared" si="68"/>
        <v/>
      </c>
      <c r="N93" s="85" t="str">
        <f t="shared" si="56"/>
        <v/>
      </c>
    </row>
    <row r="94" spans="1:15" x14ac:dyDescent="0.2">
      <c r="A94" s="45" t="str">
        <f t="shared" si="54"/>
        <v/>
      </c>
      <c r="B94" s="81" t="str">
        <f t="shared" ref="B94:M94" si="69">IF(B58="","",B58/25.4)</f>
        <v/>
      </c>
      <c r="C94" s="82" t="str">
        <f t="shared" si="69"/>
        <v/>
      </c>
      <c r="D94" s="82" t="str">
        <f t="shared" si="69"/>
        <v/>
      </c>
      <c r="E94" s="81" t="str">
        <f t="shared" si="69"/>
        <v/>
      </c>
      <c r="F94" s="82" t="str">
        <f t="shared" si="69"/>
        <v/>
      </c>
      <c r="G94" s="82" t="str">
        <f t="shared" si="69"/>
        <v/>
      </c>
      <c r="H94" s="81" t="str">
        <f t="shared" si="69"/>
        <v/>
      </c>
      <c r="I94" s="82" t="str">
        <f t="shared" si="69"/>
        <v/>
      </c>
      <c r="J94" s="82" t="str">
        <f t="shared" si="69"/>
        <v/>
      </c>
      <c r="K94" s="81" t="str">
        <f t="shared" si="69"/>
        <v/>
      </c>
      <c r="L94" s="82" t="str">
        <f t="shared" si="69"/>
        <v/>
      </c>
      <c r="M94" s="82" t="str">
        <f t="shared" si="69"/>
        <v/>
      </c>
      <c r="N94" s="85" t="str">
        <f t="shared" si="56"/>
        <v/>
      </c>
    </row>
    <row r="95" spans="1:15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spans="1:15" x14ac:dyDescent="0.2">
      <c r="A96" s="1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1:13" x14ac:dyDescent="0.2">
      <c r="A97" s="13"/>
      <c r="B97" s="227" t="s">
        <v>60</v>
      </c>
      <c r="C97" s="227"/>
      <c r="D97" s="227"/>
      <c r="E97" s="227" t="s">
        <v>62</v>
      </c>
      <c r="F97" s="227"/>
      <c r="G97" s="227"/>
      <c r="H97" s="227" t="s">
        <v>91</v>
      </c>
      <c r="I97" s="227"/>
      <c r="J97" s="227"/>
      <c r="K97" s="93" t="s">
        <v>92</v>
      </c>
      <c r="L97" s="44"/>
      <c r="M97" s="44"/>
    </row>
    <row r="98" spans="1:13" x14ac:dyDescent="0.2">
      <c r="A98" s="10" t="s">
        <v>68</v>
      </c>
      <c r="B98" s="94" t="str">
        <f t="shared" ref="B98:M98" si="70">B62</f>
        <v>Steel</v>
      </c>
      <c r="C98" s="95" t="str">
        <f t="shared" si="70"/>
        <v>Glass</v>
      </c>
      <c r="D98" s="95" t="str">
        <f t="shared" si="70"/>
        <v>Wood</v>
      </c>
      <c r="E98" s="94" t="str">
        <f t="shared" si="70"/>
        <v>Steel</v>
      </c>
      <c r="F98" s="95" t="str">
        <f t="shared" si="70"/>
        <v>Glass</v>
      </c>
      <c r="G98" s="95" t="str">
        <f t="shared" si="70"/>
        <v>Wood</v>
      </c>
      <c r="H98" s="94" t="str">
        <f t="shared" si="70"/>
        <v>Steel</v>
      </c>
      <c r="I98" s="95" t="str">
        <f t="shared" si="70"/>
        <v>Glass</v>
      </c>
      <c r="J98" s="95" t="str">
        <f t="shared" si="70"/>
        <v>Wood</v>
      </c>
      <c r="K98" s="94" t="str">
        <f t="shared" si="70"/>
        <v>Steel</v>
      </c>
      <c r="L98" s="95" t="str">
        <f t="shared" si="70"/>
        <v>Glass</v>
      </c>
      <c r="M98" s="95" t="str">
        <f t="shared" si="70"/>
        <v>Wood</v>
      </c>
    </row>
    <row r="99" spans="1:13" x14ac:dyDescent="0.2">
      <c r="A99" s="45" t="str">
        <f t="shared" ref="A99:A112" si="71">A81</f>
        <v/>
      </c>
      <c r="B99" s="81" t="str">
        <f t="shared" ref="B99:M99" si="72">IF(B63="","",B63/25.4)</f>
        <v/>
      </c>
      <c r="C99" s="82" t="str">
        <f t="shared" si="72"/>
        <v/>
      </c>
      <c r="D99" s="82" t="str">
        <f t="shared" si="72"/>
        <v/>
      </c>
      <c r="E99" s="81" t="str">
        <f t="shared" si="72"/>
        <v/>
      </c>
      <c r="F99" s="82" t="str">
        <f t="shared" si="72"/>
        <v/>
      </c>
      <c r="G99" s="82" t="str">
        <f t="shared" si="72"/>
        <v/>
      </c>
      <c r="H99" s="81" t="str">
        <f t="shared" si="72"/>
        <v/>
      </c>
      <c r="I99" s="82" t="str">
        <f t="shared" si="72"/>
        <v/>
      </c>
      <c r="J99" s="82" t="str">
        <f t="shared" si="72"/>
        <v/>
      </c>
      <c r="K99" s="81" t="str">
        <f t="shared" si="72"/>
        <v/>
      </c>
      <c r="L99" s="82" t="str">
        <f t="shared" si="72"/>
        <v/>
      </c>
      <c r="M99" s="82" t="str">
        <f t="shared" si="72"/>
        <v/>
      </c>
    </row>
    <row r="100" spans="1:13" x14ac:dyDescent="0.2">
      <c r="A100" s="45" t="str">
        <f t="shared" si="71"/>
        <v/>
      </c>
      <c r="B100" s="81" t="str">
        <f t="shared" ref="B100:M100" si="73">IF(B64="","",B64/25.4)</f>
        <v/>
      </c>
      <c r="C100" s="82" t="str">
        <f t="shared" si="73"/>
        <v/>
      </c>
      <c r="D100" s="82" t="str">
        <f t="shared" si="73"/>
        <v/>
      </c>
      <c r="E100" s="81" t="str">
        <f t="shared" si="73"/>
        <v/>
      </c>
      <c r="F100" s="82" t="str">
        <f t="shared" si="73"/>
        <v/>
      </c>
      <c r="G100" s="82" t="str">
        <f t="shared" si="73"/>
        <v/>
      </c>
      <c r="H100" s="81" t="str">
        <f t="shared" si="73"/>
        <v/>
      </c>
      <c r="I100" s="82" t="str">
        <f t="shared" si="73"/>
        <v/>
      </c>
      <c r="J100" s="82" t="str">
        <f t="shared" si="73"/>
        <v/>
      </c>
      <c r="K100" s="81" t="str">
        <f t="shared" si="73"/>
        <v/>
      </c>
      <c r="L100" s="82" t="str">
        <f t="shared" si="73"/>
        <v/>
      </c>
      <c r="M100" s="82" t="str">
        <f t="shared" si="73"/>
        <v/>
      </c>
    </row>
    <row r="101" spans="1:13" x14ac:dyDescent="0.2">
      <c r="A101" s="45" t="str">
        <f t="shared" si="71"/>
        <v/>
      </c>
      <c r="B101" s="81" t="str">
        <f t="shared" ref="B101:M101" si="74">IF(B65="","",B65/25.4)</f>
        <v/>
      </c>
      <c r="C101" s="82" t="str">
        <f t="shared" si="74"/>
        <v/>
      </c>
      <c r="D101" s="82" t="str">
        <f t="shared" si="74"/>
        <v/>
      </c>
      <c r="E101" s="81" t="str">
        <f t="shared" si="74"/>
        <v/>
      </c>
      <c r="F101" s="82" t="str">
        <f t="shared" si="74"/>
        <v/>
      </c>
      <c r="G101" s="82" t="str">
        <f t="shared" si="74"/>
        <v/>
      </c>
      <c r="H101" s="81" t="str">
        <f t="shared" si="74"/>
        <v/>
      </c>
      <c r="I101" s="82" t="str">
        <f t="shared" si="74"/>
        <v/>
      </c>
      <c r="J101" s="82" t="str">
        <f t="shared" si="74"/>
        <v/>
      </c>
      <c r="K101" s="81" t="str">
        <f t="shared" si="74"/>
        <v/>
      </c>
      <c r="L101" s="82" t="str">
        <f t="shared" si="74"/>
        <v/>
      </c>
      <c r="M101" s="82" t="str">
        <f t="shared" si="74"/>
        <v/>
      </c>
    </row>
    <row r="102" spans="1:13" x14ac:dyDescent="0.2">
      <c r="A102" s="45" t="str">
        <f t="shared" si="71"/>
        <v/>
      </c>
      <c r="B102" s="81" t="str">
        <f t="shared" ref="B102:M102" si="75">IF(B66="","",B66/25.4)</f>
        <v/>
      </c>
      <c r="C102" s="82" t="str">
        <f t="shared" si="75"/>
        <v/>
      </c>
      <c r="D102" s="82" t="str">
        <f t="shared" si="75"/>
        <v/>
      </c>
      <c r="E102" s="81" t="str">
        <f t="shared" si="75"/>
        <v/>
      </c>
      <c r="F102" s="82" t="str">
        <f t="shared" si="75"/>
        <v/>
      </c>
      <c r="G102" s="82" t="str">
        <f t="shared" si="75"/>
        <v/>
      </c>
      <c r="H102" s="81" t="str">
        <f t="shared" si="75"/>
        <v/>
      </c>
      <c r="I102" s="82" t="str">
        <f t="shared" si="75"/>
        <v/>
      </c>
      <c r="J102" s="82" t="str">
        <f t="shared" si="75"/>
        <v/>
      </c>
      <c r="K102" s="81" t="str">
        <f t="shared" si="75"/>
        <v/>
      </c>
      <c r="L102" s="82" t="str">
        <f t="shared" si="75"/>
        <v/>
      </c>
      <c r="M102" s="82" t="str">
        <f t="shared" si="75"/>
        <v/>
      </c>
    </row>
    <row r="103" spans="1:13" x14ac:dyDescent="0.2">
      <c r="A103" s="45" t="str">
        <f t="shared" si="71"/>
        <v/>
      </c>
      <c r="B103" s="81" t="str">
        <f t="shared" ref="B103:M103" si="76">IF(B67="","",B67/25.4)</f>
        <v/>
      </c>
      <c r="C103" s="82" t="str">
        <f t="shared" si="76"/>
        <v/>
      </c>
      <c r="D103" s="82" t="str">
        <f t="shared" si="76"/>
        <v/>
      </c>
      <c r="E103" s="81" t="str">
        <f t="shared" si="76"/>
        <v/>
      </c>
      <c r="F103" s="82" t="str">
        <f t="shared" si="76"/>
        <v/>
      </c>
      <c r="G103" s="82" t="str">
        <f t="shared" si="76"/>
        <v/>
      </c>
      <c r="H103" s="81" t="str">
        <f t="shared" si="76"/>
        <v/>
      </c>
      <c r="I103" s="82" t="str">
        <f t="shared" si="76"/>
        <v/>
      </c>
      <c r="J103" s="82" t="str">
        <f t="shared" si="76"/>
        <v/>
      </c>
      <c r="K103" s="81" t="str">
        <f t="shared" si="76"/>
        <v/>
      </c>
      <c r="L103" s="82" t="str">
        <f t="shared" si="76"/>
        <v/>
      </c>
      <c r="M103" s="82" t="str">
        <f t="shared" si="76"/>
        <v/>
      </c>
    </row>
    <row r="104" spans="1:13" x14ac:dyDescent="0.2">
      <c r="A104" s="45" t="str">
        <f t="shared" si="71"/>
        <v/>
      </c>
      <c r="B104" s="81" t="str">
        <f t="shared" ref="B104:M104" si="77">IF(B68="","",B68/25.4)</f>
        <v/>
      </c>
      <c r="C104" s="82" t="str">
        <f t="shared" si="77"/>
        <v/>
      </c>
      <c r="D104" s="82" t="str">
        <f t="shared" si="77"/>
        <v/>
      </c>
      <c r="E104" s="81" t="str">
        <f t="shared" si="77"/>
        <v/>
      </c>
      <c r="F104" s="82" t="str">
        <f t="shared" si="77"/>
        <v/>
      </c>
      <c r="G104" s="82" t="str">
        <f t="shared" si="77"/>
        <v/>
      </c>
      <c r="H104" s="81" t="str">
        <f t="shared" si="77"/>
        <v/>
      </c>
      <c r="I104" s="82" t="str">
        <f t="shared" si="77"/>
        <v/>
      </c>
      <c r="J104" s="82" t="str">
        <f t="shared" si="77"/>
        <v/>
      </c>
      <c r="K104" s="81" t="str">
        <f t="shared" si="77"/>
        <v/>
      </c>
      <c r="L104" s="82" t="str">
        <f t="shared" si="77"/>
        <v/>
      </c>
      <c r="M104" s="82" t="str">
        <f t="shared" si="77"/>
        <v/>
      </c>
    </row>
    <row r="105" spans="1:13" x14ac:dyDescent="0.2">
      <c r="A105" s="45" t="str">
        <f t="shared" si="71"/>
        <v/>
      </c>
      <c r="B105" s="81" t="str">
        <f t="shared" ref="B105:M105" si="78">IF(B69="","",B69/25.4)</f>
        <v/>
      </c>
      <c r="C105" s="82" t="str">
        <f t="shared" si="78"/>
        <v/>
      </c>
      <c r="D105" s="82" t="str">
        <f t="shared" si="78"/>
        <v/>
      </c>
      <c r="E105" s="81" t="str">
        <f t="shared" si="78"/>
        <v/>
      </c>
      <c r="F105" s="82" t="str">
        <f t="shared" si="78"/>
        <v/>
      </c>
      <c r="G105" s="82" t="str">
        <f t="shared" si="78"/>
        <v/>
      </c>
      <c r="H105" s="81" t="str">
        <f t="shared" si="78"/>
        <v/>
      </c>
      <c r="I105" s="82" t="str">
        <f t="shared" si="78"/>
        <v/>
      </c>
      <c r="J105" s="82" t="str">
        <f t="shared" si="78"/>
        <v/>
      </c>
      <c r="K105" s="81" t="str">
        <f t="shared" si="78"/>
        <v/>
      </c>
      <c r="L105" s="82" t="str">
        <f t="shared" si="78"/>
        <v/>
      </c>
      <c r="M105" s="82" t="str">
        <f t="shared" si="78"/>
        <v/>
      </c>
    </row>
    <row r="106" spans="1:13" x14ac:dyDescent="0.2">
      <c r="A106" s="45" t="str">
        <f t="shared" si="71"/>
        <v/>
      </c>
      <c r="B106" s="81" t="str">
        <f t="shared" ref="B106:M106" si="79">IF(B70="","",B70/25.4)</f>
        <v/>
      </c>
      <c r="C106" s="82" t="str">
        <f t="shared" si="79"/>
        <v/>
      </c>
      <c r="D106" s="82" t="str">
        <f t="shared" si="79"/>
        <v/>
      </c>
      <c r="E106" s="81" t="str">
        <f t="shared" si="79"/>
        <v/>
      </c>
      <c r="F106" s="82" t="str">
        <f t="shared" si="79"/>
        <v/>
      </c>
      <c r="G106" s="82" t="str">
        <f t="shared" si="79"/>
        <v/>
      </c>
      <c r="H106" s="81" t="str">
        <f t="shared" si="79"/>
        <v/>
      </c>
      <c r="I106" s="82" t="str">
        <f t="shared" si="79"/>
        <v/>
      </c>
      <c r="J106" s="82" t="str">
        <f t="shared" si="79"/>
        <v/>
      </c>
      <c r="K106" s="81" t="str">
        <f t="shared" si="79"/>
        <v/>
      </c>
      <c r="L106" s="82" t="str">
        <f t="shared" si="79"/>
        <v/>
      </c>
      <c r="M106" s="82" t="str">
        <f t="shared" si="79"/>
        <v/>
      </c>
    </row>
    <row r="107" spans="1:13" x14ac:dyDescent="0.2">
      <c r="A107" s="45" t="str">
        <f t="shared" si="71"/>
        <v/>
      </c>
      <c r="B107" s="81" t="str">
        <f t="shared" ref="B107:M107" si="80">IF(B71="","",B71/25.4)</f>
        <v/>
      </c>
      <c r="C107" s="82" t="str">
        <f t="shared" si="80"/>
        <v/>
      </c>
      <c r="D107" s="82" t="str">
        <f t="shared" si="80"/>
        <v/>
      </c>
      <c r="E107" s="81" t="str">
        <f t="shared" si="80"/>
        <v/>
      </c>
      <c r="F107" s="82" t="str">
        <f t="shared" si="80"/>
        <v/>
      </c>
      <c r="G107" s="82" t="str">
        <f t="shared" si="80"/>
        <v/>
      </c>
      <c r="H107" s="81" t="str">
        <f t="shared" si="80"/>
        <v/>
      </c>
      <c r="I107" s="82" t="str">
        <f t="shared" si="80"/>
        <v/>
      </c>
      <c r="J107" s="82" t="str">
        <f t="shared" si="80"/>
        <v/>
      </c>
      <c r="K107" s="81" t="str">
        <f t="shared" si="80"/>
        <v/>
      </c>
      <c r="L107" s="82" t="str">
        <f t="shared" si="80"/>
        <v/>
      </c>
      <c r="M107" s="82" t="str">
        <f t="shared" si="80"/>
        <v/>
      </c>
    </row>
    <row r="108" spans="1:13" x14ac:dyDescent="0.2">
      <c r="A108" s="45" t="str">
        <f t="shared" si="71"/>
        <v/>
      </c>
      <c r="B108" s="81" t="str">
        <f t="shared" ref="B108:M108" si="81">IF(B72="","",B72/25.4)</f>
        <v/>
      </c>
      <c r="C108" s="82" t="str">
        <f t="shared" si="81"/>
        <v/>
      </c>
      <c r="D108" s="82" t="str">
        <f t="shared" si="81"/>
        <v/>
      </c>
      <c r="E108" s="81" t="str">
        <f t="shared" si="81"/>
        <v/>
      </c>
      <c r="F108" s="82" t="str">
        <f t="shared" si="81"/>
        <v/>
      </c>
      <c r="G108" s="82" t="str">
        <f t="shared" si="81"/>
        <v/>
      </c>
      <c r="H108" s="81" t="str">
        <f t="shared" si="81"/>
        <v/>
      </c>
      <c r="I108" s="82" t="str">
        <f t="shared" si="81"/>
        <v/>
      </c>
      <c r="J108" s="82" t="str">
        <f t="shared" si="81"/>
        <v/>
      </c>
      <c r="K108" s="81" t="str">
        <f t="shared" si="81"/>
        <v/>
      </c>
      <c r="L108" s="82" t="str">
        <f t="shared" si="81"/>
        <v/>
      </c>
      <c r="M108" s="82" t="str">
        <f t="shared" si="81"/>
        <v/>
      </c>
    </row>
    <row r="109" spans="1:13" x14ac:dyDescent="0.2">
      <c r="A109" s="45" t="str">
        <f t="shared" si="71"/>
        <v/>
      </c>
      <c r="B109" s="81" t="str">
        <f t="shared" ref="B109:M109" si="82">IF(B73="","",B73/25.4)</f>
        <v/>
      </c>
      <c r="C109" s="82" t="str">
        <f t="shared" si="82"/>
        <v/>
      </c>
      <c r="D109" s="82" t="str">
        <f t="shared" si="82"/>
        <v/>
      </c>
      <c r="E109" s="81" t="str">
        <f t="shared" si="82"/>
        <v/>
      </c>
      <c r="F109" s="82" t="str">
        <f t="shared" si="82"/>
        <v/>
      </c>
      <c r="G109" s="82" t="str">
        <f t="shared" si="82"/>
        <v/>
      </c>
      <c r="H109" s="81" t="str">
        <f t="shared" si="82"/>
        <v/>
      </c>
      <c r="I109" s="82" t="str">
        <f t="shared" si="82"/>
        <v/>
      </c>
      <c r="J109" s="82" t="str">
        <f t="shared" si="82"/>
        <v/>
      </c>
      <c r="K109" s="81" t="str">
        <f t="shared" si="82"/>
        <v/>
      </c>
      <c r="L109" s="82" t="str">
        <f t="shared" si="82"/>
        <v/>
      </c>
      <c r="M109" s="82" t="str">
        <f t="shared" si="82"/>
        <v/>
      </c>
    </row>
    <row r="110" spans="1:13" x14ac:dyDescent="0.2">
      <c r="A110" s="45" t="str">
        <f t="shared" si="71"/>
        <v/>
      </c>
      <c r="B110" s="81" t="str">
        <f t="shared" ref="B110:M110" si="83">IF(B74="","",B74/25.4)</f>
        <v/>
      </c>
      <c r="C110" s="82" t="str">
        <f t="shared" si="83"/>
        <v/>
      </c>
      <c r="D110" s="82" t="str">
        <f t="shared" si="83"/>
        <v/>
      </c>
      <c r="E110" s="81" t="str">
        <f t="shared" si="83"/>
        <v/>
      </c>
      <c r="F110" s="82" t="str">
        <f t="shared" si="83"/>
        <v/>
      </c>
      <c r="G110" s="82" t="str">
        <f t="shared" si="83"/>
        <v/>
      </c>
      <c r="H110" s="81" t="str">
        <f t="shared" si="83"/>
        <v/>
      </c>
      <c r="I110" s="82" t="str">
        <f t="shared" si="83"/>
        <v/>
      </c>
      <c r="J110" s="82" t="str">
        <f t="shared" si="83"/>
        <v/>
      </c>
      <c r="K110" s="81" t="str">
        <f t="shared" si="83"/>
        <v/>
      </c>
      <c r="L110" s="82" t="str">
        <f t="shared" si="83"/>
        <v/>
      </c>
      <c r="M110" s="82" t="str">
        <f t="shared" si="83"/>
        <v/>
      </c>
    </row>
    <row r="111" spans="1:13" x14ac:dyDescent="0.2">
      <c r="A111" s="45" t="str">
        <f t="shared" si="71"/>
        <v/>
      </c>
      <c r="B111" s="81" t="str">
        <f t="shared" ref="B111:M111" si="84">IF(B75="","",B75/25.4)</f>
        <v/>
      </c>
      <c r="C111" s="82" t="str">
        <f t="shared" si="84"/>
        <v/>
      </c>
      <c r="D111" s="82" t="str">
        <f t="shared" si="84"/>
        <v/>
      </c>
      <c r="E111" s="81" t="str">
        <f t="shared" si="84"/>
        <v/>
      </c>
      <c r="F111" s="82" t="str">
        <f t="shared" si="84"/>
        <v/>
      </c>
      <c r="G111" s="82" t="str">
        <f t="shared" si="84"/>
        <v/>
      </c>
      <c r="H111" s="81" t="str">
        <f t="shared" si="84"/>
        <v/>
      </c>
      <c r="I111" s="82" t="str">
        <f t="shared" si="84"/>
        <v/>
      </c>
      <c r="J111" s="82" t="str">
        <f t="shared" si="84"/>
        <v/>
      </c>
      <c r="K111" s="81" t="str">
        <f t="shared" si="84"/>
        <v/>
      </c>
      <c r="L111" s="82" t="str">
        <f t="shared" si="84"/>
        <v/>
      </c>
      <c r="M111" s="82" t="str">
        <f t="shared" si="84"/>
        <v/>
      </c>
    </row>
    <row r="112" spans="1:13" x14ac:dyDescent="0.2">
      <c r="A112" s="45" t="str">
        <f t="shared" si="71"/>
        <v/>
      </c>
      <c r="B112" s="81" t="str">
        <f t="shared" ref="B112:M112" si="85">IF(B76="","",B76/25.4)</f>
        <v/>
      </c>
      <c r="C112" s="82" t="str">
        <f t="shared" si="85"/>
        <v/>
      </c>
      <c r="D112" s="82" t="str">
        <f t="shared" si="85"/>
        <v/>
      </c>
      <c r="E112" s="81" t="str">
        <f t="shared" si="85"/>
        <v/>
      </c>
      <c r="F112" s="82" t="str">
        <f t="shared" si="85"/>
        <v/>
      </c>
      <c r="G112" s="82" t="str">
        <f t="shared" si="85"/>
        <v/>
      </c>
      <c r="H112" s="81" t="str">
        <f t="shared" si="85"/>
        <v/>
      </c>
      <c r="I112" s="82" t="str">
        <f t="shared" si="85"/>
        <v/>
      </c>
      <c r="J112" s="82" t="str">
        <f t="shared" si="85"/>
        <v/>
      </c>
      <c r="K112" s="81" t="str">
        <f t="shared" si="85"/>
        <v/>
      </c>
      <c r="L112" s="82" t="str">
        <f t="shared" si="85"/>
        <v/>
      </c>
      <c r="M112" s="82" t="str">
        <f t="shared" si="85"/>
        <v/>
      </c>
    </row>
  </sheetData>
  <mergeCells count="23">
    <mergeCell ref="X12:AA12"/>
    <mergeCell ref="X13:AA13"/>
    <mergeCell ref="B24:E24"/>
    <mergeCell ref="O42:AD42"/>
    <mergeCell ref="AE42:AT42"/>
    <mergeCell ref="B43:D43"/>
    <mergeCell ref="E43:G43"/>
    <mergeCell ref="H43:J43"/>
    <mergeCell ref="P44:R44"/>
    <mergeCell ref="U44:W44"/>
    <mergeCell ref="Z44:AB44"/>
    <mergeCell ref="AE44:AG44"/>
    <mergeCell ref="AJ44:AL44"/>
    <mergeCell ref="AO44:AQ44"/>
    <mergeCell ref="B61:D61"/>
    <mergeCell ref="E61:G61"/>
    <mergeCell ref="H61:J61"/>
    <mergeCell ref="B79:D79"/>
    <mergeCell ref="E79:G79"/>
    <mergeCell ref="H79:J79"/>
    <mergeCell ref="B97:D97"/>
    <mergeCell ref="E97:G97"/>
    <mergeCell ref="H97:J97"/>
  </mergeCells>
  <printOptions horizontalCentered="1"/>
  <pageMargins left="0.25" right="0.25" top="0.5" bottom="0.5" header="0" footer="0.5"/>
  <pageSetup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/>
  </sheetViews>
  <sheetFormatPr defaultColWidth="8.83203125" defaultRowHeight="12.75" x14ac:dyDescent="0.2"/>
  <cols>
    <col min="1" max="1" width="26.83203125" customWidth="1"/>
    <col min="2" max="2" width="12.33203125" customWidth="1"/>
  </cols>
  <sheetData>
    <row r="1" spans="1:3" x14ac:dyDescent="0.2">
      <c r="A1" s="50" t="s">
        <v>269</v>
      </c>
    </row>
    <row r="3" spans="1:3" ht="38.25" x14ac:dyDescent="0.2">
      <c r="A3" s="222" t="s">
        <v>270</v>
      </c>
      <c r="B3" s="222" t="s">
        <v>271</v>
      </c>
      <c r="C3" s="222" t="s">
        <v>272</v>
      </c>
    </row>
    <row r="4" spans="1:3" x14ac:dyDescent="0.2">
      <c r="A4" t="s">
        <v>262</v>
      </c>
      <c r="B4">
        <v>0.6</v>
      </c>
      <c r="C4">
        <v>2.2999999999999998</v>
      </c>
    </row>
    <row r="5" spans="1:3" x14ac:dyDescent="0.2">
      <c r="A5" t="s">
        <v>245</v>
      </c>
      <c r="B5">
        <v>1.9</v>
      </c>
      <c r="C5">
        <v>5.2</v>
      </c>
    </row>
    <row r="6" spans="1:3" x14ac:dyDescent="0.2">
      <c r="A6" t="s">
        <v>247</v>
      </c>
      <c r="B6">
        <v>1.5</v>
      </c>
      <c r="C6">
        <v>5.9</v>
      </c>
    </row>
    <row r="7" spans="1:3" x14ac:dyDescent="0.2">
      <c r="A7" t="s">
        <v>248</v>
      </c>
      <c r="B7">
        <v>0.22</v>
      </c>
      <c r="C7">
        <v>1.2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zoomScaleNormal="100" workbookViewId="0">
      <selection activeCell="G14" sqref="G14"/>
    </sheetView>
  </sheetViews>
  <sheetFormatPr defaultColWidth="8.83203125" defaultRowHeight="12.75" x14ac:dyDescent="0.2"/>
  <cols>
    <col min="1" max="1" width="26.5" customWidth="1"/>
    <col min="9" max="9" width="13" customWidth="1"/>
  </cols>
  <sheetData>
    <row r="1" spans="1:9" x14ac:dyDescent="0.2">
      <c r="A1" s="220" t="s">
        <v>273</v>
      </c>
    </row>
    <row r="2" spans="1:9" x14ac:dyDescent="0.2">
      <c r="A2" s="220" t="s">
        <v>274</v>
      </c>
    </row>
    <row r="3" spans="1:9" x14ac:dyDescent="0.2">
      <c r="A3" s="220" t="s">
        <v>275</v>
      </c>
    </row>
    <row r="4" spans="1:9" x14ac:dyDescent="0.2">
      <c r="A4" s="220" t="s">
        <v>276</v>
      </c>
    </row>
    <row r="5" spans="1:9" x14ac:dyDescent="0.2">
      <c r="A5" s="220" t="s">
        <v>277</v>
      </c>
    </row>
    <row r="6" spans="1:9" x14ac:dyDescent="0.2">
      <c r="E6" s="232" t="s">
        <v>278</v>
      </c>
      <c r="F6" s="232"/>
      <c r="G6" s="232"/>
      <c r="H6" s="232"/>
      <c r="I6" s="232"/>
    </row>
    <row r="7" spans="1:9" ht="37.5" customHeight="1" x14ac:dyDescent="0.2">
      <c r="A7" s="222" t="s">
        <v>270</v>
      </c>
      <c r="B7" s="222" t="s">
        <v>279</v>
      </c>
      <c r="C7" s="222" t="s">
        <v>280</v>
      </c>
      <c r="D7" s="222" t="s">
        <v>281</v>
      </c>
      <c r="E7" s="222" t="s">
        <v>91</v>
      </c>
      <c r="F7" s="222" t="s">
        <v>282</v>
      </c>
      <c r="G7" s="222" t="s">
        <v>283</v>
      </c>
      <c r="H7" s="222" t="s">
        <v>284</v>
      </c>
      <c r="I7" s="222" t="s">
        <v>285</v>
      </c>
    </row>
    <row r="8" spans="1:9" x14ac:dyDescent="0.2">
      <c r="A8" t="s">
        <v>243</v>
      </c>
      <c r="B8" s="55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">
      <c r="A9" t="s">
        <v>244</v>
      </c>
      <c r="B9" s="55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">
      <c r="A10" t="s">
        <v>245</v>
      </c>
      <c r="B10" s="55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246</v>
      </c>
      <c r="B11" s="55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247</v>
      </c>
      <c r="B12" s="55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248</v>
      </c>
      <c r="B13" s="55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249</v>
      </c>
      <c r="B14" s="55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250</v>
      </c>
      <c r="B15" s="55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251</v>
      </c>
      <c r="B16" s="55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zoomScaleNormal="100" workbookViewId="0">
      <selection activeCell="E10" sqref="E10"/>
    </sheetView>
  </sheetViews>
  <sheetFormatPr defaultColWidth="8.83203125" defaultRowHeight="12.75" x14ac:dyDescent="0.2"/>
  <cols>
    <col min="1" max="1" width="12.5" customWidth="1"/>
  </cols>
  <sheetData>
    <row r="1" spans="1:4" x14ac:dyDescent="0.2">
      <c r="A1" s="220" t="s">
        <v>286</v>
      </c>
    </row>
    <row r="2" spans="1:4" x14ac:dyDescent="0.2">
      <c r="A2" s="220" t="s">
        <v>287</v>
      </c>
    </row>
    <row r="4" spans="1:4" x14ac:dyDescent="0.2">
      <c r="A4" t="s">
        <v>288</v>
      </c>
      <c r="B4" t="s">
        <v>289</v>
      </c>
      <c r="C4" t="s">
        <v>290</v>
      </c>
      <c r="D4" t="s">
        <v>291</v>
      </c>
    </row>
    <row r="5" spans="1:4" x14ac:dyDescent="0.2">
      <c r="A5" t="s">
        <v>292</v>
      </c>
      <c r="B5">
        <v>60</v>
      </c>
      <c r="C5">
        <v>20</v>
      </c>
      <c r="D5">
        <v>1200</v>
      </c>
    </row>
    <row r="6" spans="1:4" x14ac:dyDescent="0.2">
      <c r="A6" t="s">
        <v>293</v>
      </c>
      <c r="B6">
        <v>15</v>
      </c>
      <c r="C6">
        <v>35</v>
      </c>
      <c r="D6">
        <v>525</v>
      </c>
    </row>
    <row r="7" spans="1:4" x14ac:dyDescent="0.2">
      <c r="A7" t="s">
        <v>294</v>
      </c>
      <c r="B7">
        <v>25</v>
      </c>
      <c r="C7">
        <v>25</v>
      </c>
      <c r="D7">
        <v>625</v>
      </c>
    </row>
    <row r="8" spans="1:4" x14ac:dyDescent="0.2">
      <c r="A8" t="s">
        <v>295</v>
      </c>
      <c r="B8">
        <v>25</v>
      </c>
      <c r="C8">
        <v>20</v>
      </c>
      <c r="D8">
        <v>500</v>
      </c>
    </row>
    <row r="9" spans="1:4" x14ac:dyDescent="0.2">
      <c r="A9" t="s">
        <v>296</v>
      </c>
      <c r="D9">
        <v>550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61"/>
  <sheetViews>
    <sheetView zoomScaleNormal="100" workbookViewId="0">
      <selection activeCell="B29" sqref="B29"/>
    </sheetView>
  </sheetViews>
  <sheetFormatPr defaultColWidth="8.83203125" defaultRowHeight="12.75" x14ac:dyDescent="0.2"/>
  <sheetData>
    <row r="1" spans="1:31" x14ac:dyDescent="0.2">
      <c r="A1" s="220" t="s">
        <v>297</v>
      </c>
    </row>
    <row r="4" spans="1:31" x14ac:dyDescent="0.2">
      <c r="B4" s="232" t="s">
        <v>95</v>
      </c>
      <c r="C4" s="232"/>
      <c r="D4" s="232"/>
      <c r="E4" s="232"/>
      <c r="F4" s="232"/>
      <c r="G4" s="232" t="s">
        <v>96</v>
      </c>
      <c r="H4" s="232"/>
      <c r="I4" s="232"/>
      <c r="J4" s="232"/>
      <c r="K4" s="232"/>
      <c r="L4" s="232" t="s">
        <v>53</v>
      </c>
      <c r="M4" s="232"/>
      <c r="N4" s="232"/>
      <c r="O4" s="232"/>
      <c r="P4" s="232"/>
      <c r="Q4" s="232" t="s">
        <v>55</v>
      </c>
      <c r="R4" s="232"/>
      <c r="S4" s="232"/>
      <c r="T4" s="232"/>
      <c r="U4" s="232"/>
      <c r="V4" s="232" t="s">
        <v>97</v>
      </c>
      <c r="W4" s="232"/>
      <c r="X4" s="232"/>
      <c r="Y4" s="232"/>
      <c r="Z4" s="232"/>
      <c r="AA4" s="232" t="s">
        <v>59</v>
      </c>
      <c r="AB4" s="232"/>
      <c r="AC4" s="232"/>
      <c r="AD4" s="232"/>
      <c r="AE4" s="232"/>
    </row>
    <row r="5" spans="1:31" x14ac:dyDescent="0.2">
      <c r="A5" t="s">
        <v>38</v>
      </c>
      <c r="B5" s="225" t="s">
        <v>41</v>
      </c>
      <c r="C5" s="225" t="s">
        <v>42</v>
      </c>
      <c r="D5" s="225" t="s">
        <v>43</v>
      </c>
      <c r="E5" t="s">
        <v>45</v>
      </c>
      <c r="F5" t="s">
        <v>46</v>
      </c>
      <c r="G5" s="225" t="s">
        <v>41</v>
      </c>
      <c r="H5" s="225" t="s">
        <v>42</v>
      </c>
      <c r="I5" s="225" t="s">
        <v>43</v>
      </c>
      <c r="J5" t="s">
        <v>45</v>
      </c>
      <c r="K5" t="s">
        <v>46</v>
      </c>
      <c r="L5" s="225" t="s">
        <v>41</v>
      </c>
      <c r="M5" s="225" t="s">
        <v>42</v>
      </c>
      <c r="N5" s="225" t="s">
        <v>43</v>
      </c>
      <c r="O5" t="s">
        <v>45</v>
      </c>
      <c r="P5" t="s">
        <v>46</v>
      </c>
      <c r="Q5" s="225" t="s">
        <v>41</v>
      </c>
      <c r="R5" s="225" t="s">
        <v>42</v>
      </c>
      <c r="S5" s="225" t="s">
        <v>43</v>
      </c>
      <c r="T5" t="s">
        <v>45</v>
      </c>
      <c r="U5" t="s">
        <v>46</v>
      </c>
      <c r="V5" s="225" t="s">
        <v>41</v>
      </c>
      <c r="W5" s="225" t="s">
        <v>42</v>
      </c>
      <c r="X5" s="225" t="s">
        <v>43</v>
      </c>
      <c r="Y5" t="s">
        <v>45</v>
      </c>
      <c r="Z5" t="s">
        <v>46</v>
      </c>
      <c r="AA5" s="225" t="s">
        <v>41</v>
      </c>
      <c r="AB5" s="225" t="s">
        <v>42</v>
      </c>
      <c r="AC5" s="225" t="s">
        <v>43</v>
      </c>
      <c r="AD5" t="s">
        <v>45</v>
      </c>
      <c r="AE5" t="s">
        <v>46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</row>
    <row r="10" spans="1:31" x14ac:dyDescent="0.2">
      <c r="A10">
        <v>45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220" t="s">
        <v>298</v>
      </c>
    </row>
    <row r="35" spans="1:2" x14ac:dyDescent="0.2">
      <c r="A35" t="s">
        <v>38</v>
      </c>
      <c r="B35" t="s">
        <v>98</v>
      </c>
    </row>
    <row r="36" spans="1:2" x14ac:dyDescent="0.2">
      <c r="A36">
        <v>25</v>
      </c>
      <c r="B36" s="44">
        <f>0.1965*A36-3.429</f>
        <v>1.4835000000000007</v>
      </c>
    </row>
    <row r="37" spans="1:2" x14ac:dyDescent="0.2">
      <c r="A37">
        <v>30</v>
      </c>
      <c r="B37" s="44">
        <f>0.1965*A37-3.429</f>
        <v>2.4660000000000006</v>
      </c>
    </row>
    <row r="38" spans="1:2" x14ac:dyDescent="0.2">
      <c r="A38">
        <v>35</v>
      </c>
      <c r="B38" s="44">
        <f>0.1965*A38-3.429</f>
        <v>3.4485000000000006</v>
      </c>
    </row>
    <row r="39" spans="1:2" x14ac:dyDescent="0.2">
      <c r="A39">
        <v>40</v>
      </c>
      <c r="B39" s="44">
        <f t="shared" ref="B39:B61" si="0">1.222-0.05664*A39+0.001227*A39^2-0.000003136*A39^3</f>
        <v>0.71889599999999998</v>
      </c>
    </row>
    <row r="40" spans="1:2" x14ac:dyDescent="0.2">
      <c r="A40">
        <v>45</v>
      </c>
      <c r="B40" s="44">
        <f t="shared" si="0"/>
        <v>0.87210700000000019</v>
      </c>
    </row>
    <row r="41" spans="1:2" x14ac:dyDescent="0.2">
      <c r="A41">
        <v>50</v>
      </c>
      <c r="B41" s="44">
        <f t="shared" si="0"/>
        <v>1.0654999999999997</v>
      </c>
    </row>
    <row r="42" spans="1:2" x14ac:dyDescent="0.2">
      <c r="A42">
        <v>55</v>
      </c>
      <c r="B42" s="44">
        <f t="shared" si="0"/>
        <v>1.2967229999999998</v>
      </c>
    </row>
    <row r="43" spans="1:2" x14ac:dyDescent="0.2">
      <c r="A43">
        <v>60</v>
      </c>
      <c r="B43" s="44">
        <f t="shared" si="0"/>
        <v>1.5634240000000001</v>
      </c>
    </row>
    <row r="44" spans="1:2" x14ac:dyDescent="0.2">
      <c r="A44">
        <v>65</v>
      </c>
      <c r="B44" s="44">
        <f t="shared" si="0"/>
        <v>1.863251</v>
      </c>
    </row>
    <row r="45" spans="1:2" x14ac:dyDescent="0.2">
      <c r="A45">
        <v>70</v>
      </c>
      <c r="B45" s="44">
        <f t="shared" si="0"/>
        <v>2.1938519999999997</v>
      </c>
    </row>
    <row r="46" spans="1:2" x14ac:dyDescent="0.2">
      <c r="A46">
        <v>75</v>
      </c>
      <c r="B46" s="44">
        <f t="shared" si="0"/>
        <v>2.5528750000000002</v>
      </c>
    </row>
    <row r="47" spans="1:2" x14ac:dyDescent="0.2">
      <c r="A47">
        <v>80</v>
      </c>
      <c r="B47" s="44">
        <f t="shared" si="0"/>
        <v>2.9379679999999997</v>
      </c>
    </row>
    <row r="48" spans="1:2" x14ac:dyDescent="0.2">
      <c r="A48">
        <v>85</v>
      </c>
      <c r="B48" s="44">
        <f t="shared" si="0"/>
        <v>3.3467790000000015</v>
      </c>
    </row>
    <row r="49" spans="1:2" x14ac:dyDescent="0.2">
      <c r="A49">
        <v>90</v>
      </c>
      <c r="B49" s="44">
        <f t="shared" si="0"/>
        <v>3.7769560000000002</v>
      </c>
    </row>
    <row r="50" spans="1:2" x14ac:dyDescent="0.2">
      <c r="A50">
        <v>95</v>
      </c>
      <c r="B50" s="44">
        <f t="shared" si="0"/>
        <v>4.2261469999999983</v>
      </c>
    </row>
    <row r="51" spans="1:2" x14ac:dyDescent="0.2">
      <c r="A51">
        <v>100</v>
      </c>
      <c r="B51" s="44">
        <f t="shared" si="0"/>
        <v>4.6919999999999993</v>
      </c>
    </row>
    <row r="52" spans="1:2" x14ac:dyDescent="0.2">
      <c r="A52">
        <v>105</v>
      </c>
      <c r="B52" s="44">
        <f t="shared" si="0"/>
        <v>5.1721629999999994</v>
      </c>
    </row>
    <row r="53" spans="1:2" x14ac:dyDescent="0.2">
      <c r="A53">
        <v>110</v>
      </c>
      <c r="B53" s="44">
        <f t="shared" si="0"/>
        <v>5.6642840000000003</v>
      </c>
    </row>
    <row r="54" spans="1:2" x14ac:dyDescent="0.2">
      <c r="A54">
        <v>115</v>
      </c>
      <c r="B54" s="44">
        <f t="shared" si="0"/>
        <v>6.1660109999999984</v>
      </c>
    </row>
    <row r="55" spans="1:2" x14ac:dyDescent="0.2">
      <c r="A55">
        <v>120</v>
      </c>
      <c r="B55" s="44">
        <f t="shared" si="0"/>
        <v>6.6749920000000014</v>
      </c>
    </row>
    <row r="56" spans="1:2" x14ac:dyDescent="0.2">
      <c r="A56">
        <v>125</v>
      </c>
      <c r="B56" s="44">
        <f t="shared" si="0"/>
        <v>7.1888749999999995</v>
      </c>
    </row>
    <row r="57" spans="1:2" x14ac:dyDescent="0.2">
      <c r="A57">
        <v>130</v>
      </c>
      <c r="B57" s="44">
        <f t="shared" si="0"/>
        <v>7.7053080000000005</v>
      </c>
    </row>
    <row r="58" spans="1:2" x14ac:dyDescent="0.2">
      <c r="A58">
        <v>135</v>
      </c>
      <c r="B58" s="44">
        <f t="shared" si="0"/>
        <v>8.221938999999999</v>
      </c>
    </row>
    <row r="59" spans="1:2" x14ac:dyDescent="0.2">
      <c r="A59">
        <v>140</v>
      </c>
      <c r="B59" s="44">
        <f t="shared" si="0"/>
        <v>8.7364160000000002</v>
      </c>
    </row>
    <row r="60" spans="1:2" x14ac:dyDescent="0.2">
      <c r="A60">
        <v>145</v>
      </c>
      <c r="B60" s="44">
        <f t="shared" si="0"/>
        <v>9.2463870000000004</v>
      </c>
    </row>
    <row r="61" spans="1:2" x14ac:dyDescent="0.2">
      <c r="A61">
        <v>150</v>
      </c>
      <c r="B61" s="44">
        <f t="shared" si="0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E92D-C4F4-440C-BC5A-03BD09923897}">
  <dimension ref="A1:G6"/>
  <sheetViews>
    <sheetView workbookViewId="0">
      <selection activeCell="B3" sqref="B3:G4"/>
    </sheetView>
  </sheetViews>
  <sheetFormatPr defaultRowHeight="12.75" x14ac:dyDescent="0.2"/>
  <sheetData>
    <row r="1" spans="1:7" x14ac:dyDescent="0.2">
      <c r="A1" s="226" t="s">
        <v>320</v>
      </c>
    </row>
    <row r="3" spans="1:7" x14ac:dyDescent="0.2">
      <c r="B3" s="232" t="s">
        <v>95</v>
      </c>
      <c r="C3" s="232"/>
      <c r="D3" s="232"/>
      <c r="E3" s="232" t="s">
        <v>96</v>
      </c>
      <c r="F3" s="232"/>
      <c r="G3" s="232"/>
    </row>
    <row r="4" spans="1:7" x14ac:dyDescent="0.2">
      <c r="A4" t="s">
        <v>181</v>
      </c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</row>
    <row r="5" spans="1:7" x14ac:dyDescent="0.2">
      <c r="A5">
        <v>120</v>
      </c>
      <c r="B5">
        <v>2.246</v>
      </c>
      <c r="C5">
        <v>5.73</v>
      </c>
      <c r="D5">
        <v>0.54700000000000004</v>
      </c>
      <c r="E5">
        <v>3.8300000000000001E-2</v>
      </c>
      <c r="F5">
        <v>1.4200000000000001E-2</v>
      </c>
      <c r="G5">
        <v>0.65800000000000003</v>
      </c>
    </row>
    <row r="6" spans="1:7" x14ac:dyDescent="0.2">
      <c r="A6">
        <v>140</v>
      </c>
      <c r="B6">
        <v>2.0089999999999999</v>
      </c>
      <c r="C6">
        <v>3.99</v>
      </c>
      <c r="D6">
        <v>0.34200000000000003</v>
      </c>
      <c r="E6">
        <v>3.3599999999999998E-2</v>
      </c>
      <c r="F6">
        <v>1.2200000000000001E-2</v>
      </c>
      <c r="G6">
        <v>0.51900000000000002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3"/>
  <sheetViews>
    <sheetView zoomScaleNormal="100" workbookViewId="0">
      <selection activeCell="B3" sqref="B3:G4"/>
    </sheetView>
  </sheetViews>
  <sheetFormatPr defaultColWidth="8.83203125" defaultRowHeight="12.75" x14ac:dyDescent="0.2"/>
  <cols>
    <col min="1" max="1" width="27.1640625" customWidth="1"/>
  </cols>
  <sheetData>
    <row r="1" spans="1:19" x14ac:dyDescent="0.2">
      <c r="A1" s="220" t="s">
        <v>299</v>
      </c>
    </row>
    <row r="3" spans="1:19" x14ac:dyDescent="0.2">
      <c r="A3" s="247" t="s">
        <v>270</v>
      </c>
      <c r="B3" s="232" t="s">
        <v>95</v>
      </c>
      <c r="C3" s="232"/>
      <c r="D3" s="232"/>
      <c r="E3" s="232" t="s">
        <v>96</v>
      </c>
      <c r="F3" s="232"/>
      <c r="G3" s="232"/>
      <c r="H3" s="232" t="s">
        <v>53</v>
      </c>
      <c r="I3" s="232"/>
      <c r="J3" s="232"/>
      <c r="K3" s="232" t="s">
        <v>55</v>
      </c>
      <c r="L3" s="232"/>
      <c r="M3" s="232"/>
      <c r="N3" s="232" t="s">
        <v>97</v>
      </c>
      <c r="O3" s="232"/>
      <c r="P3" s="232"/>
      <c r="Q3" s="232" t="s">
        <v>59</v>
      </c>
      <c r="R3" s="232"/>
      <c r="S3" s="232"/>
    </row>
    <row r="4" spans="1:19" x14ac:dyDescent="0.2">
      <c r="A4" s="247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 t="s">
        <v>300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301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302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303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247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304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305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306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307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"/>
  <sheetViews>
    <sheetView zoomScaleNormal="100" workbookViewId="0">
      <selection activeCell="A8" sqref="A8"/>
    </sheetView>
  </sheetViews>
  <sheetFormatPr defaultColWidth="8.83203125" defaultRowHeight="12.75" x14ac:dyDescent="0.2"/>
  <cols>
    <col min="1" max="1" width="27.33203125" customWidth="1"/>
    <col min="2" max="2" width="9.1640625" customWidth="1"/>
    <col min="5" max="5" width="10.1640625" customWidth="1"/>
    <col min="8" max="8" width="11" customWidth="1"/>
  </cols>
  <sheetData>
    <row r="1" spans="1:19" x14ac:dyDescent="0.2">
      <c r="A1" s="220" t="s">
        <v>308</v>
      </c>
    </row>
    <row r="3" spans="1:19" x14ac:dyDescent="0.2">
      <c r="A3" s="247" t="s">
        <v>270</v>
      </c>
      <c r="B3" s="232" t="s">
        <v>95</v>
      </c>
      <c r="C3" s="232"/>
      <c r="D3" s="232"/>
      <c r="E3" s="232" t="s">
        <v>96</v>
      </c>
      <c r="F3" s="232"/>
      <c r="G3" s="232"/>
      <c r="H3" s="232" t="s">
        <v>53</v>
      </c>
      <c r="I3" s="232"/>
      <c r="J3" s="232"/>
      <c r="K3" s="232" t="s">
        <v>55</v>
      </c>
      <c r="L3" s="232"/>
      <c r="M3" s="232"/>
      <c r="N3" s="232" t="s">
        <v>97</v>
      </c>
      <c r="O3" s="232"/>
      <c r="P3" s="232"/>
      <c r="Q3" s="232" t="s">
        <v>59</v>
      </c>
      <c r="R3" s="232"/>
      <c r="S3" s="232"/>
    </row>
    <row r="4" spans="1:19" x14ac:dyDescent="0.2">
      <c r="A4" s="247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300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301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302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303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247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304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305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306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307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9"/>
  <sheetViews>
    <sheetView zoomScaleNormal="100" workbookViewId="0">
      <selection activeCell="A39" sqref="A39"/>
    </sheetView>
  </sheetViews>
  <sheetFormatPr defaultColWidth="8.83203125" defaultRowHeight="12.75" x14ac:dyDescent="0.2"/>
  <sheetData>
    <row r="1" spans="1:19" x14ac:dyDescent="0.2">
      <c r="A1" s="220" t="s">
        <v>309</v>
      </c>
    </row>
    <row r="2" spans="1:19" x14ac:dyDescent="0.2">
      <c r="A2" s="5" t="s">
        <v>310</v>
      </c>
      <c r="B2" s="232" t="s">
        <v>95</v>
      </c>
      <c r="C2" s="232"/>
      <c r="D2" s="232"/>
      <c r="E2" s="232" t="s">
        <v>96</v>
      </c>
      <c r="F2" s="232"/>
      <c r="G2" s="232"/>
      <c r="H2" s="232" t="s">
        <v>53</v>
      </c>
      <c r="I2" s="232"/>
      <c r="J2" s="232"/>
      <c r="K2" s="232" t="s">
        <v>55</v>
      </c>
      <c r="L2" s="232"/>
      <c r="M2" s="232"/>
      <c r="N2" s="232" t="s">
        <v>97</v>
      </c>
      <c r="O2" s="232"/>
      <c r="P2" s="232"/>
      <c r="Q2" s="232" t="s">
        <v>59</v>
      </c>
      <c r="R2" s="232"/>
      <c r="S2" s="232"/>
    </row>
    <row r="3" spans="1:19" x14ac:dyDescent="0.2">
      <c r="A3" t="s">
        <v>38</v>
      </c>
      <c r="B3" s="225" t="s">
        <v>41</v>
      </c>
      <c r="C3" s="225" t="s">
        <v>42</v>
      </c>
      <c r="D3" s="225" t="s">
        <v>43</v>
      </c>
      <c r="E3" s="225" t="s">
        <v>41</v>
      </c>
      <c r="F3" s="225" t="s">
        <v>42</v>
      </c>
      <c r="G3" s="225" t="s">
        <v>43</v>
      </c>
      <c r="H3" s="225" t="s">
        <v>41</v>
      </c>
      <c r="I3" s="225" t="s">
        <v>42</v>
      </c>
      <c r="J3" s="225" t="s">
        <v>43</v>
      </c>
      <c r="K3" s="225" t="s">
        <v>41</v>
      </c>
      <c r="L3" s="225" t="s">
        <v>42</v>
      </c>
      <c r="M3" s="225" t="s">
        <v>43</v>
      </c>
      <c r="N3" s="225" t="s">
        <v>41</v>
      </c>
      <c r="O3" s="225" t="s">
        <v>42</v>
      </c>
      <c r="P3" s="225" t="s">
        <v>43</v>
      </c>
      <c r="Q3" s="225" t="s">
        <v>41</v>
      </c>
      <c r="R3" s="225" t="s">
        <v>42</v>
      </c>
      <c r="S3" s="225" t="s">
        <v>43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5" t="s">
        <v>311</v>
      </c>
      <c r="B9" s="220" t="s">
        <v>312</v>
      </c>
    </row>
    <row r="11" spans="1:19" x14ac:dyDescent="0.2">
      <c r="A11" s="220" t="s">
        <v>313</v>
      </c>
    </row>
    <row r="12" spans="1:19" x14ac:dyDescent="0.2">
      <c r="A12" s="5" t="s">
        <v>314</v>
      </c>
      <c r="B12" s="232" t="s">
        <v>95</v>
      </c>
      <c r="C12" s="232"/>
      <c r="D12" s="232"/>
      <c r="E12" s="232" t="s">
        <v>96</v>
      </c>
      <c r="F12" s="232"/>
      <c r="G12" s="232"/>
      <c r="H12" s="232" t="s">
        <v>53</v>
      </c>
      <c r="I12" s="232"/>
      <c r="J12" s="232"/>
      <c r="K12" s="232" t="s">
        <v>55</v>
      </c>
      <c r="L12" s="232"/>
      <c r="M12" s="232"/>
      <c r="N12" s="232" t="s">
        <v>97</v>
      </c>
      <c r="O12" s="232"/>
      <c r="P12" s="232"/>
      <c r="Q12" s="232" t="s">
        <v>59</v>
      </c>
      <c r="R12" s="232"/>
      <c r="S12" s="232"/>
    </row>
    <row r="13" spans="1:19" x14ac:dyDescent="0.2">
      <c r="A13" t="s">
        <v>38</v>
      </c>
      <c r="B13" s="225" t="s">
        <v>41</v>
      </c>
      <c r="C13" s="225" t="s">
        <v>42</v>
      </c>
      <c r="D13" s="225" t="s">
        <v>43</v>
      </c>
      <c r="E13" s="225" t="s">
        <v>41</v>
      </c>
      <c r="F13" s="225" t="s">
        <v>42</v>
      </c>
      <c r="G13" s="225" t="s">
        <v>43</v>
      </c>
      <c r="H13" s="225" t="s">
        <v>41</v>
      </c>
      <c r="I13" s="225" t="s">
        <v>42</v>
      </c>
      <c r="J13" s="225" t="s">
        <v>43</v>
      </c>
      <c r="K13" s="225" t="s">
        <v>41</v>
      </c>
      <c r="L13" s="225" t="s">
        <v>42</v>
      </c>
      <c r="M13" s="225" t="s">
        <v>43</v>
      </c>
      <c r="N13" s="225" t="s">
        <v>41</v>
      </c>
      <c r="O13" s="225" t="s">
        <v>42</v>
      </c>
      <c r="P13" s="225" t="s">
        <v>43</v>
      </c>
      <c r="Q13" s="225" t="s">
        <v>41</v>
      </c>
      <c r="R13" s="225" t="s">
        <v>42</v>
      </c>
      <c r="S13" s="225" t="s">
        <v>43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5" t="s">
        <v>311</v>
      </c>
      <c r="B21" s="220" t="s">
        <v>315</v>
      </c>
    </row>
    <row r="23" spans="1:19" x14ac:dyDescent="0.2">
      <c r="A23" s="220" t="s">
        <v>316</v>
      </c>
    </row>
    <row r="24" spans="1:19" x14ac:dyDescent="0.2">
      <c r="A24" s="5" t="s">
        <v>317</v>
      </c>
      <c r="B24" s="232" t="s">
        <v>95</v>
      </c>
      <c r="C24" s="232"/>
      <c r="D24" s="232"/>
      <c r="E24" s="232" t="s">
        <v>96</v>
      </c>
      <c r="F24" s="232"/>
      <c r="G24" s="232"/>
      <c r="H24" s="232" t="s">
        <v>53</v>
      </c>
      <c r="I24" s="232"/>
      <c r="J24" s="232"/>
      <c r="K24" s="232" t="s">
        <v>55</v>
      </c>
      <c r="L24" s="232"/>
      <c r="M24" s="232"/>
      <c r="N24" s="232" t="s">
        <v>97</v>
      </c>
      <c r="O24" s="232"/>
      <c r="P24" s="232"/>
      <c r="Q24" s="232" t="s">
        <v>59</v>
      </c>
      <c r="R24" s="232"/>
      <c r="S24" s="232"/>
    </row>
    <row r="25" spans="1:19" x14ac:dyDescent="0.2">
      <c r="A25" t="s">
        <v>38</v>
      </c>
      <c r="B25" s="225" t="s">
        <v>41</v>
      </c>
      <c r="C25" s="225" t="s">
        <v>42</v>
      </c>
      <c r="D25" s="225" t="s">
        <v>43</v>
      </c>
      <c r="E25" s="225" t="s">
        <v>41</v>
      </c>
      <c r="F25" s="225" t="s">
        <v>42</v>
      </c>
      <c r="G25" s="225" t="s">
        <v>43</v>
      </c>
      <c r="H25" s="225" t="s">
        <v>41</v>
      </c>
      <c r="I25" s="225" t="s">
        <v>42</v>
      </c>
      <c r="J25" s="225" t="s">
        <v>43</v>
      </c>
      <c r="K25" s="225" t="s">
        <v>41</v>
      </c>
      <c r="L25" s="225" t="s">
        <v>42</v>
      </c>
      <c r="M25" s="225" t="s">
        <v>43</v>
      </c>
      <c r="N25" s="225" t="s">
        <v>41</v>
      </c>
      <c r="O25" s="225" t="s">
        <v>42</v>
      </c>
      <c r="P25" s="225" t="s">
        <v>43</v>
      </c>
      <c r="Q25" s="225" t="s">
        <v>41</v>
      </c>
      <c r="R25" s="225" t="s">
        <v>42</v>
      </c>
      <c r="S25" s="225" t="s">
        <v>43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5" t="s">
        <v>311</v>
      </c>
      <c r="B31" s="220" t="s">
        <v>315</v>
      </c>
    </row>
    <row r="33" spans="1:20" x14ac:dyDescent="0.2">
      <c r="A33" s="220" t="s">
        <v>318</v>
      </c>
    </row>
    <row r="34" spans="1:20" x14ac:dyDescent="0.2">
      <c r="C34" s="232" t="s">
        <v>95</v>
      </c>
      <c r="D34" s="232"/>
      <c r="E34" s="232"/>
      <c r="F34" s="232" t="s">
        <v>96</v>
      </c>
      <c r="G34" s="232"/>
      <c r="H34" s="232"/>
      <c r="I34" s="232" t="s">
        <v>53</v>
      </c>
      <c r="J34" s="232"/>
      <c r="K34" s="232"/>
      <c r="L34" s="232" t="s">
        <v>55</v>
      </c>
      <c r="M34" s="232"/>
      <c r="N34" s="232"/>
      <c r="O34" s="232" t="s">
        <v>97</v>
      </c>
      <c r="P34" s="232"/>
      <c r="Q34" s="232"/>
      <c r="R34" s="232" t="s">
        <v>59</v>
      </c>
      <c r="S34" s="232"/>
      <c r="T34" s="232"/>
    </row>
    <row r="35" spans="1:20" x14ac:dyDescent="0.2">
      <c r="C35" s="225" t="s">
        <v>41</v>
      </c>
      <c r="D35" s="225" t="s">
        <v>42</v>
      </c>
      <c r="E35" s="225" t="s">
        <v>43</v>
      </c>
      <c r="F35" s="225" t="s">
        <v>41</v>
      </c>
      <c r="G35" s="225" t="s">
        <v>42</v>
      </c>
      <c r="H35" s="225" t="s">
        <v>43</v>
      </c>
      <c r="I35" s="225" t="s">
        <v>41</v>
      </c>
      <c r="J35" s="225" t="s">
        <v>42</v>
      </c>
      <c r="K35" s="225" t="s">
        <v>43</v>
      </c>
      <c r="L35" s="225" t="s">
        <v>41</v>
      </c>
      <c r="M35" s="225" t="s">
        <v>42</v>
      </c>
      <c r="N35" s="225" t="s">
        <v>43</v>
      </c>
      <c r="O35" s="225" t="s">
        <v>41</v>
      </c>
      <c r="P35" s="225" t="s">
        <v>42</v>
      </c>
      <c r="Q35" s="225" t="s">
        <v>43</v>
      </c>
      <c r="R35" s="225" t="s">
        <v>41</v>
      </c>
      <c r="S35" s="225" t="s">
        <v>42</v>
      </c>
      <c r="T35" s="225" t="s">
        <v>43</v>
      </c>
    </row>
    <row r="36" spans="1:20" x14ac:dyDescent="0.2">
      <c r="A36" s="13" t="s">
        <v>319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314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5" t="s">
        <v>311</v>
      </c>
      <c r="B39" s="220" t="s">
        <v>312</v>
      </c>
    </row>
  </sheetData>
  <mergeCells count="24">
    <mergeCell ref="Q2:S2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  <mergeCell ref="Q24:S24"/>
    <mergeCell ref="C34:E34"/>
    <mergeCell ref="F34:H34"/>
    <mergeCell ref="I34:K34"/>
    <mergeCell ref="L34:N34"/>
    <mergeCell ref="O34:Q34"/>
    <mergeCell ref="R34:T34"/>
    <mergeCell ref="B24:D24"/>
    <mergeCell ref="E24:G24"/>
    <mergeCell ref="H24:J24"/>
    <mergeCell ref="K24:M24"/>
    <mergeCell ref="N24:P24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zoomScaleNormal="100" workbookViewId="0">
      <selection activeCell="I3" sqref="I3"/>
    </sheetView>
  </sheetViews>
  <sheetFormatPr defaultColWidth="9.33203125" defaultRowHeight="12.75" x14ac:dyDescent="0.2"/>
  <cols>
    <col min="1" max="1" width="13.5" style="1" customWidth="1"/>
    <col min="2" max="1026" width="8.6640625" style="1" customWidth="1"/>
    <col min="1027" max="16384" width="9.33203125" style="1"/>
  </cols>
  <sheetData>
    <row r="1" spans="1:13" x14ac:dyDescent="0.2">
      <c r="B1" s="236" t="s">
        <v>60</v>
      </c>
      <c r="C1" s="236"/>
      <c r="D1" s="236" t="s">
        <v>103</v>
      </c>
      <c r="E1" s="236"/>
      <c r="F1" s="236"/>
      <c r="H1" s="237" t="s">
        <v>60</v>
      </c>
      <c r="I1" s="237"/>
      <c r="J1" s="237"/>
      <c r="K1" s="237"/>
      <c r="L1" s="237"/>
      <c r="M1" s="98"/>
    </row>
    <row r="2" spans="1:13" x14ac:dyDescent="0.2">
      <c r="B2" s="1" t="s">
        <v>104</v>
      </c>
      <c r="C2" s="1" t="s">
        <v>105</v>
      </c>
      <c r="D2" s="1" t="s">
        <v>104</v>
      </c>
      <c r="E2" s="1" t="s">
        <v>106</v>
      </c>
      <c r="F2" s="1" t="s">
        <v>106</v>
      </c>
      <c r="H2" s="99" t="s">
        <v>41</v>
      </c>
      <c r="I2" s="99" t="s">
        <v>42</v>
      </c>
      <c r="J2" s="100" t="s">
        <v>43</v>
      </c>
      <c r="K2" s="100" t="s">
        <v>107</v>
      </c>
      <c r="L2" s="100" t="s">
        <v>108</v>
      </c>
      <c r="M2" s="98"/>
    </row>
    <row r="3" spans="1:13" x14ac:dyDescent="0.2">
      <c r="A3" s="1" t="s">
        <v>109</v>
      </c>
      <c r="B3" s="101"/>
      <c r="C3" s="101"/>
      <c r="D3" s="101"/>
      <c r="E3" s="101"/>
      <c r="F3" s="101"/>
      <c r="G3" s="1" t="s">
        <v>15</v>
      </c>
      <c r="H3" s="102"/>
      <c r="I3" s="102"/>
      <c r="J3" s="102"/>
      <c r="K3" s="102" t="e">
        <f>I3/H3</f>
        <v>#DIV/0!</v>
      </c>
      <c r="L3" s="102">
        <f>H3*J3</f>
        <v>0</v>
      </c>
      <c r="M3" s="98"/>
    </row>
    <row r="4" spans="1:13" x14ac:dyDescent="0.2">
      <c r="A4" s="1" t="s">
        <v>110</v>
      </c>
      <c r="B4" s="101"/>
      <c r="C4" s="101"/>
      <c r="D4" s="101"/>
      <c r="E4" s="101"/>
      <c r="F4" s="101"/>
      <c r="G4" s="1" t="s">
        <v>51</v>
      </c>
      <c r="H4" s="102"/>
      <c r="I4" s="102"/>
      <c r="J4" s="102"/>
      <c r="K4" s="102" t="e">
        <f>I4/H4</f>
        <v>#DIV/0!</v>
      </c>
      <c r="L4" s="102">
        <f>H4*J4</f>
        <v>0</v>
      </c>
      <c r="M4" s="98"/>
    </row>
    <row r="5" spans="1:13" x14ac:dyDescent="0.2">
      <c r="A5" s="1" t="s">
        <v>111</v>
      </c>
      <c r="B5" s="101"/>
      <c r="C5" s="101"/>
      <c r="D5" s="101"/>
      <c r="E5" s="101"/>
      <c r="F5" s="101"/>
      <c r="H5" s="238" t="s">
        <v>103</v>
      </c>
      <c r="I5" s="238"/>
      <c r="J5" s="238"/>
      <c r="K5" s="238"/>
      <c r="L5" s="238"/>
      <c r="M5" s="98"/>
    </row>
    <row r="6" spans="1:13" x14ac:dyDescent="0.2">
      <c r="A6" s="1" t="s">
        <v>112</v>
      </c>
      <c r="B6" s="101"/>
      <c r="C6" s="101"/>
      <c r="D6" s="101"/>
      <c r="E6" s="101"/>
      <c r="F6" s="101"/>
      <c r="H6" s="99" t="s">
        <v>41</v>
      </c>
      <c r="I6" s="99" t="s">
        <v>42</v>
      </c>
      <c r="J6" s="100" t="s">
        <v>43</v>
      </c>
      <c r="K6" s="100" t="s">
        <v>107</v>
      </c>
      <c r="L6" s="100" t="s">
        <v>108</v>
      </c>
      <c r="M6" s="98"/>
    </row>
    <row r="7" spans="1:13" x14ac:dyDescent="0.2">
      <c r="A7" s="1" t="s">
        <v>113</v>
      </c>
      <c r="B7" s="103"/>
      <c r="C7" s="101"/>
      <c r="D7" s="103"/>
      <c r="E7" s="101"/>
      <c r="F7" s="101"/>
      <c r="G7" s="1" t="s">
        <v>15</v>
      </c>
      <c r="H7" s="102"/>
      <c r="I7" s="102"/>
      <c r="J7" s="102"/>
      <c r="K7" s="102" t="e">
        <f>I7/H7</f>
        <v>#DIV/0!</v>
      </c>
      <c r="L7" s="102">
        <f>H7*J7</f>
        <v>0</v>
      </c>
      <c r="M7" s="98"/>
    </row>
    <row r="8" spans="1:13" x14ac:dyDescent="0.2">
      <c r="G8" s="1" t="s">
        <v>51</v>
      </c>
      <c r="H8" s="102"/>
      <c r="I8" s="102"/>
      <c r="J8" s="102"/>
      <c r="K8" s="102" t="e">
        <f>I8/H8</f>
        <v>#DIV/0!</v>
      </c>
      <c r="L8" s="102">
        <f>H8*J8</f>
        <v>0</v>
      </c>
      <c r="M8" s="98"/>
    </row>
    <row r="9" spans="1:13" x14ac:dyDescent="0.2">
      <c r="A9" s="1" t="s">
        <v>114</v>
      </c>
      <c r="B9" s="104">
        <v>40</v>
      </c>
      <c r="M9" s="105"/>
    </row>
    <row r="10" spans="1:13" x14ac:dyDescent="0.2">
      <c r="A10" s="1" t="s">
        <v>115</v>
      </c>
      <c r="B10" s="106">
        <v>10000</v>
      </c>
      <c r="C10" s="1" t="s">
        <v>116</v>
      </c>
    </row>
    <row r="12" spans="1:13" x14ac:dyDescent="0.2">
      <c r="B12" s="1" t="s">
        <v>117</v>
      </c>
      <c r="C12" s="1" t="s">
        <v>118</v>
      </c>
      <c r="D12" s="1" t="s">
        <v>119</v>
      </c>
      <c r="E12" s="1" t="s">
        <v>120</v>
      </c>
      <c r="F12" s="1" t="s">
        <v>63</v>
      </c>
      <c r="G12" s="1" t="s">
        <v>74</v>
      </c>
    </row>
    <row r="13" spans="1:13" x14ac:dyDescent="0.2">
      <c r="A13" s="1" t="s">
        <v>121</v>
      </c>
      <c r="B13" s="101"/>
      <c r="C13" s="101"/>
      <c r="D13" s="107"/>
      <c r="E13" s="101"/>
      <c r="F13" s="101"/>
      <c r="G13" s="101"/>
    </row>
    <row r="14" spans="1:13" x14ac:dyDescent="0.2">
      <c r="A14" s="1" t="s">
        <v>122</v>
      </c>
      <c r="B14" s="101"/>
      <c r="C14" s="101"/>
      <c r="D14" s="107"/>
      <c r="E14" s="101"/>
      <c r="F14" s="101"/>
      <c r="G14" s="101"/>
    </row>
    <row r="15" spans="1:13" x14ac:dyDescent="0.2">
      <c r="A15" s="1" t="s">
        <v>123</v>
      </c>
      <c r="B15" s="101"/>
      <c r="C15" s="101"/>
      <c r="D15" s="107"/>
      <c r="E15" s="101"/>
      <c r="F15" s="101"/>
      <c r="G15" s="101"/>
    </row>
    <row r="16" spans="1:13" x14ac:dyDescent="0.2">
      <c r="A16" s="1" t="s">
        <v>124</v>
      </c>
      <c r="B16" s="101"/>
      <c r="C16" s="101"/>
      <c r="D16" s="107"/>
      <c r="E16" s="101"/>
      <c r="F16" s="101"/>
      <c r="G16" s="101"/>
    </row>
    <row r="17" spans="1:10" x14ac:dyDescent="0.2">
      <c r="A17" s="1" t="s">
        <v>125</v>
      </c>
      <c r="B17" s="101"/>
      <c r="C17" s="101"/>
      <c r="D17" s="107"/>
      <c r="E17" s="101"/>
      <c r="F17" s="101"/>
      <c r="G17" s="101"/>
    </row>
    <row r="18" spans="1:10" x14ac:dyDescent="0.2">
      <c r="A18" s="1" t="s">
        <v>126</v>
      </c>
      <c r="B18" s="101"/>
      <c r="C18" s="101"/>
      <c r="D18" s="107"/>
      <c r="E18" s="101"/>
      <c r="F18" s="101"/>
      <c r="G18" s="101"/>
    </row>
    <row r="19" spans="1:10" x14ac:dyDescent="0.2">
      <c r="A19" s="1" t="s">
        <v>127</v>
      </c>
      <c r="B19" s="101"/>
      <c r="C19" s="101"/>
      <c r="D19" s="107"/>
      <c r="E19" s="101"/>
      <c r="F19" s="101"/>
      <c r="G19" s="101"/>
    </row>
    <row r="20" spans="1:10" x14ac:dyDescent="0.2">
      <c r="A20" s="1" t="s">
        <v>128</v>
      </c>
      <c r="B20" s="101"/>
      <c r="C20" s="101"/>
      <c r="D20" s="107"/>
      <c r="E20" s="101"/>
      <c r="F20" s="101"/>
      <c r="G20" s="101"/>
    </row>
    <row r="21" spans="1:10" x14ac:dyDescent="0.2">
      <c r="A21" s="1" t="s">
        <v>129</v>
      </c>
      <c r="B21" s="101"/>
      <c r="C21" s="101"/>
      <c r="D21" s="107"/>
      <c r="E21" s="101"/>
      <c r="F21" s="101"/>
      <c r="G21" s="101"/>
    </row>
    <row r="22" spans="1:10" x14ac:dyDescent="0.2">
      <c r="A22" s="1" t="s">
        <v>130</v>
      </c>
      <c r="B22" s="101"/>
      <c r="C22" s="101"/>
      <c r="D22" s="107"/>
      <c r="E22" s="101"/>
      <c r="F22" s="101"/>
      <c r="G22" s="101"/>
    </row>
    <row r="23" spans="1:10" x14ac:dyDescent="0.2">
      <c r="A23" s="1" t="s">
        <v>131</v>
      </c>
      <c r="B23" s="101"/>
      <c r="C23" s="101"/>
      <c r="D23" s="107"/>
      <c r="E23" s="101"/>
      <c r="F23" s="101"/>
      <c r="G23" s="101"/>
    </row>
    <row r="24" spans="1:10" x14ac:dyDescent="0.2">
      <c r="A24" s="1" t="s">
        <v>132</v>
      </c>
      <c r="B24" s="101"/>
      <c r="C24" s="101"/>
      <c r="D24" s="107"/>
      <c r="E24" s="101"/>
      <c r="F24" s="101"/>
      <c r="G24" s="101"/>
    </row>
    <row r="25" spans="1:10" x14ac:dyDescent="0.2">
      <c r="A25" s="1" t="s">
        <v>133</v>
      </c>
      <c r="B25" s="101"/>
      <c r="C25" s="101"/>
      <c r="D25" s="107"/>
      <c r="E25" s="101"/>
      <c r="F25" s="101"/>
      <c r="G25" s="101"/>
    </row>
    <row r="26" spans="1:10" x14ac:dyDescent="0.2">
      <c r="G26" s="1" t="s">
        <v>49</v>
      </c>
      <c r="H26" s="1" t="s">
        <v>51</v>
      </c>
      <c r="J26" s="105"/>
    </row>
    <row r="27" spans="1:10" x14ac:dyDescent="0.2">
      <c r="B27" s="1" t="s">
        <v>134</v>
      </c>
      <c r="C27" s="1" t="s">
        <v>135</v>
      </c>
      <c r="D27" s="1" t="s">
        <v>136</v>
      </c>
      <c r="E27" s="1" t="s">
        <v>137</v>
      </c>
      <c r="F27" s="1" t="s">
        <v>138</v>
      </c>
      <c r="G27" s="1" t="s">
        <v>139</v>
      </c>
      <c r="H27" s="1" t="s">
        <v>139</v>
      </c>
      <c r="J27" s="105"/>
    </row>
    <row r="28" spans="1:10" x14ac:dyDescent="0.2">
      <c r="A28" s="1" t="str">
        <f t="shared" ref="A28:A40" si="0">IF(A13="","",A13)</f>
        <v>Wall A</v>
      </c>
      <c r="B28" s="101"/>
      <c r="C28" s="101"/>
      <c r="D28" s="108" t="e">
        <f t="shared" ref="D28:D40" si="1">B28*$B$10*(C28^2/D13^2)+12/(D13^2)</f>
        <v>#DIV/0!</v>
      </c>
      <c r="E28" s="109" t="e">
        <f t="shared" ref="E28:E40" si="2">D28*$B$9/1000</f>
        <v>#DIV/0!</v>
      </c>
      <c r="F28" s="109" t="e">
        <f t="shared" ref="F28:F40" si="3">F13/(G13*E28)</f>
        <v>#DIV/0!</v>
      </c>
      <c r="G28" s="108" t="e">
        <f t="shared" ref="G28:G38" si="4">LN((F28^(-$J$7)+($I$7/$H$7))/(1+($I$7/$H$7)))/($H$7*$J$7)</f>
        <v>#DIV/0!</v>
      </c>
      <c r="H28" s="110"/>
      <c r="I28" s="111" t="e">
        <f t="shared" ref="I28:I38" si="5">LOOKUP(G28,mm_value,minimum_Pb)</f>
        <v>#DIV/0!</v>
      </c>
      <c r="J28" s="105"/>
    </row>
    <row r="29" spans="1:10" x14ac:dyDescent="0.2">
      <c r="A29" s="1" t="str">
        <f t="shared" si="0"/>
        <v>Wall A (Hall)</v>
      </c>
      <c r="B29" s="101"/>
      <c r="C29" s="101"/>
      <c r="D29" s="108" t="e">
        <f t="shared" si="1"/>
        <v>#DIV/0!</v>
      </c>
      <c r="E29" s="109" t="e">
        <f t="shared" si="2"/>
        <v>#DIV/0!</v>
      </c>
      <c r="F29" s="109" t="e">
        <f t="shared" si="3"/>
        <v>#DIV/0!</v>
      </c>
      <c r="G29" s="108" t="e">
        <f t="shared" si="4"/>
        <v>#DIV/0!</v>
      </c>
      <c r="H29" s="110"/>
      <c r="I29" s="111" t="e">
        <f t="shared" si="5"/>
        <v>#DIV/0!</v>
      </c>
      <c r="J29" s="105"/>
    </row>
    <row r="30" spans="1:10" x14ac:dyDescent="0.2">
      <c r="A30" s="1" t="str">
        <f t="shared" si="0"/>
        <v>Wall A (Tech)</v>
      </c>
      <c r="B30" s="101"/>
      <c r="C30" s="101"/>
      <c r="D30" s="108" t="e">
        <f t="shared" si="1"/>
        <v>#DIV/0!</v>
      </c>
      <c r="E30" s="109" t="e">
        <f t="shared" si="2"/>
        <v>#DIV/0!</v>
      </c>
      <c r="F30" s="109" t="e">
        <f t="shared" si="3"/>
        <v>#DIV/0!</v>
      </c>
      <c r="G30" s="108" t="e">
        <f t="shared" si="4"/>
        <v>#DIV/0!</v>
      </c>
      <c r="H30" s="110"/>
      <c r="I30" s="111" t="e">
        <f t="shared" si="5"/>
        <v>#DIV/0!</v>
      </c>
      <c r="J30" s="105"/>
    </row>
    <row r="31" spans="1:10" x14ac:dyDescent="0.2">
      <c r="A31" s="1" t="str">
        <f t="shared" si="0"/>
        <v>Door A</v>
      </c>
      <c r="B31" s="101"/>
      <c r="C31" s="101"/>
      <c r="D31" s="108" t="e">
        <f t="shared" si="1"/>
        <v>#DIV/0!</v>
      </c>
      <c r="E31" s="109" t="e">
        <f t="shared" si="2"/>
        <v>#DIV/0!</v>
      </c>
      <c r="F31" s="109" t="e">
        <f t="shared" si="3"/>
        <v>#DIV/0!</v>
      </c>
      <c r="G31" s="108" t="e">
        <f t="shared" si="4"/>
        <v>#DIV/0!</v>
      </c>
      <c r="H31" s="110"/>
      <c r="I31" s="111" t="e">
        <f t="shared" si="5"/>
        <v>#DIV/0!</v>
      </c>
      <c r="J31" s="105"/>
    </row>
    <row r="32" spans="1:10" x14ac:dyDescent="0.2">
      <c r="A32" s="1" t="str">
        <f t="shared" si="0"/>
        <v>Wall B</v>
      </c>
      <c r="B32" s="101"/>
      <c r="C32" s="101"/>
      <c r="D32" s="108" t="e">
        <f t="shared" si="1"/>
        <v>#DIV/0!</v>
      </c>
      <c r="E32" s="109" t="e">
        <f t="shared" si="2"/>
        <v>#DIV/0!</v>
      </c>
      <c r="F32" s="109" t="e">
        <f t="shared" si="3"/>
        <v>#DIV/0!</v>
      </c>
      <c r="G32" s="108" t="e">
        <f t="shared" si="4"/>
        <v>#DIV/0!</v>
      </c>
      <c r="H32" s="110"/>
      <c r="I32" s="111" t="e">
        <f t="shared" si="5"/>
        <v>#DIV/0!</v>
      </c>
      <c r="J32" s="105"/>
    </row>
    <row r="33" spans="1:20" x14ac:dyDescent="0.2">
      <c r="A33" s="1" t="str">
        <f t="shared" si="0"/>
        <v>Wall C</v>
      </c>
      <c r="B33" s="101"/>
      <c r="C33" s="101"/>
      <c r="D33" s="108" t="e">
        <f t="shared" si="1"/>
        <v>#DIV/0!</v>
      </c>
      <c r="E33" s="109" t="e">
        <f t="shared" si="2"/>
        <v>#DIV/0!</v>
      </c>
      <c r="F33" s="109" t="e">
        <f t="shared" si="3"/>
        <v>#DIV/0!</v>
      </c>
      <c r="G33" s="108" t="e">
        <f t="shared" si="4"/>
        <v>#DIV/0!</v>
      </c>
      <c r="H33" s="110"/>
      <c r="I33" s="111" t="e">
        <f t="shared" si="5"/>
        <v>#DIV/0!</v>
      </c>
      <c r="J33" s="105"/>
    </row>
    <row r="34" spans="1:20" x14ac:dyDescent="0.2">
      <c r="A34" s="1" t="str">
        <f t="shared" si="0"/>
        <v>Wall D</v>
      </c>
      <c r="B34" s="101"/>
      <c r="C34" s="101"/>
      <c r="D34" s="108" t="e">
        <f t="shared" si="1"/>
        <v>#DIV/0!</v>
      </c>
      <c r="E34" s="109" t="e">
        <f t="shared" si="2"/>
        <v>#DIV/0!</v>
      </c>
      <c r="F34" s="109" t="e">
        <f t="shared" si="3"/>
        <v>#DIV/0!</v>
      </c>
      <c r="G34" s="108" t="e">
        <f t="shared" si="4"/>
        <v>#DIV/0!</v>
      </c>
      <c r="H34" s="110"/>
      <c r="I34" s="111" t="e">
        <f t="shared" si="5"/>
        <v>#DIV/0!</v>
      </c>
      <c r="J34" s="105"/>
    </row>
    <row r="35" spans="1:20" x14ac:dyDescent="0.2">
      <c r="A35" s="1" t="str">
        <f t="shared" si="0"/>
        <v>Door D</v>
      </c>
      <c r="B35" s="101"/>
      <c r="C35" s="101"/>
      <c r="D35" s="108" t="e">
        <f t="shared" si="1"/>
        <v>#DIV/0!</v>
      </c>
      <c r="E35" s="109" t="e">
        <f t="shared" si="2"/>
        <v>#DIV/0!</v>
      </c>
      <c r="F35" s="109" t="e">
        <f t="shared" si="3"/>
        <v>#DIV/0!</v>
      </c>
      <c r="G35" s="108" t="e">
        <f t="shared" si="4"/>
        <v>#DIV/0!</v>
      </c>
      <c r="H35" s="110"/>
      <c r="I35" s="111" t="e">
        <f t="shared" si="5"/>
        <v>#DIV/0!</v>
      </c>
      <c r="J35" s="105"/>
    </row>
    <row r="36" spans="1:20" x14ac:dyDescent="0.2">
      <c r="A36" s="1" t="str">
        <f t="shared" si="0"/>
        <v>Wall D (CT)</v>
      </c>
      <c r="B36" s="101"/>
      <c r="C36" s="101"/>
      <c r="D36" s="108" t="e">
        <f t="shared" si="1"/>
        <v>#DIV/0!</v>
      </c>
      <c r="E36" s="109" t="e">
        <f t="shared" si="2"/>
        <v>#DIV/0!</v>
      </c>
      <c r="F36" s="109" t="e">
        <f t="shared" si="3"/>
        <v>#DIV/0!</v>
      </c>
      <c r="G36" s="108" t="e">
        <f t="shared" si="4"/>
        <v>#DIV/0!</v>
      </c>
      <c r="H36" s="110"/>
      <c r="I36" s="111" t="e">
        <f t="shared" si="5"/>
        <v>#DIV/0!</v>
      </c>
      <c r="J36" s="105"/>
    </row>
    <row r="37" spans="1:20" x14ac:dyDescent="0.2">
      <c r="A37" s="1" t="str">
        <f t="shared" si="0"/>
        <v>Wall D(CT)</v>
      </c>
      <c r="B37" s="101"/>
      <c r="C37" s="101"/>
      <c r="D37" s="108" t="e">
        <f t="shared" si="1"/>
        <v>#DIV/0!</v>
      </c>
      <c r="E37" s="109" t="e">
        <f t="shared" si="2"/>
        <v>#DIV/0!</v>
      </c>
      <c r="F37" s="109" t="e">
        <f t="shared" si="3"/>
        <v>#DIV/0!</v>
      </c>
      <c r="G37" s="108" t="e">
        <f t="shared" si="4"/>
        <v>#DIV/0!</v>
      </c>
      <c r="H37" s="110"/>
      <c r="I37" s="111" t="e">
        <f t="shared" si="5"/>
        <v>#DIV/0!</v>
      </c>
      <c r="J37" s="105"/>
    </row>
    <row r="38" spans="1:20" x14ac:dyDescent="0.2">
      <c r="A38" s="1" t="str">
        <f t="shared" si="0"/>
        <v>Control</v>
      </c>
      <c r="B38" s="101"/>
      <c r="C38" s="101"/>
      <c r="D38" s="108" t="e">
        <f t="shared" si="1"/>
        <v>#DIV/0!</v>
      </c>
      <c r="E38" s="109" t="e">
        <f t="shared" si="2"/>
        <v>#DIV/0!</v>
      </c>
      <c r="F38" s="109" t="e">
        <f t="shared" si="3"/>
        <v>#DIV/0!</v>
      </c>
      <c r="G38" s="108" t="e">
        <f t="shared" si="4"/>
        <v>#DIV/0!</v>
      </c>
      <c r="H38" s="110"/>
      <c r="I38" s="111" t="e">
        <f t="shared" si="5"/>
        <v>#DIV/0!</v>
      </c>
      <c r="J38" s="105"/>
    </row>
    <row r="39" spans="1:20" x14ac:dyDescent="0.2">
      <c r="A39" s="1" t="str">
        <f t="shared" si="0"/>
        <v>Floor</v>
      </c>
      <c r="B39" s="101"/>
      <c r="C39" s="101"/>
      <c r="D39" s="108" t="e">
        <f t="shared" si="1"/>
        <v>#DIV/0!</v>
      </c>
      <c r="E39" s="109" t="e">
        <f t="shared" si="2"/>
        <v>#DIV/0!</v>
      </c>
      <c r="F39" s="109" t="e">
        <f t="shared" si="3"/>
        <v>#DIV/0!</v>
      </c>
      <c r="G39" s="110"/>
      <c r="H39" s="112" t="e">
        <f>LN((F39^-$J$8+($I$8/$H$8))/(1+($I$8/$H$8)))/($H$8*$J$8)</f>
        <v>#DIV/0!</v>
      </c>
      <c r="I39" s="110"/>
      <c r="J39" s="105"/>
    </row>
    <row r="40" spans="1:20" x14ac:dyDescent="0.2">
      <c r="A40" s="1" t="str">
        <f t="shared" si="0"/>
        <v>Ceiling</v>
      </c>
      <c r="B40" s="101"/>
      <c r="C40" s="101"/>
      <c r="D40" s="108" t="e">
        <f t="shared" si="1"/>
        <v>#DIV/0!</v>
      </c>
      <c r="E40" s="109" t="e">
        <f t="shared" si="2"/>
        <v>#DIV/0!</v>
      </c>
      <c r="F40" s="109" t="e">
        <f t="shared" si="3"/>
        <v>#DIV/0!</v>
      </c>
      <c r="G40" s="110"/>
      <c r="H40" s="112" t="e">
        <f>LN((F40^-$J$8+($I$8/$H$8))/(1+($I$8/$H$8)))/($H$8*$J$8)</f>
        <v>#DIV/0!</v>
      </c>
      <c r="I40" s="110"/>
      <c r="J40" s="105"/>
    </row>
    <row r="41" spans="1:20" x14ac:dyDescent="0.2">
      <c r="J41" s="105"/>
    </row>
    <row r="42" spans="1:20" x14ac:dyDescent="0.2">
      <c r="B42" s="1" t="s">
        <v>140</v>
      </c>
      <c r="C42" s="1" t="s">
        <v>137</v>
      </c>
      <c r="D42" s="1" t="s">
        <v>141</v>
      </c>
      <c r="E42" s="1" t="s">
        <v>138</v>
      </c>
      <c r="F42" s="1" t="s">
        <v>142</v>
      </c>
      <c r="G42" s="1" t="s">
        <v>139</v>
      </c>
      <c r="H42" s="1" t="s">
        <v>139</v>
      </c>
    </row>
    <row r="43" spans="1:20" x14ac:dyDescent="0.2">
      <c r="A43" s="1" t="str">
        <f t="shared" ref="A43:A55" si="6">IF(A28="","",A28)</f>
        <v>Wall A</v>
      </c>
      <c r="B43" s="102"/>
      <c r="C43" s="109" t="e">
        <f t="shared" ref="C43:C55" si="7">$F$6*$B$9/(D13^2)</f>
        <v>#DIV/0!</v>
      </c>
      <c r="D43" s="102"/>
      <c r="E43" s="109" t="e">
        <f t="shared" ref="E43:E55" si="8">F13/(G13*C43)</f>
        <v>#DIV/0!</v>
      </c>
      <c r="F43" s="102"/>
      <c r="G43" s="108" t="e">
        <f>LN((E43^(-$J$7)+($I$7/$H$7))/(1+($I$7/$H$7)))/($H$7*$J$7)</f>
        <v>#DIV/0!</v>
      </c>
      <c r="H43" s="108"/>
      <c r="T43" s="113"/>
    </row>
    <row r="44" spans="1:20" x14ac:dyDescent="0.2">
      <c r="A44" s="1" t="str">
        <f t="shared" si="6"/>
        <v>Wall A (Hall)</v>
      </c>
      <c r="B44" s="102"/>
      <c r="C44" s="109" t="e">
        <f t="shared" si="7"/>
        <v>#DIV/0!</v>
      </c>
      <c r="D44" s="102"/>
      <c r="E44" s="109" t="e">
        <f t="shared" si="8"/>
        <v>#DIV/0!</v>
      </c>
      <c r="F44" s="102"/>
      <c r="G44" s="108" t="e">
        <f t="shared" ref="G44:G53" si="9">LN((E44^-$J$7+($I$7/$H$7))/(1+($I$7/$H$7)))/($H$7*$J$7)</f>
        <v>#DIV/0!</v>
      </c>
      <c r="H44" s="108"/>
      <c r="T44" s="113"/>
    </row>
    <row r="45" spans="1:20" x14ac:dyDescent="0.2">
      <c r="A45" s="1" t="str">
        <f t="shared" si="6"/>
        <v>Wall A (Tech)</v>
      </c>
      <c r="B45" s="102"/>
      <c r="C45" s="109" t="e">
        <f t="shared" si="7"/>
        <v>#DIV/0!</v>
      </c>
      <c r="D45" s="102"/>
      <c r="E45" s="109" t="e">
        <f t="shared" si="8"/>
        <v>#DIV/0!</v>
      </c>
      <c r="F45" s="102"/>
      <c r="G45" s="108" t="e">
        <f t="shared" si="9"/>
        <v>#DIV/0!</v>
      </c>
      <c r="H45" s="108"/>
      <c r="T45" s="113"/>
    </row>
    <row r="46" spans="1:20" x14ac:dyDescent="0.2">
      <c r="A46" s="1" t="str">
        <f t="shared" si="6"/>
        <v>Door A</v>
      </c>
      <c r="B46" s="102"/>
      <c r="C46" s="109" t="e">
        <f t="shared" si="7"/>
        <v>#DIV/0!</v>
      </c>
      <c r="D46" s="102"/>
      <c r="E46" s="109" t="e">
        <f t="shared" si="8"/>
        <v>#DIV/0!</v>
      </c>
      <c r="F46" s="102"/>
      <c r="G46" s="108" t="e">
        <f t="shared" si="9"/>
        <v>#DIV/0!</v>
      </c>
      <c r="H46" s="108"/>
      <c r="T46" s="113"/>
    </row>
    <row r="47" spans="1:20" x14ac:dyDescent="0.2">
      <c r="A47" s="1" t="str">
        <f t="shared" si="6"/>
        <v>Wall B</v>
      </c>
      <c r="B47" s="102"/>
      <c r="C47" s="109" t="e">
        <f t="shared" si="7"/>
        <v>#DIV/0!</v>
      </c>
      <c r="D47" s="102"/>
      <c r="E47" s="109" t="e">
        <f t="shared" si="8"/>
        <v>#DIV/0!</v>
      </c>
      <c r="F47" s="102"/>
      <c r="G47" s="108" t="e">
        <f t="shared" si="9"/>
        <v>#DIV/0!</v>
      </c>
      <c r="H47" s="108"/>
      <c r="T47" s="113"/>
    </row>
    <row r="48" spans="1:20" x14ac:dyDescent="0.2">
      <c r="A48" s="1" t="str">
        <f t="shared" si="6"/>
        <v>Wall C</v>
      </c>
      <c r="B48" s="102"/>
      <c r="C48" s="109" t="e">
        <f t="shared" si="7"/>
        <v>#DIV/0!</v>
      </c>
      <c r="D48" s="102"/>
      <c r="E48" s="109" t="e">
        <f t="shared" si="8"/>
        <v>#DIV/0!</v>
      </c>
      <c r="F48" s="102"/>
      <c r="G48" s="108" t="e">
        <f t="shared" si="9"/>
        <v>#DIV/0!</v>
      </c>
      <c r="H48" s="108"/>
      <c r="T48" s="113"/>
    </row>
    <row r="49" spans="1:20" x14ac:dyDescent="0.2">
      <c r="A49" s="1" t="str">
        <f t="shared" si="6"/>
        <v>Wall D</v>
      </c>
      <c r="B49" s="102"/>
      <c r="C49" s="109" t="e">
        <f t="shared" si="7"/>
        <v>#DIV/0!</v>
      </c>
      <c r="D49" s="102"/>
      <c r="E49" s="109" t="e">
        <f t="shared" si="8"/>
        <v>#DIV/0!</v>
      </c>
      <c r="F49" s="102"/>
      <c r="G49" s="108" t="e">
        <f t="shared" si="9"/>
        <v>#DIV/0!</v>
      </c>
      <c r="H49" s="108"/>
      <c r="T49" s="113"/>
    </row>
    <row r="50" spans="1:20" x14ac:dyDescent="0.2">
      <c r="A50" s="1" t="str">
        <f t="shared" si="6"/>
        <v>Door D</v>
      </c>
      <c r="B50" s="102"/>
      <c r="C50" s="109" t="e">
        <f t="shared" si="7"/>
        <v>#DIV/0!</v>
      </c>
      <c r="D50" s="102"/>
      <c r="E50" s="109" t="e">
        <f t="shared" si="8"/>
        <v>#DIV/0!</v>
      </c>
      <c r="F50" s="102"/>
      <c r="G50" s="108" t="e">
        <f t="shared" si="9"/>
        <v>#DIV/0!</v>
      </c>
      <c r="H50" s="108"/>
      <c r="T50" s="113"/>
    </row>
    <row r="51" spans="1:20" x14ac:dyDescent="0.2">
      <c r="A51" s="1" t="str">
        <f t="shared" si="6"/>
        <v>Wall D (CT)</v>
      </c>
      <c r="B51" s="102"/>
      <c r="C51" s="109" t="e">
        <f t="shared" si="7"/>
        <v>#DIV/0!</v>
      </c>
      <c r="D51" s="102"/>
      <c r="E51" s="109" t="e">
        <f t="shared" si="8"/>
        <v>#DIV/0!</v>
      </c>
      <c r="F51" s="102"/>
      <c r="G51" s="108" t="e">
        <f t="shared" si="9"/>
        <v>#DIV/0!</v>
      </c>
      <c r="H51" s="108"/>
      <c r="T51" s="113"/>
    </row>
    <row r="52" spans="1:20" x14ac:dyDescent="0.2">
      <c r="A52" s="1" t="str">
        <f t="shared" si="6"/>
        <v>Wall D(CT)</v>
      </c>
      <c r="B52" s="102"/>
      <c r="C52" s="109" t="e">
        <f t="shared" si="7"/>
        <v>#DIV/0!</v>
      </c>
      <c r="D52" s="102"/>
      <c r="E52" s="109" t="e">
        <f t="shared" si="8"/>
        <v>#DIV/0!</v>
      </c>
      <c r="F52" s="102"/>
      <c r="G52" s="108" t="e">
        <f t="shared" si="9"/>
        <v>#DIV/0!</v>
      </c>
      <c r="H52" s="108"/>
      <c r="T52" s="113"/>
    </row>
    <row r="53" spans="1:20" x14ac:dyDescent="0.2">
      <c r="A53" s="1" t="str">
        <f t="shared" si="6"/>
        <v>Control</v>
      </c>
      <c r="B53" s="102"/>
      <c r="C53" s="109" t="e">
        <f t="shared" si="7"/>
        <v>#DIV/0!</v>
      </c>
      <c r="D53" s="102"/>
      <c r="E53" s="109" t="e">
        <f t="shared" si="8"/>
        <v>#DIV/0!</v>
      </c>
      <c r="F53" s="102"/>
      <c r="G53" s="108" t="e">
        <f t="shared" si="9"/>
        <v>#DIV/0!</v>
      </c>
      <c r="H53" s="108"/>
      <c r="T53" s="113"/>
    </row>
    <row r="54" spans="1:20" x14ac:dyDescent="0.2">
      <c r="A54" s="1" t="str">
        <f t="shared" si="6"/>
        <v>Floor</v>
      </c>
      <c r="B54" s="102"/>
      <c r="C54" s="109" t="e">
        <f t="shared" si="7"/>
        <v>#DIV/0!</v>
      </c>
      <c r="D54" s="102"/>
      <c r="E54" s="109" t="e">
        <f t="shared" si="8"/>
        <v>#DIV/0!</v>
      </c>
      <c r="F54" s="102"/>
      <c r="G54" s="102"/>
      <c r="H54" s="112" t="e">
        <f>LN((E54^-$J$8+($I$8/$H$8))/(1+($I$8/$H$8)))/($H$8*$J$8)</f>
        <v>#DIV/0!</v>
      </c>
      <c r="J54" s="114"/>
      <c r="T54" s="113"/>
    </row>
    <row r="55" spans="1:20" x14ac:dyDescent="0.2">
      <c r="A55" s="1" t="str">
        <f t="shared" si="6"/>
        <v>Ceiling</v>
      </c>
      <c r="B55" s="102"/>
      <c r="C55" s="109" t="e">
        <f t="shared" si="7"/>
        <v>#DIV/0!</v>
      </c>
      <c r="D55" s="102"/>
      <c r="E55" s="109" t="e">
        <f t="shared" si="8"/>
        <v>#DIV/0!</v>
      </c>
      <c r="F55" s="102"/>
      <c r="G55" s="102"/>
      <c r="H55" s="112" t="e">
        <f>LN((E55^-$J$8+($I$8/$H$8))/(1+($I$8/$H$8)))/($H$8*$J$8)</f>
        <v>#DIV/0!</v>
      </c>
      <c r="J55" s="114"/>
      <c r="T55" s="113"/>
    </row>
  </sheetData>
  <mergeCells count="4">
    <mergeCell ref="B1:C1"/>
    <mergeCell ref="D1:F1"/>
    <mergeCell ref="H1:L1"/>
    <mergeCell ref="H5:L5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62"/>
  <sheetViews>
    <sheetView tabSelected="1" zoomScaleNormal="100" workbookViewId="0">
      <selection activeCell="Q21" sqref="Q21"/>
    </sheetView>
  </sheetViews>
  <sheetFormatPr defaultColWidth="12.83203125" defaultRowHeight="12.75" x14ac:dyDescent="0.2"/>
  <cols>
    <col min="1" max="1" width="18.5" style="115" customWidth="1"/>
    <col min="2" max="2" width="10.6640625" style="115" customWidth="1"/>
    <col min="3" max="3" width="8.33203125" style="115" customWidth="1"/>
    <col min="4" max="4" width="13" style="115" customWidth="1"/>
    <col min="5" max="5" width="12.33203125" style="115" customWidth="1"/>
    <col min="6" max="6" width="14.1640625" style="115" customWidth="1"/>
    <col min="7" max="7" width="13.83203125" style="115" customWidth="1"/>
    <col min="8" max="8" width="11.5" style="115" customWidth="1"/>
    <col min="9" max="9" width="10.1640625" style="115" customWidth="1"/>
    <col min="10" max="10" width="9.33203125" style="115" customWidth="1"/>
    <col min="11" max="11" width="10.5" style="115" customWidth="1"/>
    <col min="12" max="15" width="9.33203125" style="115" customWidth="1"/>
    <col min="16" max="16" width="11.5" style="115" customWidth="1"/>
    <col min="17" max="22" width="9.33203125" style="115" customWidth="1"/>
  </cols>
  <sheetData>
    <row r="1" spans="1:22" x14ac:dyDescent="0.2">
      <c r="A1" s="116" t="s">
        <v>143</v>
      </c>
      <c r="B1" s="116"/>
      <c r="C1" s="116"/>
      <c r="D1" s="116"/>
      <c r="G1" s="117">
        <v>45301</v>
      </c>
      <c r="J1" s="118" t="s">
        <v>144</v>
      </c>
      <c r="K1" s="119"/>
      <c r="L1" s="119"/>
      <c r="M1" s="119"/>
      <c r="N1" s="119"/>
      <c r="O1" s="119"/>
      <c r="P1" s="119"/>
      <c r="Q1" s="119"/>
      <c r="R1" s="119"/>
      <c r="S1" s="120"/>
    </row>
    <row r="2" spans="1:22" x14ac:dyDescent="0.2">
      <c r="A2" s="116" t="s">
        <v>145</v>
      </c>
      <c r="B2" s="116"/>
      <c r="C2" s="116"/>
      <c r="D2" s="116"/>
      <c r="J2" s="121" t="s">
        <v>146</v>
      </c>
      <c r="S2" s="122"/>
    </row>
    <row r="3" spans="1:22" x14ac:dyDescent="0.2">
      <c r="A3" s="116" t="s">
        <v>147</v>
      </c>
      <c r="B3" s="116"/>
      <c r="C3" s="116"/>
      <c r="D3" s="116"/>
      <c r="J3" s="121" t="s">
        <v>148</v>
      </c>
      <c r="S3" s="122"/>
    </row>
    <row r="4" spans="1:22" x14ac:dyDescent="0.2">
      <c r="J4" s="121" t="s">
        <v>149</v>
      </c>
      <c r="S4" s="122"/>
    </row>
    <row r="5" spans="1:22" x14ac:dyDescent="0.2">
      <c r="J5" s="121" t="s">
        <v>150</v>
      </c>
      <c r="S5" s="122"/>
    </row>
    <row r="6" spans="1:22" x14ac:dyDescent="0.2">
      <c r="A6" s="116" t="s">
        <v>151</v>
      </c>
      <c r="B6" s="115" t="s">
        <v>143</v>
      </c>
      <c r="J6" s="121" t="s">
        <v>152</v>
      </c>
      <c r="S6" s="122"/>
    </row>
    <row r="7" spans="1:22" x14ac:dyDescent="0.2">
      <c r="J7" s="121"/>
      <c r="S7" s="122"/>
    </row>
    <row r="8" spans="1:22" x14ac:dyDescent="0.2">
      <c r="J8" s="123"/>
      <c r="K8" s="124"/>
      <c r="L8" s="124"/>
      <c r="M8" s="124"/>
      <c r="N8" s="124"/>
      <c r="O8" s="124"/>
      <c r="P8" s="124"/>
      <c r="Q8" s="124"/>
      <c r="R8" s="124"/>
      <c r="S8" s="125"/>
    </row>
    <row r="9" spans="1:22" x14ac:dyDescent="0.2">
      <c r="A9" s="116" t="s">
        <v>153</v>
      </c>
      <c r="B9" s="115" t="s">
        <v>154</v>
      </c>
    </row>
    <row r="10" spans="1:22" x14ac:dyDescent="0.2">
      <c r="J10" s="118" t="s">
        <v>155</v>
      </c>
      <c r="K10" s="119"/>
      <c r="L10" s="119"/>
      <c r="M10" s="119"/>
      <c r="N10" s="119"/>
      <c r="O10" s="119"/>
      <c r="P10" s="119"/>
      <c r="Q10" s="119"/>
      <c r="R10" s="119"/>
      <c r="S10" s="120"/>
      <c r="U10" s="126" t="s">
        <v>156</v>
      </c>
      <c r="V10" s="115">
        <v>1</v>
      </c>
    </row>
    <row r="11" spans="1:22" x14ac:dyDescent="0.2">
      <c r="J11" s="121" t="s">
        <v>157</v>
      </c>
      <c r="S11" s="122"/>
      <c r="U11" s="126" t="s">
        <v>158</v>
      </c>
      <c r="V11" s="115">
        <v>0.7</v>
      </c>
    </row>
    <row r="12" spans="1:22" x14ac:dyDescent="0.2">
      <c r="J12" s="121" t="s">
        <v>159</v>
      </c>
      <c r="S12" s="122"/>
      <c r="U12" s="126" t="s">
        <v>160</v>
      </c>
      <c r="V12" s="115">
        <f>C21</f>
        <v>0</v>
      </c>
    </row>
    <row r="13" spans="1:22" x14ac:dyDescent="0.2">
      <c r="A13" s="127" t="s">
        <v>161</v>
      </c>
      <c r="B13" s="128" t="s">
        <v>162</v>
      </c>
      <c r="C13" s="129"/>
      <c r="J13" s="121"/>
      <c r="S13" s="122"/>
      <c r="U13" s="115" t="s">
        <v>163</v>
      </c>
      <c r="V13" s="115" t="e">
        <f>(V10*100)/(V12*V11)</f>
        <v>#DIV/0!</v>
      </c>
    </row>
    <row r="14" spans="1:22" x14ac:dyDescent="0.2">
      <c r="A14" s="130"/>
      <c r="B14" s="131"/>
      <c r="C14" s="132"/>
      <c r="J14" s="121" t="s">
        <v>164</v>
      </c>
      <c r="S14" s="122"/>
    </row>
    <row r="15" spans="1:22" x14ac:dyDescent="0.2">
      <c r="A15" s="130"/>
      <c r="B15" s="131"/>
      <c r="C15" s="132"/>
      <c r="J15" s="121" t="s">
        <v>165</v>
      </c>
      <c r="S15" s="122"/>
    </row>
    <row r="16" spans="1:22" x14ac:dyDescent="0.2">
      <c r="A16" s="133"/>
      <c r="B16" s="134"/>
      <c r="C16" s="135"/>
      <c r="J16" s="123" t="s">
        <v>166</v>
      </c>
      <c r="K16" s="124"/>
      <c r="L16" s="124"/>
      <c r="M16" s="124"/>
      <c r="N16" s="124"/>
      <c r="O16" s="124"/>
      <c r="P16" s="124"/>
      <c r="Q16" s="124"/>
      <c r="R16" s="124"/>
      <c r="S16" s="125"/>
    </row>
    <row r="18" spans="1:22" x14ac:dyDescent="0.2">
      <c r="A18" s="136" t="s">
        <v>167</v>
      </c>
      <c r="B18" s="137"/>
      <c r="C18" s="137"/>
      <c r="D18" s="137"/>
      <c r="E18" s="137"/>
      <c r="F18" s="137"/>
      <c r="G18" s="130"/>
      <c r="J18" s="118" t="s">
        <v>168</v>
      </c>
      <c r="K18" s="119"/>
      <c r="L18" s="119"/>
      <c r="M18" s="119"/>
      <c r="N18" s="120"/>
      <c r="P18" s="226" t="s">
        <v>321</v>
      </c>
      <c r="Q18"/>
      <c r="R18"/>
      <c r="S18"/>
      <c r="T18"/>
      <c r="U18"/>
      <c r="V18"/>
    </row>
    <row r="19" spans="1:22" x14ac:dyDescent="0.2">
      <c r="A19" s="130"/>
      <c r="B19" s="126" t="s">
        <v>169</v>
      </c>
      <c r="C19" s="36"/>
      <c r="E19" s="126" t="s">
        <v>170</v>
      </c>
      <c r="F19" s="138">
        <f>+C19*C20*5</f>
        <v>0</v>
      </c>
      <c r="G19" s="130"/>
      <c r="J19" s="121" t="s">
        <v>171</v>
      </c>
      <c r="L19" s="139">
        <v>5</v>
      </c>
      <c r="M19" s="132" t="s">
        <v>172</v>
      </c>
      <c r="N19" s="122"/>
      <c r="P19" s="232" t="s">
        <v>95</v>
      </c>
      <c r="Q19" s="232"/>
      <c r="R19" s="232"/>
      <c r="S19" s="232" t="s">
        <v>96</v>
      </c>
      <c r="T19" s="232"/>
      <c r="U19" s="232"/>
      <c r="V19"/>
    </row>
    <row r="20" spans="1:22" x14ac:dyDescent="0.2">
      <c r="A20" s="130"/>
      <c r="B20" s="126" t="s">
        <v>173</v>
      </c>
      <c r="C20" s="36"/>
      <c r="E20" s="126" t="s">
        <v>174</v>
      </c>
      <c r="F20" s="138">
        <f>+F19*52</f>
        <v>0</v>
      </c>
      <c r="G20" s="130"/>
      <c r="J20" s="123" t="s">
        <v>175</v>
      </c>
      <c r="K20" s="124"/>
      <c r="L20" s="140">
        <v>1</v>
      </c>
      <c r="M20" s="141" t="s">
        <v>172</v>
      </c>
      <c r="N20" s="125"/>
      <c r="P20" s="225" t="s">
        <v>41</v>
      </c>
      <c r="Q20" s="225" t="s">
        <v>42</v>
      </c>
      <c r="R20" s="225" t="s">
        <v>43</v>
      </c>
      <c r="S20" s="225" t="s">
        <v>41</v>
      </c>
      <c r="T20" s="225" t="s">
        <v>42</v>
      </c>
      <c r="U20" s="225" t="s">
        <v>43</v>
      </c>
      <c r="V20"/>
    </row>
    <row r="21" spans="1:22" x14ac:dyDescent="0.2">
      <c r="A21" s="130"/>
      <c r="B21" s="126" t="s">
        <v>176</v>
      </c>
      <c r="C21" s="36"/>
      <c r="E21" s="126" t="s">
        <v>177</v>
      </c>
      <c r="F21" s="138">
        <f>+F20*C22</f>
        <v>0</v>
      </c>
      <c r="G21" s="130"/>
      <c r="P21">
        <f>VLOOKUP(C23,NCRP147_FigA2A3!A4:G6,2)</f>
        <v>2.0089999999999999</v>
      </c>
      <c r="Q21">
        <f>VLOOKUP(C23,NCRP147_FigA2A3!A4:G6,3)</f>
        <v>3.99</v>
      </c>
      <c r="R21">
        <f>VLOOKUP(C23,NCRP147_FigA2A3!A4:G6,4)</f>
        <v>0.34200000000000003</v>
      </c>
      <c r="S21">
        <f>VLOOKUP(C23,NCRP147_FigA2A3!A4:G6,5)</f>
        <v>3.3599999999999998E-2</v>
      </c>
      <c r="T21">
        <f>VLOOKUP(C23,NCRP147_FigA2A3!A4:G6,6)</f>
        <v>1.2200000000000001E-2</v>
      </c>
      <c r="U21">
        <f>VLOOKUP(C23,NCRP147_FigA2A3!A4:G6,7)</f>
        <v>0.51900000000000002</v>
      </c>
      <c r="V21"/>
    </row>
    <row r="22" spans="1:22" x14ac:dyDescent="0.2">
      <c r="A22" s="130"/>
      <c r="B22" s="126" t="s">
        <v>178</v>
      </c>
      <c r="C22" s="36"/>
      <c r="E22" s="126" t="s">
        <v>179</v>
      </c>
      <c r="F22" s="142">
        <f>+F19*C22/60</f>
        <v>0</v>
      </c>
      <c r="G22" s="130"/>
      <c r="J22" s="118" t="s">
        <v>180</v>
      </c>
      <c r="K22" s="119"/>
      <c r="L22" s="120"/>
      <c r="P22"/>
      <c r="Q22"/>
      <c r="R22"/>
      <c r="S22"/>
      <c r="T22"/>
      <c r="U22"/>
      <c r="V22"/>
    </row>
    <row r="23" spans="1:22" x14ac:dyDescent="0.2">
      <c r="A23" s="133"/>
      <c r="B23" s="143" t="s">
        <v>181</v>
      </c>
      <c r="C23" s="36">
        <v>140</v>
      </c>
      <c r="D23" s="143"/>
      <c r="E23" s="143"/>
      <c r="F23" s="143"/>
      <c r="G23" s="130"/>
      <c r="J23" s="144" t="s">
        <v>182</v>
      </c>
      <c r="K23" s="145"/>
      <c r="L23" s="146">
        <v>0.27</v>
      </c>
      <c r="P23"/>
      <c r="Q23"/>
      <c r="R23"/>
      <c r="S23"/>
      <c r="T23"/>
      <c r="U23"/>
      <c r="V23"/>
    </row>
    <row r="24" spans="1:22" x14ac:dyDescent="0.2">
      <c r="J24" s="147" t="s">
        <v>183</v>
      </c>
      <c r="K24" s="148"/>
      <c r="L24" s="149">
        <v>0.79730000000000001</v>
      </c>
      <c r="P24"/>
      <c r="Q24"/>
      <c r="R24"/>
      <c r="S24"/>
      <c r="T24"/>
      <c r="U24"/>
      <c r="V24"/>
    </row>
    <row r="25" spans="1:22" x14ac:dyDescent="0.2">
      <c r="A25" s="136" t="s">
        <v>184</v>
      </c>
      <c r="B25" s="150"/>
      <c r="C25" s="150"/>
      <c r="D25" s="150"/>
      <c r="E25" s="150"/>
      <c r="F25" s="150"/>
      <c r="G25" s="150"/>
      <c r="H25" s="151"/>
      <c r="I25" s="116"/>
      <c r="P25"/>
      <c r="Q25"/>
      <c r="R25"/>
      <c r="S25"/>
      <c r="T25"/>
      <c r="U25"/>
      <c r="V25"/>
    </row>
    <row r="26" spans="1:22" x14ac:dyDescent="0.2">
      <c r="A26" s="152"/>
      <c r="B26" s="153"/>
      <c r="C26" s="153"/>
      <c r="D26" s="153"/>
      <c r="E26" s="153" t="s">
        <v>185</v>
      </c>
      <c r="F26" s="153"/>
      <c r="G26" s="153"/>
      <c r="H26" s="154" t="s">
        <v>186</v>
      </c>
      <c r="L26" s="115" t="s">
        <v>187</v>
      </c>
      <c r="P26"/>
      <c r="Q26"/>
      <c r="R26"/>
      <c r="S26"/>
      <c r="T26"/>
      <c r="U26"/>
      <c r="V26"/>
    </row>
    <row r="27" spans="1:22" ht="12.75" customHeight="1" x14ac:dyDescent="0.2">
      <c r="A27" s="152"/>
      <c r="B27" s="153" t="s">
        <v>188</v>
      </c>
      <c r="C27" s="138"/>
      <c r="D27" s="153"/>
      <c r="E27" s="153" t="s">
        <v>189</v>
      </c>
      <c r="F27" s="153" t="s">
        <v>190</v>
      </c>
      <c r="G27" s="153" t="s">
        <v>190</v>
      </c>
      <c r="H27" s="154" t="s">
        <v>49</v>
      </c>
      <c r="J27" s="239" t="s">
        <v>191</v>
      </c>
      <c r="K27" s="115" t="s">
        <v>185</v>
      </c>
      <c r="L27" s="115" t="s">
        <v>192</v>
      </c>
      <c r="P27"/>
      <c r="Q27"/>
      <c r="R27"/>
      <c r="S27"/>
      <c r="T27"/>
      <c r="U27"/>
      <c r="V27"/>
    </row>
    <row r="28" spans="1:22" x14ac:dyDescent="0.2">
      <c r="A28" s="155" t="s">
        <v>193</v>
      </c>
      <c r="B28" s="156" t="s">
        <v>194</v>
      </c>
      <c r="C28" s="156" t="s">
        <v>75</v>
      </c>
      <c r="D28" s="156" t="s">
        <v>195</v>
      </c>
      <c r="E28" s="156" t="s">
        <v>196</v>
      </c>
      <c r="F28" s="157" t="s">
        <v>197</v>
      </c>
      <c r="G28" s="156" t="s">
        <v>198</v>
      </c>
      <c r="H28" s="158" t="s">
        <v>199</v>
      </c>
      <c r="J28" s="239"/>
      <c r="K28" s="115" t="s">
        <v>200</v>
      </c>
      <c r="L28" s="115" t="s">
        <v>196</v>
      </c>
      <c r="M28" s="115" t="s">
        <v>201</v>
      </c>
      <c r="O28" s="115" t="s">
        <v>202</v>
      </c>
      <c r="P28" s="115" t="s">
        <v>203</v>
      </c>
    </row>
    <row r="29" spans="1:22" x14ac:dyDescent="0.2">
      <c r="A29" s="61"/>
      <c r="B29" s="159"/>
      <c r="C29" s="60"/>
      <c r="D29" s="60"/>
      <c r="E29" s="138" t="str">
        <f t="shared" ref="E29:E44" si="0">IF(A29="","",IF(C29="U",$L$20,IF(OR(C29="",C29="C"),$L$19,"")))</f>
        <v/>
      </c>
      <c r="F29" s="60"/>
      <c r="G29" s="160"/>
      <c r="H29" s="161" t="e">
        <f t="shared" ref="H29:H44" si="1">O29</f>
        <v>#VALUE!</v>
      </c>
      <c r="J29" s="162" t="e">
        <f t="shared" ref="J29:J43" si="2">+(G29/B29)^2</f>
        <v>#DIV/0!</v>
      </c>
      <c r="K29" s="163" t="e">
        <f t="shared" ref="K29:K44" si="3">+J29*(F29/1000)</f>
        <v>#DIV/0!</v>
      </c>
      <c r="L29" s="164" t="e">
        <f t="shared" ref="L29:L44" si="4">IF(AND($F$21="",K29=""),"",$F$21*K29)</f>
        <v>#DIV/0!</v>
      </c>
      <c r="M29" s="162" t="e">
        <f t="shared" ref="M29:M44" si="5">+E29/(D29*L29)</f>
        <v>#VALUE!</v>
      </c>
      <c r="N29" s="162" t="e">
        <f t="shared" ref="N29:N44" si="6">(LN(M29)/LN(2))*$L$23</f>
        <v>#VALUE!</v>
      </c>
      <c r="O29" s="165" t="e">
        <f>IF(M29&gt;1,0,LN((M29^(-$R$21)+($Q$21/$P$21))/(1+($Q$21/$P$21)))/($P$21*$R$21))</f>
        <v>#VALUE!</v>
      </c>
      <c r="P29" s="165" t="e">
        <f>IF(M29&gt;1,0,LN((M29^(-$U$21)+($T$21/$S$21))/(1+($T$21/$S$21)))/($S$21*$U$21))</f>
        <v>#VALUE!</v>
      </c>
    </row>
    <row r="30" spans="1:22" x14ac:dyDescent="0.2">
      <c r="A30" s="61"/>
      <c r="B30" s="159"/>
      <c r="C30" s="60"/>
      <c r="D30" s="60"/>
      <c r="E30" s="138" t="str">
        <f t="shared" si="0"/>
        <v/>
      </c>
      <c r="F30" s="60"/>
      <c r="G30" s="160"/>
      <c r="H30" s="161" t="e">
        <f t="shared" si="1"/>
        <v>#VALUE!</v>
      </c>
      <c r="J30" s="162" t="e">
        <f t="shared" si="2"/>
        <v>#DIV/0!</v>
      </c>
      <c r="K30" s="163" t="e">
        <f t="shared" si="3"/>
        <v>#DIV/0!</v>
      </c>
      <c r="L30" s="164" t="e">
        <f t="shared" si="4"/>
        <v>#DIV/0!</v>
      </c>
      <c r="M30" s="162" t="e">
        <f t="shared" si="5"/>
        <v>#VALUE!</v>
      </c>
      <c r="N30" s="162" t="e">
        <f t="shared" si="6"/>
        <v>#VALUE!</v>
      </c>
      <c r="O30" s="165" t="e">
        <f t="shared" ref="O30:O44" si="7">IF(M30&gt;1,0,LN((M30^(-$R$21)+($Q$21/$P$21))/(1+($Q$21/$P$21)))/($P$21*$R$21))</f>
        <v>#VALUE!</v>
      </c>
      <c r="P30" s="165" t="e">
        <f t="shared" ref="P30:P44" si="8">IF(M30&gt;1,0,LN((M30^(-$U$21)+($T$21/$S$21))/(1+($T$21/$S$21)))/($S$21*$U$21))</f>
        <v>#VALUE!</v>
      </c>
    </row>
    <row r="31" spans="1:22" x14ac:dyDescent="0.2">
      <c r="A31" s="61"/>
      <c r="B31" s="159"/>
      <c r="C31" s="60"/>
      <c r="D31" s="60"/>
      <c r="E31" s="138" t="str">
        <f t="shared" si="0"/>
        <v/>
      </c>
      <c r="F31" s="60"/>
      <c r="G31" s="160"/>
      <c r="H31" s="161" t="e">
        <f t="shared" si="1"/>
        <v>#VALUE!</v>
      </c>
      <c r="J31" s="162" t="e">
        <f t="shared" si="2"/>
        <v>#DIV/0!</v>
      </c>
      <c r="K31" s="163" t="e">
        <f t="shared" si="3"/>
        <v>#DIV/0!</v>
      </c>
      <c r="L31" s="164" t="e">
        <f t="shared" si="4"/>
        <v>#DIV/0!</v>
      </c>
      <c r="M31" s="162" t="e">
        <f t="shared" si="5"/>
        <v>#VALUE!</v>
      </c>
      <c r="N31" s="162" t="e">
        <f t="shared" si="6"/>
        <v>#VALUE!</v>
      </c>
      <c r="O31" s="165" t="e">
        <f t="shared" si="7"/>
        <v>#VALUE!</v>
      </c>
      <c r="P31" s="165" t="e">
        <f t="shared" si="8"/>
        <v>#VALUE!</v>
      </c>
    </row>
    <row r="32" spans="1:22" x14ac:dyDescent="0.2">
      <c r="A32" s="61"/>
      <c r="B32" s="159"/>
      <c r="C32" s="60"/>
      <c r="D32" s="60"/>
      <c r="E32" s="138" t="str">
        <f t="shared" si="0"/>
        <v/>
      </c>
      <c r="F32" s="60"/>
      <c r="G32" s="160"/>
      <c r="H32" s="161" t="e">
        <f t="shared" si="1"/>
        <v>#VALUE!</v>
      </c>
      <c r="J32" s="162" t="e">
        <f t="shared" si="2"/>
        <v>#DIV/0!</v>
      </c>
      <c r="K32" s="163" t="e">
        <f t="shared" si="3"/>
        <v>#DIV/0!</v>
      </c>
      <c r="L32" s="164" t="e">
        <f t="shared" si="4"/>
        <v>#DIV/0!</v>
      </c>
      <c r="M32" s="162" t="e">
        <f t="shared" si="5"/>
        <v>#VALUE!</v>
      </c>
      <c r="N32" s="162" t="e">
        <f t="shared" si="6"/>
        <v>#VALUE!</v>
      </c>
      <c r="O32" s="165" t="e">
        <f t="shared" si="7"/>
        <v>#VALUE!</v>
      </c>
      <c r="P32" s="165" t="e">
        <f t="shared" si="8"/>
        <v>#VALUE!</v>
      </c>
    </row>
    <row r="33" spans="1:19" x14ac:dyDescent="0.2">
      <c r="A33" s="61"/>
      <c r="B33" s="159"/>
      <c r="C33" s="60"/>
      <c r="D33" s="60"/>
      <c r="E33" s="138" t="str">
        <f t="shared" si="0"/>
        <v/>
      </c>
      <c r="F33" s="60"/>
      <c r="G33" s="160"/>
      <c r="H33" s="161" t="e">
        <f t="shared" si="1"/>
        <v>#VALUE!</v>
      </c>
      <c r="J33" s="162" t="e">
        <f t="shared" si="2"/>
        <v>#DIV/0!</v>
      </c>
      <c r="K33" s="163" t="e">
        <f t="shared" si="3"/>
        <v>#DIV/0!</v>
      </c>
      <c r="L33" s="164" t="e">
        <f t="shared" si="4"/>
        <v>#DIV/0!</v>
      </c>
      <c r="M33" s="162" t="e">
        <f t="shared" si="5"/>
        <v>#VALUE!</v>
      </c>
      <c r="N33" s="162" t="e">
        <f t="shared" si="6"/>
        <v>#VALUE!</v>
      </c>
      <c r="O33" s="165" t="e">
        <f t="shared" si="7"/>
        <v>#VALUE!</v>
      </c>
      <c r="P33" s="165" t="e">
        <f t="shared" si="8"/>
        <v>#VALUE!</v>
      </c>
    </row>
    <row r="34" spans="1:19" x14ac:dyDescent="0.2">
      <c r="A34" s="61"/>
      <c r="B34" s="159"/>
      <c r="C34" s="60"/>
      <c r="D34" s="60"/>
      <c r="E34" s="138" t="str">
        <f t="shared" si="0"/>
        <v/>
      </c>
      <c r="F34" s="60"/>
      <c r="G34" s="160"/>
      <c r="H34" s="161" t="e">
        <f t="shared" si="1"/>
        <v>#VALUE!</v>
      </c>
      <c r="J34" s="162" t="e">
        <f t="shared" si="2"/>
        <v>#DIV/0!</v>
      </c>
      <c r="K34" s="163" t="e">
        <f t="shared" si="3"/>
        <v>#DIV/0!</v>
      </c>
      <c r="L34" s="164" t="e">
        <f t="shared" si="4"/>
        <v>#DIV/0!</v>
      </c>
      <c r="M34" s="162" t="e">
        <f t="shared" si="5"/>
        <v>#VALUE!</v>
      </c>
      <c r="N34" s="162" t="e">
        <f t="shared" si="6"/>
        <v>#VALUE!</v>
      </c>
      <c r="O34" s="165" t="e">
        <f t="shared" si="7"/>
        <v>#VALUE!</v>
      </c>
      <c r="P34" s="165" t="e">
        <f t="shared" si="8"/>
        <v>#VALUE!</v>
      </c>
    </row>
    <row r="35" spans="1:19" x14ac:dyDescent="0.2">
      <c r="A35" s="61"/>
      <c r="B35" s="159"/>
      <c r="C35" s="60"/>
      <c r="D35" s="60"/>
      <c r="E35" s="138" t="str">
        <f t="shared" si="0"/>
        <v/>
      </c>
      <c r="F35" s="60"/>
      <c r="G35" s="160"/>
      <c r="H35" s="161" t="e">
        <f t="shared" si="1"/>
        <v>#VALUE!</v>
      </c>
      <c r="J35" s="162" t="e">
        <f t="shared" si="2"/>
        <v>#DIV/0!</v>
      </c>
      <c r="K35" s="163" t="e">
        <f t="shared" si="3"/>
        <v>#DIV/0!</v>
      </c>
      <c r="L35" s="164" t="e">
        <f t="shared" si="4"/>
        <v>#DIV/0!</v>
      </c>
      <c r="M35" s="162" t="e">
        <f t="shared" si="5"/>
        <v>#VALUE!</v>
      </c>
      <c r="N35" s="162" t="e">
        <f t="shared" si="6"/>
        <v>#VALUE!</v>
      </c>
      <c r="O35" s="165" t="e">
        <f t="shared" si="7"/>
        <v>#VALUE!</v>
      </c>
      <c r="P35" s="165" t="e">
        <f t="shared" si="8"/>
        <v>#VALUE!</v>
      </c>
    </row>
    <row r="36" spans="1:19" x14ac:dyDescent="0.2">
      <c r="A36" s="61"/>
      <c r="B36" s="159"/>
      <c r="C36" s="60"/>
      <c r="D36" s="60"/>
      <c r="E36" s="138" t="str">
        <f t="shared" si="0"/>
        <v/>
      </c>
      <c r="F36" s="60"/>
      <c r="G36" s="160"/>
      <c r="H36" s="161" t="e">
        <f t="shared" si="1"/>
        <v>#VALUE!</v>
      </c>
      <c r="J36" s="162" t="e">
        <f t="shared" si="2"/>
        <v>#DIV/0!</v>
      </c>
      <c r="K36" s="163" t="e">
        <f t="shared" si="3"/>
        <v>#DIV/0!</v>
      </c>
      <c r="L36" s="164" t="e">
        <f t="shared" si="4"/>
        <v>#DIV/0!</v>
      </c>
      <c r="M36" s="162" t="e">
        <f t="shared" si="5"/>
        <v>#VALUE!</v>
      </c>
      <c r="N36" s="162" t="e">
        <f t="shared" si="6"/>
        <v>#VALUE!</v>
      </c>
      <c r="O36" s="165" t="e">
        <f t="shared" si="7"/>
        <v>#VALUE!</v>
      </c>
      <c r="P36" s="165" t="e">
        <f t="shared" si="8"/>
        <v>#VALUE!</v>
      </c>
    </row>
    <row r="37" spans="1:19" x14ac:dyDescent="0.2">
      <c r="A37" s="61"/>
      <c r="B37" s="159"/>
      <c r="C37" s="60"/>
      <c r="D37" s="60"/>
      <c r="E37" s="138" t="str">
        <f t="shared" si="0"/>
        <v/>
      </c>
      <c r="F37" s="60"/>
      <c r="G37" s="160"/>
      <c r="H37" s="161" t="e">
        <f t="shared" si="1"/>
        <v>#VALUE!</v>
      </c>
      <c r="J37" s="162" t="e">
        <f t="shared" si="2"/>
        <v>#DIV/0!</v>
      </c>
      <c r="K37" s="163" t="e">
        <f t="shared" si="3"/>
        <v>#DIV/0!</v>
      </c>
      <c r="L37" s="164" t="e">
        <f t="shared" si="4"/>
        <v>#DIV/0!</v>
      </c>
      <c r="M37" s="162" t="e">
        <f t="shared" si="5"/>
        <v>#VALUE!</v>
      </c>
      <c r="N37" s="162" t="e">
        <f t="shared" si="6"/>
        <v>#VALUE!</v>
      </c>
      <c r="O37" s="165" t="e">
        <f t="shared" si="7"/>
        <v>#VALUE!</v>
      </c>
      <c r="P37" s="165" t="e">
        <f t="shared" si="8"/>
        <v>#VALUE!</v>
      </c>
      <c r="R37" s="115" t="s">
        <v>204</v>
      </c>
    </row>
    <row r="38" spans="1:19" x14ac:dyDescent="0.2">
      <c r="A38" s="61"/>
      <c r="B38" s="159"/>
      <c r="C38" s="60"/>
      <c r="D38" s="60"/>
      <c r="E38" s="138" t="str">
        <f t="shared" si="0"/>
        <v/>
      </c>
      <c r="F38" s="60"/>
      <c r="G38" s="160"/>
      <c r="H38" s="161" t="e">
        <f t="shared" si="1"/>
        <v>#VALUE!</v>
      </c>
      <c r="J38" s="162" t="e">
        <f t="shared" si="2"/>
        <v>#DIV/0!</v>
      </c>
      <c r="K38" s="163" t="e">
        <f t="shared" si="3"/>
        <v>#DIV/0!</v>
      </c>
      <c r="L38" s="164" t="e">
        <f t="shared" si="4"/>
        <v>#DIV/0!</v>
      </c>
      <c r="M38" s="162" t="e">
        <f t="shared" si="5"/>
        <v>#VALUE!</v>
      </c>
      <c r="N38" s="162" t="e">
        <f t="shared" si="6"/>
        <v>#VALUE!</v>
      </c>
      <c r="O38" s="165" t="e">
        <f t="shared" si="7"/>
        <v>#VALUE!</v>
      </c>
      <c r="P38" s="165" t="e">
        <f t="shared" si="8"/>
        <v>#VALUE!</v>
      </c>
      <c r="Q38" s="115" t="e">
        <f>P38/25.4</f>
        <v>#VALUE!</v>
      </c>
      <c r="R38" s="115" t="e">
        <f>Q38*1.3</f>
        <v>#VALUE!</v>
      </c>
      <c r="S38" s="115">
        <f>SQRT(6.25^2+6.25^2)</f>
        <v>8.8388347648318444</v>
      </c>
    </row>
    <row r="39" spans="1:19" x14ac:dyDescent="0.2">
      <c r="A39" s="61"/>
      <c r="B39" s="159"/>
      <c r="C39" s="60"/>
      <c r="D39" s="60"/>
      <c r="E39" s="138" t="str">
        <f t="shared" si="0"/>
        <v/>
      </c>
      <c r="F39" s="60"/>
      <c r="G39" s="160"/>
      <c r="H39" s="161" t="e">
        <f t="shared" si="1"/>
        <v>#VALUE!</v>
      </c>
      <c r="J39" s="162" t="e">
        <f t="shared" si="2"/>
        <v>#DIV/0!</v>
      </c>
      <c r="K39" s="163" t="e">
        <f t="shared" si="3"/>
        <v>#DIV/0!</v>
      </c>
      <c r="L39" s="164" t="e">
        <f t="shared" si="4"/>
        <v>#DIV/0!</v>
      </c>
      <c r="M39" s="162" t="e">
        <f t="shared" si="5"/>
        <v>#VALUE!</v>
      </c>
      <c r="N39" s="162" t="e">
        <f t="shared" si="6"/>
        <v>#VALUE!</v>
      </c>
      <c r="O39" s="165" t="e">
        <f t="shared" si="7"/>
        <v>#VALUE!</v>
      </c>
      <c r="P39" s="165" t="e">
        <f t="shared" si="8"/>
        <v>#VALUE!</v>
      </c>
      <c r="Q39" s="115" t="e">
        <f>P39*COS(PI()/4)/25.4</f>
        <v>#VALUE!</v>
      </c>
      <c r="R39" s="115" t="e">
        <f>Q39*1.3</f>
        <v>#VALUE!</v>
      </c>
    </row>
    <row r="40" spans="1:19" x14ac:dyDescent="0.2">
      <c r="A40" s="61"/>
      <c r="B40" s="159"/>
      <c r="C40" s="60"/>
      <c r="D40" s="60"/>
      <c r="E40" s="138" t="str">
        <f t="shared" si="0"/>
        <v/>
      </c>
      <c r="F40" s="60"/>
      <c r="G40" s="160"/>
      <c r="H40" s="161" t="e">
        <f t="shared" si="1"/>
        <v>#VALUE!</v>
      </c>
      <c r="J40" s="162" t="e">
        <f t="shared" si="2"/>
        <v>#DIV/0!</v>
      </c>
      <c r="K40" s="163" t="e">
        <f t="shared" si="3"/>
        <v>#DIV/0!</v>
      </c>
      <c r="L40" s="164" t="e">
        <f t="shared" si="4"/>
        <v>#DIV/0!</v>
      </c>
      <c r="M40" s="162" t="e">
        <f t="shared" si="5"/>
        <v>#VALUE!</v>
      </c>
      <c r="N40" s="162" t="e">
        <f t="shared" si="6"/>
        <v>#VALUE!</v>
      </c>
      <c r="O40" s="165" t="e">
        <f t="shared" si="7"/>
        <v>#VALUE!</v>
      </c>
      <c r="P40" s="165" t="e">
        <f t="shared" si="8"/>
        <v>#VALUE!</v>
      </c>
      <c r="Q40" s="115" t="e">
        <f>P40*COS(PI()/4)/25.4</f>
        <v>#VALUE!</v>
      </c>
      <c r="R40" s="115" t="e">
        <f>Q40*1.3</f>
        <v>#VALUE!</v>
      </c>
    </row>
    <row r="41" spans="1:19" x14ac:dyDescent="0.2">
      <c r="A41" s="61"/>
      <c r="B41" s="159"/>
      <c r="C41" s="60"/>
      <c r="D41" s="60"/>
      <c r="E41" s="138" t="str">
        <f t="shared" si="0"/>
        <v/>
      </c>
      <c r="F41" s="60"/>
      <c r="G41" s="160"/>
      <c r="H41" s="161" t="e">
        <f t="shared" si="1"/>
        <v>#VALUE!</v>
      </c>
      <c r="J41" s="162" t="e">
        <f t="shared" si="2"/>
        <v>#DIV/0!</v>
      </c>
      <c r="K41" s="163" t="e">
        <f t="shared" si="3"/>
        <v>#DIV/0!</v>
      </c>
      <c r="L41" s="164" t="e">
        <f t="shared" si="4"/>
        <v>#DIV/0!</v>
      </c>
      <c r="M41" s="162" t="e">
        <f t="shared" si="5"/>
        <v>#VALUE!</v>
      </c>
      <c r="N41" s="162" t="e">
        <f t="shared" si="6"/>
        <v>#VALUE!</v>
      </c>
      <c r="O41" s="165" t="e">
        <f t="shared" si="7"/>
        <v>#VALUE!</v>
      </c>
      <c r="P41" s="165" t="e">
        <f t="shared" si="8"/>
        <v>#VALUE!</v>
      </c>
    </row>
    <row r="42" spans="1:19" x14ac:dyDescent="0.2">
      <c r="A42" s="61"/>
      <c r="B42" s="60"/>
      <c r="C42" s="60"/>
      <c r="D42" s="60"/>
      <c r="E42" s="138" t="str">
        <f t="shared" si="0"/>
        <v/>
      </c>
      <c r="F42" s="60"/>
      <c r="G42" s="160"/>
      <c r="H42" s="161" t="e">
        <f t="shared" si="1"/>
        <v>#VALUE!</v>
      </c>
      <c r="J42" s="162" t="e">
        <f t="shared" si="2"/>
        <v>#DIV/0!</v>
      </c>
      <c r="K42" s="163" t="e">
        <f t="shared" si="3"/>
        <v>#DIV/0!</v>
      </c>
      <c r="L42" s="164" t="e">
        <f t="shared" si="4"/>
        <v>#DIV/0!</v>
      </c>
      <c r="M42" s="162" t="e">
        <f t="shared" si="5"/>
        <v>#VALUE!</v>
      </c>
      <c r="N42" s="162" t="e">
        <f t="shared" si="6"/>
        <v>#VALUE!</v>
      </c>
      <c r="O42" s="165" t="e">
        <f t="shared" si="7"/>
        <v>#VALUE!</v>
      </c>
      <c r="P42" s="165" t="e">
        <f t="shared" si="8"/>
        <v>#VALUE!</v>
      </c>
    </row>
    <row r="43" spans="1:19" x14ac:dyDescent="0.2">
      <c r="A43" s="61"/>
      <c r="B43" s="60"/>
      <c r="C43" s="60"/>
      <c r="D43" s="60"/>
      <c r="E43" s="138" t="str">
        <f t="shared" si="0"/>
        <v/>
      </c>
      <c r="F43" s="60"/>
      <c r="G43" s="160"/>
      <c r="H43" s="161" t="e">
        <f t="shared" si="1"/>
        <v>#VALUE!</v>
      </c>
      <c r="J43" s="162" t="e">
        <f t="shared" si="2"/>
        <v>#DIV/0!</v>
      </c>
      <c r="K43" s="163" t="e">
        <f t="shared" si="3"/>
        <v>#DIV/0!</v>
      </c>
      <c r="L43" s="164" t="e">
        <f t="shared" si="4"/>
        <v>#DIV/0!</v>
      </c>
      <c r="M43" s="162" t="e">
        <f t="shared" si="5"/>
        <v>#VALUE!</v>
      </c>
      <c r="N43" s="162" t="e">
        <f t="shared" si="6"/>
        <v>#VALUE!</v>
      </c>
      <c r="O43" s="165" t="e">
        <f t="shared" si="7"/>
        <v>#VALUE!</v>
      </c>
      <c r="P43" s="165" t="e">
        <f t="shared" si="8"/>
        <v>#VALUE!</v>
      </c>
    </row>
    <row r="44" spans="1:19" x14ac:dyDescent="0.2">
      <c r="A44" s="71"/>
      <c r="B44" s="36"/>
      <c r="C44" s="36"/>
      <c r="D44" s="36"/>
      <c r="E44" s="139" t="str">
        <f t="shared" si="0"/>
        <v/>
      </c>
      <c r="F44" s="36"/>
      <c r="G44" s="166"/>
      <c r="H44" s="167" t="e">
        <f t="shared" si="1"/>
        <v>#VALUE!</v>
      </c>
      <c r="J44" s="162" t="e">
        <f>+(G44/C44)^2</f>
        <v>#DIV/0!</v>
      </c>
      <c r="K44" s="163" t="e">
        <f t="shared" si="3"/>
        <v>#DIV/0!</v>
      </c>
      <c r="L44" s="164" t="e">
        <f t="shared" si="4"/>
        <v>#DIV/0!</v>
      </c>
      <c r="M44" s="162" t="e">
        <f t="shared" si="5"/>
        <v>#VALUE!</v>
      </c>
      <c r="N44" s="162" t="e">
        <f t="shared" si="6"/>
        <v>#VALUE!</v>
      </c>
      <c r="O44" s="165" t="e">
        <f t="shared" si="7"/>
        <v>#VALUE!</v>
      </c>
      <c r="P44" s="165" t="e">
        <f t="shared" si="8"/>
        <v>#VALUE!</v>
      </c>
    </row>
    <row r="45" spans="1:19" x14ac:dyDescent="0.2">
      <c r="I45" s="168"/>
      <c r="J45" s="162"/>
      <c r="K45" s="138"/>
      <c r="L45" s="164"/>
      <c r="M45" s="162"/>
      <c r="N45" s="162"/>
      <c r="O45" s="165"/>
    </row>
    <row r="46" spans="1:19" x14ac:dyDescent="0.2">
      <c r="I46" s="168"/>
      <c r="J46" s="162"/>
      <c r="K46" s="138"/>
      <c r="L46" s="164"/>
      <c r="M46" s="162"/>
      <c r="N46" s="162"/>
      <c r="O46" s="165"/>
    </row>
    <row r="47" spans="1:19" x14ac:dyDescent="0.2">
      <c r="J47" s="162"/>
      <c r="K47" s="138"/>
      <c r="L47" s="164"/>
      <c r="M47" s="162"/>
      <c r="N47" s="162"/>
      <c r="O47" s="165"/>
    </row>
    <row r="48" spans="1:19" x14ac:dyDescent="0.2">
      <c r="J48" s="162"/>
      <c r="K48" s="138"/>
      <c r="L48" s="164"/>
      <c r="M48" s="162"/>
      <c r="N48" s="162"/>
      <c r="O48" s="165"/>
    </row>
    <row r="49" spans="1:15" x14ac:dyDescent="0.2">
      <c r="A49" s="115" t="s">
        <v>205</v>
      </c>
      <c r="J49" s="162"/>
      <c r="K49" s="138"/>
      <c r="L49" s="164"/>
      <c r="M49" s="162"/>
      <c r="N49" s="162"/>
      <c r="O49" s="165"/>
    </row>
    <row r="50" spans="1:15" x14ac:dyDescent="0.2">
      <c r="A50" s="115" t="s">
        <v>206</v>
      </c>
      <c r="J50" s="162"/>
      <c r="K50" s="138"/>
      <c r="L50" s="164"/>
      <c r="M50" s="162"/>
      <c r="N50" s="162"/>
      <c r="O50" s="165"/>
    </row>
    <row r="51" spans="1:15" x14ac:dyDescent="0.2">
      <c r="J51" s="162"/>
      <c r="K51" s="138"/>
      <c r="L51" s="164"/>
      <c r="M51" s="162"/>
      <c r="N51" s="162"/>
      <c r="O51" s="165"/>
    </row>
    <row r="52" spans="1:15" x14ac:dyDescent="0.2">
      <c r="J52" s="162"/>
      <c r="K52" s="138"/>
      <c r="L52" s="164"/>
      <c r="M52" s="162"/>
      <c r="N52" s="162"/>
      <c r="O52" s="165"/>
    </row>
    <row r="53" spans="1:15" x14ac:dyDescent="0.2">
      <c r="J53" s="162"/>
      <c r="K53" s="138"/>
      <c r="L53" s="164"/>
      <c r="M53" s="162"/>
      <c r="N53" s="162"/>
      <c r="O53" s="165"/>
    </row>
    <row r="54" spans="1:15" x14ac:dyDescent="0.2">
      <c r="J54" s="162"/>
      <c r="K54" s="138"/>
      <c r="L54" s="164"/>
      <c r="M54" s="162"/>
      <c r="N54" s="162"/>
      <c r="O54" s="165"/>
    </row>
    <row r="55" spans="1:15" x14ac:dyDescent="0.2">
      <c r="J55" s="162"/>
      <c r="K55" s="138"/>
      <c r="L55" s="164"/>
      <c r="M55" s="162"/>
      <c r="N55" s="162"/>
      <c r="O55" s="165"/>
    </row>
    <row r="56" spans="1:15" x14ac:dyDescent="0.2">
      <c r="J56" s="162"/>
      <c r="K56" s="138"/>
      <c r="L56" s="164"/>
      <c r="M56" s="162"/>
      <c r="N56" s="162"/>
      <c r="O56" s="165"/>
    </row>
    <row r="57" spans="1:15" x14ac:dyDescent="0.2">
      <c r="J57" s="162"/>
      <c r="K57" s="138"/>
      <c r="L57" s="164"/>
      <c r="M57" s="162"/>
      <c r="N57" s="162"/>
      <c r="O57" s="165"/>
    </row>
    <row r="58" spans="1:15" x14ac:dyDescent="0.2">
      <c r="J58" s="162"/>
      <c r="K58" s="138"/>
      <c r="L58" s="164"/>
      <c r="M58" s="162"/>
      <c r="N58" s="162"/>
      <c r="O58" s="165"/>
    </row>
    <row r="59" spans="1:15" x14ac:dyDescent="0.2">
      <c r="J59" s="162"/>
      <c r="K59" s="138"/>
      <c r="L59" s="164"/>
      <c r="M59" s="162"/>
      <c r="N59" s="162"/>
      <c r="O59" s="165"/>
    </row>
    <row r="60" spans="1:15" x14ac:dyDescent="0.2">
      <c r="J60" s="162"/>
      <c r="K60" s="138"/>
      <c r="L60" s="164"/>
      <c r="M60" s="162"/>
      <c r="N60" s="162"/>
      <c r="O60" s="165"/>
    </row>
    <row r="61" spans="1:15" x14ac:dyDescent="0.2">
      <c r="J61" s="162"/>
      <c r="K61" s="138"/>
      <c r="L61" s="164"/>
      <c r="M61" s="162"/>
      <c r="N61" s="162"/>
      <c r="O61" s="165"/>
    </row>
    <row r="62" spans="1:15" x14ac:dyDescent="0.2">
      <c r="J62" s="162"/>
      <c r="K62" s="138"/>
      <c r="L62" s="164"/>
      <c r="M62" s="162"/>
      <c r="N62" s="162"/>
      <c r="O62" s="165"/>
    </row>
  </sheetData>
  <mergeCells count="3">
    <mergeCell ref="J27:J28"/>
    <mergeCell ref="P19:R19"/>
    <mergeCell ref="S19:U19"/>
  </mergeCells>
  <conditionalFormatting sqref="H29:H40">
    <cfRule type="cellIs" dxfId="1" priority="2" operator="greaterThan">
      <formula>2.38</formula>
    </cfRule>
  </conditionalFormatting>
  <conditionalFormatting sqref="H29:H44">
    <cfRule type="cellIs" dxfId="0" priority="3" operator="greaterThan">
      <formula>1.5</formula>
    </cfRule>
  </conditionalFormatting>
  <dataValidations disablePrompts="1" count="1">
    <dataValidation operator="equal" allowBlank="1" showErrorMessage="1" sqref="C19" xr:uid="{00000000-0002-0000-0200-000000000000}">
      <formula1>0</formula1>
      <formula2>0</formula2>
    </dataValidation>
  </dataValidations>
  <pageMargins left="0.75" right="0.75" top="1" bottom="1" header="0.511811023622047" footer="0.511811023622047"/>
  <pageSetup fitToHeight="3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9"/>
  <sheetViews>
    <sheetView zoomScale="75" zoomScaleNormal="75" workbookViewId="0">
      <selection activeCell="M13" sqref="M13"/>
    </sheetView>
  </sheetViews>
  <sheetFormatPr defaultColWidth="10.6640625" defaultRowHeight="15.75" x14ac:dyDescent="0.25"/>
  <cols>
    <col min="1" max="1" width="17.6640625" style="169" customWidth="1"/>
    <col min="2" max="2" width="14" style="169" customWidth="1"/>
    <col min="3" max="3" width="10.6640625" style="169"/>
    <col min="4" max="4" width="12.6640625" style="169" customWidth="1"/>
    <col min="5" max="5" width="14" style="169" customWidth="1"/>
    <col min="6" max="6" width="15.83203125" style="169" customWidth="1"/>
    <col min="7" max="19" width="10.6640625" style="169"/>
    <col min="20" max="20" width="11" style="169" customWidth="1"/>
    <col min="21" max="21" width="13.1640625" style="169" customWidth="1"/>
    <col min="22" max="22" width="11" style="169" customWidth="1"/>
    <col min="23" max="16384" width="10.6640625" style="169"/>
  </cols>
  <sheetData>
    <row r="1" spans="1:22" x14ac:dyDescent="0.25">
      <c r="D1" s="170" t="s">
        <v>207</v>
      </c>
      <c r="I1" s="171" t="s">
        <v>208</v>
      </c>
      <c r="M1" s="172" t="s">
        <v>1</v>
      </c>
    </row>
    <row r="2" spans="1:22" x14ac:dyDescent="0.25">
      <c r="A2" s="173" t="s">
        <v>209</v>
      </c>
      <c r="L2" s="172" t="s">
        <v>3</v>
      </c>
      <c r="M2" s="169" t="s">
        <v>4</v>
      </c>
    </row>
    <row r="3" spans="1:22" x14ac:dyDescent="0.25">
      <c r="A3" s="173"/>
      <c r="L3" s="172" t="s">
        <v>5</v>
      </c>
      <c r="M3" s="169" t="s">
        <v>6</v>
      </c>
    </row>
    <row r="4" spans="1:22" x14ac:dyDescent="0.25">
      <c r="A4" s="173"/>
      <c r="L4" s="172" t="s">
        <v>11</v>
      </c>
      <c r="M4" s="169" t="s">
        <v>12</v>
      </c>
    </row>
    <row r="5" spans="1:22" x14ac:dyDescent="0.25">
      <c r="A5" s="169" t="s">
        <v>210</v>
      </c>
      <c r="B5" s="174">
        <v>43557</v>
      </c>
      <c r="D5" s="175" t="s">
        <v>211</v>
      </c>
      <c r="E5" s="176"/>
      <c r="L5" s="172" t="s">
        <v>16</v>
      </c>
      <c r="M5" s="169" t="s">
        <v>17</v>
      </c>
    </row>
    <row r="6" spans="1:22" x14ac:dyDescent="0.25">
      <c r="L6" s="172" t="s">
        <v>19</v>
      </c>
      <c r="M6" s="169" t="s">
        <v>20</v>
      </c>
    </row>
    <row r="7" spans="1:22" x14ac:dyDescent="0.25">
      <c r="A7" s="173" t="s">
        <v>212</v>
      </c>
      <c r="L7" s="172" t="s">
        <v>23</v>
      </c>
      <c r="M7" s="169" t="s">
        <v>24</v>
      </c>
    </row>
    <row r="8" spans="1:22" x14ac:dyDescent="0.25">
      <c r="L8" s="172" t="s">
        <v>27</v>
      </c>
      <c r="M8" s="169" t="s">
        <v>28</v>
      </c>
    </row>
    <row r="9" spans="1:22" x14ac:dyDescent="0.25">
      <c r="A9" s="169" t="s">
        <v>213</v>
      </c>
      <c r="L9" s="172" t="s">
        <v>31</v>
      </c>
      <c r="M9" s="169" t="s">
        <v>32</v>
      </c>
      <c r="R9" s="177"/>
    </row>
    <row r="10" spans="1:22" x14ac:dyDescent="0.25">
      <c r="V10" s="169" t="s">
        <v>7</v>
      </c>
    </row>
    <row r="11" spans="1:22" x14ac:dyDescent="0.25">
      <c r="L11" s="178" t="s">
        <v>39</v>
      </c>
      <c r="T11" s="179" t="s">
        <v>13</v>
      </c>
      <c r="U11" s="179" t="s">
        <v>14</v>
      </c>
      <c r="V11" s="179" t="s">
        <v>15</v>
      </c>
    </row>
    <row r="12" spans="1:22" x14ac:dyDescent="0.25">
      <c r="A12" s="169" t="s">
        <v>214</v>
      </c>
      <c r="B12" s="169" t="s">
        <v>215</v>
      </c>
      <c r="F12" s="169" t="s">
        <v>216</v>
      </c>
      <c r="L12" s="180" t="s">
        <v>40</v>
      </c>
      <c r="M12" s="181" t="s">
        <v>41</v>
      </c>
      <c r="N12" s="181" t="s">
        <v>42</v>
      </c>
      <c r="O12" s="181" t="s">
        <v>43</v>
      </c>
      <c r="P12" s="182" t="s">
        <v>45</v>
      </c>
      <c r="Q12" s="182" t="s">
        <v>46</v>
      </c>
      <c r="T12" s="169">
        <v>-25.4</v>
      </c>
      <c r="U12" s="169">
        <v>-1</v>
      </c>
      <c r="V12" s="183" t="s">
        <v>18</v>
      </c>
    </row>
    <row r="13" spans="1:22" x14ac:dyDescent="0.25">
      <c r="L13" s="184" t="s">
        <v>49</v>
      </c>
      <c r="M13" s="185" t="str">
        <f>IF(RefkV="","",VLOOKUP(RefkV,FitParameters!$A$5:$AF$30,2))</f>
        <v/>
      </c>
      <c r="N13" s="185" t="str">
        <f>IF(RefkV="","",VLOOKUP(RefkV,FitParameters!$A$5:$AF$30,3))</f>
        <v/>
      </c>
      <c r="O13" s="185" t="str">
        <f>IF(RefkV="","",VLOOKUP(RefkV,FitParameters!$A$5:$AF$30,4))</f>
        <v/>
      </c>
      <c r="P13" s="185" t="str">
        <f>IF(RefkV="","",VLOOKUP(RefkV,FitParameters!$A$5:$AF$30,5))</f>
        <v/>
      </c>
      <c r="Q13" s="185" t="str">
        <f>IF(RefkV="","",VLOOKUP(RefkV,FitParameters!$A$5:$AF$30,6))</f>
        <v/>
      </c>
      <c r="T13" s="169">
        <v>0</v>
      </c>
      <c r="U13" s="169">
        <v>0</v>
      </c>
      <c r="V13" s="186" t="s">
        <v>21</v>
      </c>
    </row>
    <row r="14" spans="1:22" x14ac:dyDescent="0.25">
      <c r="B14" s="169" t="s">
        <v>217</v>
      </c>
      <c r="F14" s="169" t="s">
        <v>188</v>
      </c>
      <c r="G14" s="169" t="s">
        <v>187</v>
      </c>
      <c r="L14" s="184" t="s">
        <v>51</v>
      </c>
      <c r="M14" s="185" t="str">
        <f>IF(RefkV="","",VLOOKUP(RefkV,FitParameters!$A$5:$AF$30,7))</f>
        <v/>
      </c>
      <c r="N14" s="185" t="str">
        <f>IF(RefkV="","",VLOOKUP(RefkV,FitParameters!$A$5:$AF$30,8))</f>
        <v/>
      </c>
      <c r="O14" s="185" t="str">
        <f>IF(RefkV="","",VLOOKUP(RefkV,FitParameters!$A$5:$AF$30,9))</f>
        <v/>
      </c>
      <c r="P14" s="185" t="str">
        <f>IF(RefkV="","",VLOOKUP(RefkV,FitParameters!$A$5:$AF$30,10))</f>
        <v/>
      </c>
      <c r="Q14" s="185" t="str">
        <f>IF(RefkV="","",VLOOKUP(RefkV,FitParameters!$A$5:$AF$30,11))</f>
        <v/>
      </c>
      <c r="T14" s="169">
        <v>9.9218750999999994E-2</v>
      </c>
      <c r="U14" s="187">
        <v>3.90625E-3</v>
      </c>
      <c r="V14" s="186">
        <v>7.8125E-3</v>
      </c>
    </row>
    <row r="15" spans="1:22" x14ac:dyDescent="0.25">
      <c r="B15" s="169" t="s">
        <v>218</v>
      </c>
      <c r="C15" s="169" t="s">
        <v>181</v>
      </c>
      <c r="D15" s="169" t="s">
        <v>219</v>
      </c>
      <c r="E15" s="169" t="s">
        <v>220</v>
      </c>
      <c r="F15" s="169" t="s">
        <v>194</v>
      </c>
      <c r="G15" s="169" t="s">
        <v>221</v>
      </c>
      <c r="H15" s="169" t="s">
        <v>222</v>
      </c>
      <c r="L15" s="188" t="s">
        <v>53</v>
      </c>
      <c r="M15" s="185" t="str">
        <f>IF(RefkV="","",VLOOKUP(RefkV,FitParameters!$A$5:$AF$30,12))</f>
        <v/>
      </c>
      <c r="N15" s="185" t="str">
        <f>IF(RefkV="","",VLOOKUP(RefkV,FitParameters!$A$5:$AF$30,13))</f>
        <v/>
      </c>
      <c r="O15" s="185" t="str">
        <f>IF(RefkV="","",VLOOKUP(RefkV,FitParameters!$A$5:$AF$30,14))</f>
        <v/>
      </c>
      <c r="P15" s="185" t="str">
        <f>IF(RefkV="","",VLOOKUP(RefkV,FitParameters!$A$5:$AF$30,15))</f>
        <v/>
      </c>
      <c r="Q15" s="185" t="str">
        <f>IF(RefkV="","",VLOOKUP(RefkV,FitParameters!$A$5:$AF$30,16))</f>
        <v/>
      </c>
      <c r="T15" s="169">
        <v>0.19843750099999999</v>
      </c>
      <c r="U15" s="187">
        <v>7.8125E-3</v>
      </c>
      <c r="V15" s="186">
        <v>1.5625E-2</v>
      </c>
    </row>
    <row r="16" spans="1:22" x14ac:dyDescent="0.25">
      <c r="B16" s="189"/>
      <c r="C16" s="189"/>
      <c r="D16" s="189"/>
      <c r="E16" s="189"/>
      <c r="F16" s="190"/>
      <c r="G16" s="189"/>
      <c r="H16" s="169" t="str">
        <f>IF(NOT(OR(B16="",D16="")),RefExp/(D16*B16/1000),IF(E16="","",RefExp/E16))</f>
        <v/>
      </c>
      <c r="L16" s="188" t="s">
        <v>55</v>
      </c>
      <c r="M16" s="185" t="str">
        <f>IF(RefkV="","",VLOOKUP(RefkV,FitParameters!$A$5:$AF$30,17))</f>
        <v/>
      </c>
      <c r="N16" s="185" t="str">
        <f>IF(RefkV="","",VLOOKUP(RefkV,FitParameters!$A$5:$AF$30,18))</f>
        <v/>
      </c>
      <c r="O16" s="185" t="str">
        <f>IF(RefkV="","",VLOOKUP(RefkV,FitParameters!$A$5:$AF$30,19))</f>
        <v/>
      </c>
      <c r="P16" s="185" t="str">
        <f>IF(RefkV="","",VLOOKUP(RefkV,FitParameters!$A$5:$AF$30,20))</f>
        <v/>
      </c>
      <c r="Q16" s="185" t="str">
        <f>IF(RefkV="","",VLOOKUP(RefkV,FitParameters!$A$5:$AF$30,21))</f>
        <v/>
      </c>
      <c r="T16" s="169">
        <v>0.39687500100000001</v>
      </c>
      <c r="U16" s="187">
        <v>1.5625E-2</v>
      </c>
      <c r="V16" s="186">
        <v>3.125E-2</v>
      </c>
    </row>
    <row r="17" spans="1:22" x14ac:dyDescent="0.25">
      <c r="L17" s="188" t="s">
        <v>58</v>
      </c>
      <c r="M17" s="185" t="str">
        <f>IF(RefkV="","",VLOOKUP(RefkV,FitParameters!$A$5:$AF$30,22))</f>
        <v/>
      </c>
      <c r="N17" s="185" t="str">
        <f>IF(RefkV="","",VLOOKUP(RefkV,FitParameters!$A$5:$AF$30,23))</f>
        <v/>
      </c>
      <c r="O17" s="185" t="str">
        <f>IF(RefkV="","",VLOOKUP(RefkV,FitParameters!$A$5:$AF$30,24))</f>
        <v/>
      </c>
      <c r="P17" s="185" t="str">
        <f>IF(RefkV="","",VLOOKUP(RefkV,FitParameters!$A$5:$AF$30,25))</f>
        <v/>
      </c>
      <c r="Q17" s="185" t="str">
        <f>IF(RefkV="","",VLOOKUP(RefkV,FitParameters!$A$5:$AF$30,26))</f>
        <v/>
      </c>
      <c r="T17" s="169">
        <v>0.59531250099999999</v>
      </c>
      <c r="U17" s="187">
        <v>2.34375E-2</v>
      </c>
      <c r="V17" s="186">
        <v>3.125E-2</v>
      </c>
    </row>
    <row r="18" spans="1:22" ht="15" customHeight="1" x14ac:dyDescent="0.25">
      <c r="D18" s="169" t="s">
        <v>223</v>
      </c>
      <c r="E18" s="169" t="s">
        <v>224</v>
      </c>
      <c r="F18" s="240" t="s">
        <v>225</v>
      </c>
      <c r="L18" s="188" t="s">
        <v>59</v>
      </c>
      <c r="M18" s="185" t="str">
        <f>IF(RefkV="","",VLOOKUP(RefkV,FitParameters!$A$5:$AF$30,27))</f>
        <v/>
      </c>
      <c r="N18" s="185" t="str">
        <f>IF(RefkV="","",VLOOKUP(RefkV,FitParameters!$A$5:$AF$30,28))</f>
        <v/>
      </c>
      <c r="O18" s="185" t="str">
        <f>IF(RefkV="","",VLOOKUP(RefkV,FitParameters!$A$5:$AF$30,29))</f>
        <v/>
      </c>
      <c r="P18" s="185" t="str">
        <f>IF(RefkV="","",VLOOKUP(RefkV,FitParameters!$A$5:$AF$30,30))</f>
        <v/>
      </c>
      <c r="Q18" s="185" t="str">
        <f>IF(RefkV="","",VLOOKUP(RefkV,FitParameters!$A$5:$AF$30,31))</f>
        <v/>
      </c>
      <c r="T18" s="169">
        <v>0.79375000100000004</v>
      </c>
      <c r="U18" s="187">
        <v>3.125E-2</v>
      </c>
      <c r="V18" s="186">
        <v>3.125E-2</v>
      </c>
    </row>
    <row r="19" spans="1:22" ht="15.75" customHeight="1" x14ac:dyDescent="0.25">
      <c r="C19" s="169" t="s">
        <v>188</v>
      </c>
      <c r="D19" s="169" t="s">
        <v>187</v>
      </c>
      <c r="E19" s="169" t="s">
        <v>187</v>
      </c>
      <c r="F19" s="240"/>
      <c r="G19" s="169" t="s">
        <v>49</v>
      </c>
      <c r="H19" s="169" t="s">
        <v>49</v>
      </c>
      <c r="T19" s="169">
        <v>0.99218750099999997</v>
      </c>
      <c r="U19" s="187">
        <v>3.90625E-2</v>
      </c>
      <c r="V19" s="186">
        <v>6.25E-2</v>
      </c>
    </row>
    <row r="20" spans="1:22" x14ac:dyDescent="0.25">
      <c r="A20" s="191" t="s">
        <v>68</v>
      </c>
      <c r="B20" s="191" t="s">
        <v>220</v>
      </c>
      <c r="C20" s="191" t="s">
        <v>194</v>
      </c>
      <c r="D20" s="191" t="s">
        <v>221</v>
      </c>
      <c r="E20" s="191" t="s">
        <v>226</v>
      </c>
      <c r="F20" s="240"/>
      <c r="G20" s="191" t="s">
        <v>199</v>
      </c>
      <c r="H20" s="191" t="s">
        <v>227</v>
      </c>
      <c r="L20" s="241" t="s">
        <v>228</v>
      </c>
      <c r="M20" s="241"/>
      <c r="N20" s="241"/>
      <c r="O20" s="241"/>
      <c r="P20" s="241"/>
      <c r="Q20" s="241"/>
      <c r="R20" s="241"/>
      <c r="T20" s="169">
        <v>1.1906250009999999</v>
      </c>
      <c r="U20" s="187">
        <v>4.6875E-2</v>
      </c>
      <c r="V20" s="186">
        <v>6.25E-2</v>
      </c>
    </row>
    <row r="21" spans="1:22" x14ac:dyDescent="0.25">
      <c r="A21" s="189"/>
      <c r="B21" s="189"/>
      <c r="C21" s="190"/>
      <c r="D21" s="192" t="str">
        <f t="shared" ref="D21:D30" si="0">IF(A21="","",B21*RefOutput*(RefDist/C21)^2)</f>
        <v/>
      </c>
      <c r="E21" s="193"/>
      <c r="F21" s="194" t="str">
        <f t="shared" ref="F21:F30" si="1">IF(OR(D21="TBD",D21=""),"",E21/(D21*1000))</f>
        <v/>
      </c>
      <c r="G21" s="195" t="str">
        <f t="shared" ref="G21:G30" si="2">IF(M22="","",M22)</f>
        <v/>
      </c>
      <c r="H21" s="196" t="str">
        <f t="shared" ref="H21:H30" si="3">IF(M22="","",VLOOKUP(G21,$T$12:$U$49,2))</f>
        <v/>
      </c>
      <c r="L21" s="172" t="s">
        <v>229</v>
      </c>
      <c r="M21" s="172" t="s">
        <v>49</v>
      </c>
      <c r="N21" s="172" t="s">
        <v>51</v>
      </c>
      <c r="O21" s="172" t="s">
        <v>53</v>
      </c>
      <c r="P21" s="172" t="s">
        <v>55</v>
      </c>
      <c r="Q21" s="172" t="s">
        <v>58</v>
      </c>
      <c r="R21" s="172" t="s">
        <v>59</v>
      </c>
      <c r="T21" s="169">
        <v>1.3890625009999999</v>
      </c>
      <c r="U21" s="187">
        <v>5.46875E-2</v>
      </c>
      <c r="V21" s="186">
        <v>6.25E-2</v>
      </c>
    </row>
    <row r="22" spans="1:22" x14ac:dyDescent="0.25">
      <c r="A22" s="189"/>
      <c r="B22" s="189"/>
      <c r="C22" s="190"/>
      <c r="D22" s="192" t="str">
        <f t="shared" si="0"/>
        <v/>
      </c>
      <c r="E22" s="193"/>
      <c r="F22" s="194" t="str">
        <f t="shared" si="1"/>
        <v/>
      </c>
      <c r="G22" s="195" t="str">
        <f t="shared" si="2"/>
        <v/>
      </c>
      <c r="H22" s="196" t="str">
        <f t="shared" si="3"/>
        <v/>
      </c>
      <c r="L22" s="197" t="str">
        <f t="shared" ref="L22:L31" si="4">IF(F21="","",F21)</f>
        <v/>
      </c>
      <c r="M22" s="197" t="str">
        <f t="shared" ref="M22:M31" si="5">IF($L22="","",LN(($L22^(-$O$13)+($N$13/$M$13))/(1+$N$13/$M$13))/($M$13*$O$13))</f>
        <v/>
      </c>
      <c r="N22" s="197" t="str">
        <f t="shared" ref="N22:N31" si="6">IF($L22="","",LN(($L22^(-$O$14)+($N$14/$M$14))/(1+$N$14/$M$14))/($M$14*$O$14))</f>
        <v/>
      </c>
      <c r="O22" s="197" t="str">
        <f t="shared" ref="O22:O31" si="7">IF($L22="","",LN(($L22^(-$O$15)+($N$15/$M$15))/(1+$N$15/$M$15))/($M$15*$O$15))</f>
        <v/>
      </c>
      <c r="P22" s="197" t="str">
        <f t="shared" ref="P22:P31" si="8">IF($L22="","",LN(($L22^(-$O$16)+($N$16/$M$16))/(1+$N$16/$M$16))/($M$16*$O$16))</f>
        <v/>
      </c>
      <c r="Q22" s="197" t="str">
        <f t="shared" ref="Q22:Q31" si="9">IF($L22="","",LN(($L22^(-$O$17)+($N$17/$M$17))/(1+$N$17/$M$17))/($M$17*$O$17))</f>
        <v/>
      </c>
      <c r="R22" s="197" t="str">
        <f t="shared" ref="R22:R31" si="10">IF($L22="","",LN(($L22^(-$O$18)+($N$18/$M$18))/(1+$N$18/$M$18))/($M$18*$O$18))</f>
        <v/>
      </c>
      <c r="T22" s="169">
        <v>1.587500001</v>
      </c>
      <c r="U22" s="187">
        <v>6.25E-2</v>
      </c>
      <c r="V22" s="186">
        <v>6.25E-2</v>
      </c>
    </row>
    <row r="23" spans="1:22" x14ac:dyDescent="0.25">
      <c r="A23" s="189"/>
      <c r="B23" s="189"/>
      <c r="C23" s="190"/>
      <c r="D23" s="192" t="str">
        <f t="shared" si="0"/>
        <v/>
      </c>
      <c r="E23" s="193"/>
      <c r="F23" s="194" t="str">
        <f t="shared" si="1"/>
        <v/>
      </c>
      <c r="G23" s="195" t="str">
        <f t="shared" si="2"/>
        <v/>
      </c>
      <c r="H23" s="196" t="str">
        <f t="shared" si="3"/>
        <v/>
      </c>
      <c r="L23" s="197" t="str">
        <f t="shared" si="4"/>
        <v/>
      </c>
      <c r="M23" s="197" t="str">
        <f t="shared" si="5"/>
        <v/>
      </c>
      <c r="N23" s="197" t="str">
        <f t="shared" si="6"/>
        <v/>
      </c>
      <c r="O23" s="197" t="str">
        <f t="shared" si="7"/>
        <v/>
      </c>
      <c r="P23" s="197" t="str">
        <f t="shared" si="8"/>
        <v/>
      </c>
      <c r="Q23" s="197" t="str">
        <f t="shared" si="9"/>
        <v/>
      </c>
      <c r="R23" s="197" t="str">
        <f t="shared" si="10"/>
        <v/>
      </c>
      <c r="T23" s="169">
        <v>1.785937501</v>
      </c>
      <c r="U23" s="187">
        <v>7.03125E-2</v>
      </c>
      <c r="V23" s="186">
        <v>9.375E-2</v>
      </c>
    </row>
    <row r="24" spans="1:22" x14ac:dyDescent="0.25">
      <c r="A24" s="189"/>
      <c r="B24" s="189"/>
      <c r="C24" s="190"/>
      <c r="D24" s="192" t="str">
        <f t="shared" si="0"/>
        <v/>
      </c>
      <c r="E24" s="193"/>
      <c r="F24" s="194" t="str">
        <f t="shared" si="1"/>
        <v/>
      </c>
      <c r="G24" s="195" t="str">
        <f t="shared" si="2"/>
        <v/>
      </c>
      <c r="H24" s="196" t="str">
        <f t="shared" si="3"/>
        <v/>
      </c>
      <c r="L24" s="197" t="str">
        <f t="shared" si="4"/>
        <v/>
      </c>
      <c r="M24" s="197" t="str">
        <f t="shared" si="5"/>
        <v/>
      </c>
      <c r="N24" s="197" t="str">
        <f t="shared" si="6"/>
        <v/>
      </c>
      <c r="O24" s="197" t="str">
        <f t="shared" si="7"/>
        <v/>
      </c>
      <c r="P24" s="197" t="str">
        <f t="shared" si="8"/>
        <v/>
      </c>
      <c r="Q24" s="197" t="str">
        <f t="shared" si="9"/>
        <v/>
      </c>
      <c r="R24" s="197" t="str">
        <f t="shared" si="10"/>
        <v/>
      </c>
      <c r="T24" s="169">
        <v>1.9843750010000001</v>
      </c>
      <c r="U24" s="187">
        <v>7.8125E-2</v>
      </c>
      <c r="V24" s="186">
        <v>9.375E-2</v>
      </c>
    </row>
    <row r="25" spans="1:22" x14ac:dyDescent="0.25">
      <c r="A25" s="189"/>
      <c r="B25" s="189"/>
      <c r="C25" s="190"/>
      <c r="D25" s="192" t="str">
        <f t="shared" si="0"/>
        <v/>
      </c>
      <c r="E25" s="193"/>
      <c r="F25" s="194" t="str">
        <f t="shared" si="1"/>
        <v/>
      </c>
      <c r="G25" s="195" t="str">
        <f t="shared" si="2"/>
        <v/>
      </c>
      <c r="H25" s="196" t="str">
        <f t="shared" si="3"/>
        <v/>
      </c>
      <c r="L25" s="197" t="str">
        <f t="shared" si="4"/>
        <v/>
      </c>
      <c r="M25" s="197" t="str">
        <f t="shared" si="5"/>
        <v/>
      </c>
      <c r="N25" s="197" t="str">
        <f t="shared" si="6"/>
        <v/>
      </c>
      <c r="O25" s="197" t="str">
        <f t="shared" si="7"/>
        <v/>
      </c>
      <c r="P25" s="197" t="str">
        <f t="shared" si="8"/>
        <v/>
      </c>
      <c r="Q25" s="197" t="str">
        <f t="shared" si="9"/>
        <v/>
      </c>
      <c r="R25" s="197" t="str">
        <f t="shared" si="10"/>
        <v/>
      </c>
      <c r="T25" s="169">
        <v>2.1828125009999999</v>
      </c>
      <c r="U25" s="187">
        <v>8.59375E-2</v>
      </c>
      <c r="V25" s="186">
        <v>9.375E-2</v>
      </c>
    </row>
    <row r="26" spans="1:22" x14ac:dyDescent="0.25">
      <c r="A26" s="189"/>
      <c r="B26" s="189"/>
      <c r="C26" s="190"/>
      <c r="D26" s="192" t="str">
        <f t="shared" si="0"/>
        <v/>
      </c>
      <c r="E26" s="193"/>
      <c r="F26" s="194" t="str">
        <f t="shared" si="1"/>
        <v/>
      </c>
      <c r="G26" s="195" t="str">
        <f t="shared" si="2"/>
        <v/>
      </c>
      <c r="H26" s="196" t="str">
        <f t="shared" si="3"/>
        <v/>
      </c>
      <c r="L26" s="197" t="str">
        <f t="shared" si="4"/>
        <v/>
      </c>
      <c r="M26" s="197" t="str">
        <f t="shared" si="5"/>
        <v/>
      </c>
      <c r="N26" s="197" t="str">
        <f t="shared" si="6"/>
        <v/>
      </c>
      <c r="O26" s="197" t="str">
        <f t="shared" si="7"/>
        <v/>
      </c>
      <c r="P26" s="197" t="str">
        <f t="shared" si="8"/>
        <v/>
      </c>
      <c r="Q26" s="197" t="str">
        <f t="shared" si="9"/>
        <v/>
      </c>
      <c r="R26" s="197" t="str">
        <f t="shared" si="10"/>
        <v/>
      </c>
      <c r="T26" s="169">
        <v>2.3812500010000002</v>
      </c>
      <c r="U26" s="187">
        <v>9.375E-2</v>
      </c>
      <c r="V26" s="186">
        <v>9.375E-2</v>
      </c>
    </row>
    <row r="27" spans="1:22" x14ac:dyDescent="0.25">
      <c r="A27" s="189"/>
      <c r="B27" s="189"/>
      <c r="C27" s="190"/>
      <c r="D27" s="192" t="str">
        <f t="shared" si="0"/>
        <v/>
      </c>
      <c r="E27" s="193"/>
      <c r="F27" s="194" t="str">
        <f t="shared" si="1"/>
        <v/>
      </c>
      <c r="G27" s="195" t="str">
        <f t="shared" si="2"/>
        <v/>
      </c>
      <c r="H27" s="196" t="str">
        <f t="shared" si="3"/>
        <v/>
      </c>
      <c r="L27" s="197" t="str">
        <f t="shared" si="4"/>
        <v/>
      </c>
      <c r="M27" s="197" t="str">
        <f t="shared" si="5"/>
        <v/>
      </c>
      <c r="N27" s="197" t="str">
        <f t="shared" si="6"/>
        <v/>
      </c>
      <c r="O27" s="197" t="str">
        <f t="shared" si="7"/>
        <v/>
      </c>
      <c r="P27" s="197" t="str">
        <f t="shared" si="8"/>
        <v/>
      </c>
      <c r="Q27" s="197" t="str">
        <f t="shared" si="9"/>
        <v/>
      </c>
      <c r="R27" s="197" t="str">
        <f t="shared" si="10"/>
        <v/>
      </c>
      <c r="T27" s="169">
        <v>2.579687501</v>
      </c>
      <c r="U27" s="187">
        <v>0.1015625</v>
      </c>
      <c r="V27" s="186">
        <v>0.125</v>
      </c>
    </row>
    <row r="28" spans="1:22" x14ac:dyDescent="0.25">
      <c r="A28" s="189"/>
      <c r="B28" s="189"/>
      <c r="C28" s="190"/>
      <c r="D28" s="192" t="str">
        <f t="shared" si="0"/>
        <v/>
      </c>
      <c r="E28" s="193"/>
      <c r="F28" s="194" t="str">
        <f t="shared" si="1"/>
        <v/>
      </c>
      <c r="G28" s="195" t="str">
        <f t="shared" si="2"/>
        <v/>
      </c>
      <c r="H28" s="196" t="str">
        <f t="shared" si="3"/>
        <v/>
      </c>
      <c r="L28" s="197" t="str">
        <f t="shared" si="4"/>
        <v/>
      </c>
      <c r="M28" s="197" t="str">
        <f t="shared" si="5"/>
        <v/>
      </c>
      <c r="N28" s="197" t="str">
        <f t="shared" si="6"/>
        <v/>
      </c>
      <c r="O28" s="197" t="str">
        <f t="shared" si="7"/>
        <v/>
      </c>
      <c r="P28" s="197" t="str">
        <f t="shared" si="8"/>
        <v/>
      </c>
      <c r="Q28" s="197" t="str">
        <f t="shared" si="9"/>
        <v/>
      </c>
      <c r="R28" s="197" t="str">
        <f t="shared" si="10"/>
        <v/>
      </c>
      <c r="T28" s="169">
        <v>2.7781250009999998</v>
      </c>
      <c r="U28" s="187">
        <v>0.109375</v>
      </c>
      <c r="V28" s="186">
        <v>0.125</v>
      </c>
    </row>
    <row r="29" spans="1:22" x14ac:dyDescent="0.25">
      <c r="C29" s="195"/>
      <c r="D29" s="192" t="str">
        <f t="shared" si="0"/>
        <v/>
      </c>
      <c r="E29" s="194"/>
      <c r="F29" s="194" t="str">
        <f t="shared" si="1"/>
        <v/>
      </c>
      <c r="G29" s="195" t="str">
        <f t="shared" si="2"/>
        <v/>
      </c>
      <c r="H29" s="196" t="str">
        <f t="shared" si="3"/>
        <v/>
      </c>
      <c r="L29" s="197" t="str">
        <f t="shared" si="4"/>
        <v/>
      </c>
      <c r="M29" s="197" t="str">
        <f t="shared" si="5"/>
        <v/>
      </c>
      <c r="N29" s="197" t="str">
        <f t="shared" si="6"/>
        <v/>
      </c>
      <c r="O29" s="197" t="str">
        <f t="shared" si="7"/>
        <v/>
      </c>
      <c r="P29" s="197" t="str">
        <f t="shared" si="8"/>
        <v/>
      </c>
      <c r="Q29" s="197" t="str">
        <f t="shared" si="9"/>
        <v/>
      </c>
      <c r="R29" s="197" t="str">
        <f t="shared" si="10"/>
        <v/>
      </c>
      <c r="T29" s="169">
        <v>2.9765625010000001</v>
      </c>
      <c r="U29" s="187">
        <v>0.1171875</v>
      </c>
      <c r="V29" s="186">
        <v>0.125</v>
      </c>
    </row>
    <row r="30" spans="1:22" x14ac:dyDescent="0.25">
      <c r="C30" s="195"/>
      <c r="D30" s="192" t="str">
        <f t="shared" si="0"/>
        <v/>
      </c>
      <c r="E30" s="194"/>
      <c r="F30" s="194" t="str">
        <f t="shared" si="1"/>
        <v/>
      </c>
      <c r="G30" s="195" t="str">
        <f t="shared" si="2"/>
        <v/>
      </c>
      <c r="H30" s="196" t="str">
        <f t="shared" si="3"/>
        <v/>
      </c>
      <c r="L30" s="197" t="str">
        <f t="shared" si="4"/>
        <v/>
      </c>
      <c r="M30" s="197" t="str">
        <f t="shared" si="5"/>
        <v/>
      </c>
      <c r="N30" s="197" t="str">
        <f t="shared" si="6"/>
        <v/>
      </c>
      <c r="O30" s="197" t="str">
        <f t="shared" si="7"/>
        <v/>
      </c>
      <c r="P30" s="197" t="str">
        <f t="shared" si="8"/>
        <v/>
      </c>
      <c r="Q30" s="197" t="str">
        <f t="shared" si="9"/>
        <v/>
      </c>
      <c r="R30" s="197" t="str">
        <f t="shared" si="10"/>
        <v/>
      </c>
      <c r="T30" s="169">
        <v>3.1750000009999999</v>
      </c>
      <c r="U30" s="187">
        <v>0.125</v>
      </c>
      <c r="V30" s="186">
        <v>0.125</v>
      </c>
    </row>
    <row r="31" spans="1:22" x14ac:dyDescent="0.25">
      <c r="F31" s="195"/>
      <c r="G31" s="195"/>
      <c r="H31" s="196"/>
      <c r="L31" s="197" t="str">
        <f t="shared" si="4"/>
        <v/>
      </c>
      <c r="M31" s="197" t="str">
        <f t="shared" si="5"/>
        <v/>
      </c>
      <c r="N31" s="197" t="str">
        <f t="shared" si="6"/>
        <v/>
      </c>
      <c r="O31" s="197" t="str">
        <f t="shared" si="7"/>
        <v/>
      </c>
      <c r="P31" s="197" t="str">
        <f t="shared" si="8"/>
        <v/>
      </c>
      <c r="Q31" s="197" t="str">
        <f t="shared" si="9"/>
        <v/>
      </c>
      <c r="R31" s="197" t="str">
        <f t="shared" si="10"/>
        <v/>
      </c>
      <c r="U31" s="187"/>
      <c r="V31" s="186"/>
    </row>
    <row r="32" spans="1:22" x14ac:dyDescent="0.25">
      <c r="F32" s="195"/>
      <c r="G32" s="195"/>
      <c r="H32" s="196"/>
      <c r="L32" s="197"/>
      <c r="M32" s="197"/>
      <c r="N32" s="197"/>
      <c r="O32" s="197"/>
      <c r="P32" s="197"/>
      <c r="Q32" s="197"/>
      <c r="R32" s="197"/>
      <c r="U32" s="187"/>
      <c r="V32" s="186"/>
    </row>
    <row r="33" spans="1:22" x14ac:dyDescent="0.25">
      <c r="L33" s="197" t="str">
        <f>IF(F30="","",F30)</f>
        <v/>
      </c>
      <c r="M33" s="197" t="str">
        <f>IF($L33="","",LN(($L33^(-$O$13)+($N$13/$M$13))/(1+$N$13/$M$13))/($M$13*$O$13))</f>
        <v/>
      </c>
      <c r="N33" s="197" t="str">
        <f>IF($L33="","",LN(($L33^(-$O$14)+($N$14/$M$14))/(1+$N$14/$M$14))/($M$14*$O$14))</f>
        <v/>
      </c>
      <c r="O33" s="197" t="str">
        <f>IF($L33="","",LN(($L33^(-$O$15)+($N$15/$M$15))/(1+$N$15/$M$15))/($M$15*$O$15))</f>
        <v/>
      </c>
      <c r="P33" s="197" t="str">
        <f>IF($L33="","",LN(($L33^(-$O$16)+($N$16/$M$16))/(1+$N$16/$M$16))/($M$16*$O$16))</f>
        <v/>
      </c>
      <c r="Q33" s="197" t="str">
        <f>IF($L33="","",LN(($L33^(-$O$17)+($N$17/$M$17))/(1+$N$17/$M$17))/($M$17*$O$17))</f>
        <v/>
      </c>
      <c r="R33" s="197" t="str">
        <f>IF($L33="","",LN(($L33^(-$O$18)+($N$18/$M$18))/(1+$N$18/$M$18))/($M$18*$O$18))</f>
        <v/>
      </c>
      <c r="T33" s="169">
        <v>3.3734375010000002</v>
      </c>
      <c r="U33" s="187">
        <v>0.1328125</v>
      </c>
      <c r="V33" s="186">
        <v>0.15625</v>
      </c>
    </row>
    <row r="34" spans="1:22" x14ac:dyDescent="0.25">
      <c r="A34" s="191"/>
      <c r="B34" s="191"/>
      <c r="C34" s="191"/>
      <c r="D34" s="191"/>
      <c r="T34" s="169">
        <v>3.571875001</v>
      </c>
      <c r="U34" s="187">
        <v>0.140625</v>
      </c>
      <c r="V34" s="186">
        <v>0.15625</v>
      </c>
    </row>
    <row r="35" spans="1:22" x14ac:dyDescent="0.25">
      <c r="A35" s="169" t="s">
        <v>230</v>
      </c>
      <c r="T35" s="169">
        <v>3.7703125009999998</v>
      </c>
      <c r="U35" s="187">
        <v>0.1484375</v>
      </c>
      <c r="V35" s="186">
        <v>0.15625</v>
      </c>
    </row>
    <row r="36" spans="1:22" x14ac:dyDescent="0.25">
      <c r="A36" s="169" t="s">
        <v>231</v>
      </c>
      <c r="T36" s="169">
        <v>3.9687500010000001</v>
      </c>
      <c r="U36" s="187">
        <v>0.15625</v>
      </c>
      <c r="V36" s="186">
        <v>0.15625</v>
      </c>
    </row>
    <row r="37" spans="1:22" x14ac:dyDescent="0.25">
      <c r="T37" s="169">
        <v>4.1671875009999999</v>
      </c>
      <c r="U37" s="187">
        <v>0.1640625</v>
      </c>
      <c r="V37" s="186">
        <v>0.1875</v>
      </c>
    </row>
    <row r="38" spans="1:22" x14ac:dyDescent="0.25">
      <c r="T38" s="169">
        <v>4.3656250009999997</v>
      </c>
      <c r="U38" s="187">
        <v>0.171875</v>
      </c>
      <c r="V38" s="186">
        <v>0.1875</v>
      </c>
    </row>
    <row r="39" spans="1:22" x14ac:dyDescent="0.25">
      <c r="T39" s="169">
        <v>4.5640625010000004</v>
      </c>
      <c r="U39" s="187">
        <v>0.1796875</v>
      </c>
      <c r="V39" s="186">
        <v>0.1875</v>
      </c>
    </row>
    <row r="40" spans="1:22" x14ac:dyDescent="0.25">
      <c r="T40" s="169">
        <v>4.7625000010000003</v>
      </c>
      <c r="U40" s="187">
        <v>0.1875</v>
      </c>
      <c r="V40" s="186">
        <v>0.1875</v>
      </c>
    </row>
    <row r="41" spans="1:22" x14ac:dyDescent="0.25">
      <c r="T41" s="169">
        <v>4.9609375010000001</v>
      </c>
      <c r="U41" s="187">
        <v>0.1953125</v>
      </c>
      <c r="V41" s="186">
        <v>0.21875</v>
      </c>
    </row>
    <row r="42" spans="1:22" x14ac:dyDescent="0.25">
      <c r="T42" s="169">
        <v>5.1593750009999999</v>
      </c>
      <c r="U42" s="187">
        <v>0.203125</v>
      </c>
      <c r="V42" s="186">
        <v>0.21875</v>
      </c>
    </row>
    <row r="43" spans="1:22" x14ac:dyDescent="0.25">
      <c r="T43" s="169">
        <v>5.3578125009999997</v>
      </c>
      <c r="U43" s="187">
        <v>0.2109375</v>
      </c>
      <c r="V43" s="186">
        <v>0.21875</v>
      </c>
    </row>
    <row r="44" spans="1:22" x14ac:dyDescent="0.25">
      <c r="T44" s="169">
        <v>5.5562500010000004</v>
      </c>
      <c r="U44" s="187">
        <v>0.21875</v>
      </c>
      <c r="V44" s="186">
        <v>0.21875</v>
      </c>
    </row>
    <row r="45" spans="1:22" x14ac:dyDescent="0.25">
      <c r="T45" s="169">
        <v>5.7546875010000003</v>
      </c>
      <c r="U45" s="187">
        <v>0.2265625</v>
      </c>
      <c r="V45" s="186">
        <v>0.25</v>
      </c>
    </row>
    <row r="46" spans="1:22" x14ac:dyDescent="0.25">
      <c r="T46" s="169">
        <v>5.9531250010000001</v>
      </c>
      <c r="U46" s="187">
        <v>0.234375</v>
      </c>
      <c r="V46" s="186">
        <v>0.25</v>
      </c>
    </row>
    <row r="47" spans="1:22" x14ac:dyDescent="0.25">
      <c r="T47" s="169">
        <v>6.1515625009999999</v>
      </c>
      <c r="U47" s="187">
        <v>0.2421875</v>
      </c>
      <c r="V47" s="186">
        <v>0.25</v>
      </c>
    </row>
    <row r="48" spans="1:22" x14ac:dyDescent="0.25">
      <c r="T48" s="169">
        <v>6.3500000009999997</v>
      </c>
      <c r="U48" s="187">
        <v>0.25</v>
      </c>
      <c r="V48" s="186" t="s">
        <v>87</v>
      </c>
    </row>
    <row r="49" spans="20:20" x14ac:dyDescent="0.25">
      <c r="T49" s="169">
        <v>25.400000000999999</v>
      </c>
    </row>
  </sheetData>
  <mergeCells count="2">
    <mergeCell ref="F18:F20"/>
    <mergeCell ref="L20:R20"/>
  </mergeCells>
  <pageMargins left="0.75" right="0.75" top="1" bottom="1" header="0.511811023622047" footer="0.5"/>
  <pageSetup scale="97" orientation="portrait" horizontalDpi="300" verticalDpi="300"/>
  <headerFooter>
    <oddFooter>&amp;R&amp;P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zoomScale="75" zoomScaleNormal="75" workbookViewId="0">
      <selection sqref="A1:P1"/>
    </sheetView>
  </sheetViews>
  <sheetFormatPr defaultColWidth="10.33203125" defaultRowHeight="12.75" x14ac:dyDescent="0.2"/>
  <cols>
    <col min="1" max="16384" width="10.33203125" style="198"/>
  </cols>
  <sheetData>
    <row r="1" spans="1:32" x14ac:dyDescent="0.2">
      <c r="A1" s="242" t="s">
        <v>90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3" t="s">
        <v>90</v>
      </c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2" x14ac:dyDescent="0.2">
      <c r="A2" s="199"/>
      <c r="B2" s="200"/>
      <c r="C2" s="201"/>
      <c r="D2" s="201"/>
      <c r="G2" s="201"/>
      <c r="H2" s="201"/>
      <c r="I2" s="201"/>
      <c r="Q2" s="202"/>
      <c r="AF2" s="203"/>
    </row>
    <row r="3" spans="1:32" x14ac:dyDescent="0.2">
      <c r="A3" s="204"/>
      <c r="B3" s="244" t="s">
        <v>95</v>
      </c>
      <c r="C3" s="244"/>
      <c r="D3" s="244"/>
      <c r="E3" s="205"/>
      <c r="F3" s="205"/>
      <c r="G3" s="244" t="s">
        <v>96</v>
      </c>
      <c r="H3" s="244"/>
      <c r="I3" s="244"/>
      <c r="J3" s="205"/>
      <c r="K3" s="205"/>
      <c r="L3" s="244" t="s">
        <v>53</v>
      </c>
      <c r="M3" s="244"/>
      <c r="N3" s="244"/>
      <c r="O3" s="205"/>
      <c r="P3" s="205"/>
      <c r="Q3" s="245" t="s">
        <v>55</v>
      </c>
      <c r="R3" s="245"/>
      <c r="S3" s="245"/>
      <c r="T3" s="205"/>
      <c r="U3" s="205"/>
      <c r="V3" s="244" t="s">
        <v>97</v>
      </c>
      <c r="W3" s="244"/>
      <c r="X3" s="244"/>
      <c r="Y3" s="205"/>
      <c r="Z3" s="205"/>
      <c r="AA3" s="244" t="s">
        <v>59</v>
      </c>
      <c r="AB3" s="244"/>
      <c r="AC3" s="244"/>
      <c r="AD3" s="205"/>
      <c r="AE3" s="205"/>
      <c r="AF3" s="206"/>
    </row>
    <row r="4" spans="1:32" x14ac:dyDescent="0.2">
      <c r="A4" s="207" t="s">
        <v>38</v>
      </c>
      <c r="B4" s="208" t="s">
        <v>41</v>
      </c>
      <c r="C4" s="208" t="s">
        <v>42</v>
      </c>
      <c r="D4" s="208" t="s">
        <v>43</v>
      </c>
      <c r="E4" s="209" t="s">
        <v>45</v>
      </c>
      <c r="F4" s="209" t="s">
        <v>46</v>
      </c>
      <c r="G4" s="208" t="s">
        <v>41</v>
      </c>
      <c r="H4" s="208" t="s">
        <v>42</v>
      </c>
      <c r="I4" s="208" t="s">
        <v>43</v>
      </c>
      <c r="J4" s="209" t="s">
        <v>45</v>
      </c>
      <c r="K4" s="209" t="s">
        <v>46</v>
      </c>
      <c r="L4" s="208" t="s">
        <v>41</v>
      </c>
      <c r="M4" s="208" t="s">
        <v>42</v>
      </c>
      <c r="N4" s="208" t="s">
        <v>43</v>
      </c>
      <c r="O4" s="209" t="s">
        <v>45</v>
      </c>
      <c r="P4" s="209" t="s">
        <v>46</v>
      </c>
      <c r="Q4" s="210" t="s">
        <v>41</v>
      </c>
      <c r="R4" s="208" t="s">
        <v>42</v>
      </c>
      <c r="S4" s="208" t="s">
        <v>43</v>
      </c>
      <c r="T4" s="209" t="s">
        <v>45</v>
      </c>
      <c r="U4" s="209" t="s">
        <v>46</v>
      </c>
      <c r="V4" s="208" t="s">
        <v>41</v>
      </c>
      <c r="W4" s="208" t="s">
        <v>42</v>
      </c>
      <c r="X4" s="208" t="s">
        <v>43</v>
      </c>
      <c r="Y4" s="209" t="s">
        <v>45</v>
      </c>
      <c r="Z4" s="209" t="s">
        <v>46</v>
      </c>
      <c r="AA4" s="208" t="s">
        <v>41</v>
      </c>
      <c r="AB4" s="208" t="s">
        <v>42</v>
      </c>
      <c r="AC4" s="208" t="s">
        <v>43</v>
      </c>
      <c r="AD4" s="209" t="s">
        <v>45</v>
      </c>
      <c r="AE4" s="209" t="s">
        <v>46</v>
      </c>
      <c r="AF4" s="211" t="s">
        <v>98</v>
      </c>
    </row>
    <row r="5" spans="1:32" x14ac:dyDescent="0.2">
      <c r="A5" s="212">
        <v>25</v>
      </c>
      <c r="B5" s="213">
        <v>49.52</v>
      </c>
      <c r="C5" s="213">
        <v>194</v>
      </c>
      <c r="D5" s="213">
        <v>0.30370000000000003</v>
      </c>
      <c r="E5" s="213">
        <f t="shared" ref="E5:E30" si="0">IF(B5="","",LN(2)/B5)</f>
        <v>1.3997317862680639E-2</v>
      </c>
      <c r="F5" s="213">
        <f t="shared" ref="F5:F30" si="1">IF(E5="","",(LN(10)/LN(2))*E5)</f>
        <v>4.6498083461107544E-2</v>
      </c>
      <c r="G5" s="213">
        <v>0.39040000000000002</v>
      </c>
      <c r="H5" s="213">
        <v>1.645</v>
      </c>
      <c r="I5" s="213">
        <v>0.2757</v>
      </c>
      <c r="J5" s="213">
        <f t="shared" ref="J5:J30" si="2">IF(G5="","",LN(2)/G5)</f>
        <v>1.775479458401499</v>
      </c>
      <c r="K5" s="213">
        <f t="shared" ref="K5:K30" si="3">IF(J5="","",(LN(10)/LN(2))*J5)</f>
        <v>5.8980150947593382</v>
      </c>
      <c r="L5" s="213">
        <v>0.15759999999999999</v>
      </c>
      <c r="M5" s="213">
        <v>0.71750000000000003</v>
      </c>
      <c r="N5" s="213">
        <v>0.30480000000000002</v>
      </c>
      <c r="O5" s="213">
        <f t="shared" ref="O5:O30" si="4">IF(L5="","",LN(2)/L5)</f>
        <v>4.3981420086290948</v>
      </c>
      <c r="P5" s="213">
        <f t="shared" ref="P5:P30" si="5">IF(O5="","",(LN(10)/LN(2))*O5)</f>
        <v>14.610311503769328</v>
      </c>
      <c r="Q5" s="204">
        <v>9.3640000000000008</v>
      </c>
      <c r="R5" s="213">
        <v>41.25</v>
      </c>
      <c r="S5" s="213">
        <v>0.32019999999999998</v>
      </c>
      <c r="T5" s="213">
        <f t="shared" ref="T5:T30" si="6">IF(Q5="","",LN(2)/Q5)</f>
        <v>7.4022552387862581E-2</v>
      </c>
      <c r="U5" s="213">
        <f t="shared" ref="U5:U30" si="7">IF(T5="","",(LN(10)/LN(2))*T5)</f>
        <v>0.24589759643251233</v>
      </c>
      <c r="V5" s="213">
        <v>0.38040000000000002</v>
      </c>
      <c r="W5" s="213">
        <v>1.5429999999999999</v>
      </c>
      <c r="X5" s="213">
        <v>0.28689999999999999</v>
      </c>
      <c r="Y5" s="213">
        <f t="shared" ref="Y5:Y30" si="8">IF(V5="","",LN(2)/V5)</f>
        <v>1.8221534715035363</v>
      </c>
      <c r="Z5" s="213">
        <f t="shared" ref="Z5:Z30" si="9">IF(Y5="","",(LN(10)/LN(2))*Y5)</f>
        <v>6.0530628101841364</v>
      </c>
      <c r="AA5" s="213">
        <v>2.23E-2</v>
      </c>
      <c r="AB5" s="213">
        <v>4.3400000000000001E-2</v>
      </c>
      <c r="AC5" s="213">
        <v>0.19370000000000001</v>
      </c>
      <c r="AD5" s="213">
        <f t="shared" ref="AD5:AD30" si="10">IF(AA5="","",LN(2)/AA5)</f>
        <v>31.082833208966157</v>
      </c>
      <c r="AE5" s="213">
        <f t="shared" ref="AE5:AE30" si="11">IF(AD5="","",(LN(10)/LN(2))*AD5)</f>
        <v>103.2549369055626</v>
      </c>
      <c r="AF5" s="206">
        <f>0.1965*A5-3.429</f>
        <v>1.4835000000000007</v>
      </c>
    </row>
    <row r="6" spans="1:32" x14ac:dyDescent="0.2">
      <c r="A6" s="212">
        <v>30</v>
      </c>
      <c r="B6" s="213">
        <v>38.799999999999997</v>
      </c>
      <c r="C6" s="213">
        <v>178</v>
      </c>
      <c r="D6" s="213">
        <v>0.3473</v>
      </c>
      <c r="E6" s="213">
        <f t="shared" si="0"/>
        <v>1.7864618055668694E-2</v>
      </c>
      <c r="F6" s="213">
        <f t="shared" si="1"/>
        <v>5.9344976623557887E-2</v>
      </c>
      <c r="G6" s="213">
        <v>0.31730000000000003</v>
      </c>
      <c r="H6" s="213">
        <v>1.698</v>
      </c>
      <c r="I6" s="213">
        <v>0.35930000000000001</v>
      </c>
      <c r="J6" s="213">
        <f t="shared" si="2"/>
        <v>2.1845167997477</v>
      </c>
      <c r="K6" s="213">
        <f t="shared" si="3"/>
        <v>7.2568077308353152</v>
      </c>
      <c r="L6" s="213">
        <v>0.1208</v>
      </c>
      <c r="M6" s="213">
        <v>0.70430000000000004</v>
      </c>
      <c r="N6" s="213">
        <v>0.36130000000000001</v>
      </c>
      <c r="O6" s="213">
        <f t="shared" si="4"/>
        <v>5.7379733490061691</v>
      </c>
      <c r="P6" s="213">
        <f t="shared" si="5"/>
        <v>19.061134875778524</v>
      </c>
      <c r="Q6" s="204">
        <v>7.4059999999999997</v>
      </c>
      <c r="R6" s="213">
        <v>41.93</v>
      </c>
      <c r="S6" s="213">
        <v>0.39589999999999997</v>
      </c>
      <c r="T6" s="213">
        <f t="shared" si="6"/>
        <v>9.3592651979468713E-2</v>
      </c>
      <c r="U6" s="213">
        <f t="shared" si="7"/>
        <v>0.31090806008561245</v>
      </c>
      <c r="V6" s="213">
        <v>0.30609999999999998</v>
      </c>
      <c r="W6" s="213">
        <v>1.599</v>
      </c>
      <c r="X6" s="213">
        <v>0.36930000000000002</v>
      </c>
      <c r="Y6" s="213">
        <f t="shared" si="8"/>
        <v>2.2644468492647674</v>
      </c>
      <c r="Z6" s="213">
        <f t="shared" si="9"/>
        <v>7.5223296079517992</v>
      </c>
      <c r="AA6" s="213">
        <v>2.1659999999999999E-2</v>
      </c>
      <c r="AB6" s="213">
        <v>3.9660000000000001E-2</v>
      </c>
      <c r="AC6" s="213">
        <v>0.2843</v>
      </c>
      <c r="AD6" s="213">
        <f t="shared" si="10"/>
        <v>32.001254873497011</v>
      </c>
      <c r="AE6" s="213">
        <f t="shared" si="11"/>
        <v>106.30586763592085</v>
      </c>
      <c r="AF6" s="206">
        <f>0.1965*A6-3.429</f>
        <v>2.4660000000000006</v>
      </c>
    </row>
    <row r="7" spans="1:32" x14ac:dyDescent="0.2">
      <c r="A7" s="212">
        <v>35</v>
      </c>
      <c r="B7" s="213">
        <v>29.55</v>
      </c>
      <c r="C7" s="213">
        <v>164.7</v>
      </c>
      <c r="D7" s="213">
        <v>0.39479999999999998</v>
      </c>
      <c r="E7" s="213">
        <f t="shared" si="0"/>
        <v>2.345675737935517E-2</v>
      </c>
      <c r="F7" s="213">
        <f t="shared" si="1"/>
        <v>7.7921661353436408E-2</v>
      </c>
      <c r="G7" s="213">
        <v>0.25280000000000002</v>
      </c>
      <c r="H7" s="213">
        <v>1.8069999999999999</v>
      </c>
      <c r="I7" s="213">
        <v>0.46479999999999999</v>
      </c>
      <c r="J7" s="213">
        <f t="shared" si="2"/>
        <v>2.741879669936492</v>
      </c>
      <c r="K7" s="213">
        <f t="shared" si="3"/>
        <v>9.1083271083625217</v>
      </c>
      <c r="L7" s="213">
        <v>8.8779999999999998E-2</v>
      </c>
      <c r="M7" s="213">
        <v>0.69879999999999998</v>
      </c>
      <c r="N7" s="213">
        <v>0.42449999999999999</v>
      </c>
      <c r="O7" s="213">
        <f t="shared" si="4"/>
        <v>7.8074699319660432</v>
      </c>
      <c r="P7" s="213">
        <f t="shared" si="5"/>
        <v>25.935853716986326</v>
      </c>
      <c r="Q7" s="204">
        <v>5.7160000000000002</v>
      </c>
      <c r="R7" s="213">
        <v>43.41</v>
      </c>
      <c r="S7" s="213">
        <v>0.48570000000000002</v>
      </c>
      <c r="T7" s="213">
        <f t="shared" si="6"/>
        <v>0.12126437728480498</v>
      </c>
      <c r="U7" s="213">
        <f t="shared" si="7"/>
        <v>0.40283154181141456</v>
      </c>
      <c r="V7" s="213">
        <v>0.23960000000000001</v>
      </c>
      <c r="W7" s="213">
        <v>1.694</v>
      </c>
      <c r="X7" s="213">
        <v>0.46829999999999999</v>
      </c>
      <c r="Y7" s="213">
        <f t="shared" si="8"/>
        <v>2.892934810350356</v>
      </c>
      <c r="Z7" s="213">
        <f t="shared" si="9"/>
        <v>9.6101214231804928</v>
      </c>
      <c r="AA7" s="213">
        <v>1.9009999999999999E-2</v>
      </c>
      <c r="AB7" s="213">
        <v>3.8730000000000001E-2</v>
      </c>
      <c r="AC7" s="213">
        <v>0.37319999999999998</v>
      </c>
      <c r="AD7" s="213">
        <f t="shared" si="10"/>
        <v>36.462239903205962</v>
      </c>
      <c r="AE7" s="213">
        <f t="shared" si="11"/>
        <v>121.12493913698296</v>
      </c>
      <c r="AF7" s="206">
        <f>0.1965*A7-3.429</f>
        <v>3.4485000000000006</v>
      </c>
    </row>
    <row r="8" spans="1:32" x14ac:dyDescent="0.2">
      <c r="A8" s="212">
        <v>40</v>
      </c>
      <c r="B8" s="213"/>
      <c r="C8" s="213"/>
      <c r="D8" s="213"/>
      <c r="E8" s="213" t="str">
        <f t="shared" si="0"/>
        <v/>
      </c>
      <c r="F8" s="213" t="str">
        <f t="shared" si="1"/>
        <v/>
      </c>
      <c r="G8" s="213">
        <v>0.12970000000000001</v>
      </c>
      <c r="H8" s="213">
        <v>0.17799999999999999</v>
      </c>
      <c r="I8" s="213">
        <v>0.21890000000000001</v>
      </c>
      <c r="J8" s="213">
        <f t="shared" si="2"/>
        <v>5.3442342371622606</v>
      </c>
      <c r="K8" s="213">
        <f t="shared" si="3"/>
        <v>17.753161858088248</v>
      </c>
      <c r="L8" s="213"/>
      <c r="M8" s="213"/>
      <c r="N8" s="213"/>
      <c r="O8" s="213" t="str">
        <f t="shared" si="4"/>
        <v/>
      </c>
      <c r="P8" s="213" t="str">
        <f t="shared" si="5"/>
        <v/>
      </c>
      <c r="Q8" s="204"/>
      <c r="R8" s="213"/>
      <c r="S8" s="213"/>
      <c r="T8" s="213" t="str">
        <f t="shared" si="6"/>
        <v/>
      </c>
      <c r="U8" s="213" t="str">
        <f t="shared" si="7"/>
        <v/>
      </c>
      <c r="V8" s="213"/>
      <c r="W8" s="213"/>
      <c r="X8" s="213"/>
      <c r="Y8" s="213" t="str">
        <f t="shared" si="8"/>
        <v/>
      </c>
      <c r="Z8" s="213" t="str">
        <f t="shared" si="9"/>
        <v/>
      </c>
      <c r="AA8" s="213"/>
      <c r="AB8" s="213"/>
      <c r="AC8" s="213"/>
      <c r="AD8" s="213" t="str">
        <f t="shared" si="10"/>
        <v/>
      </c>
      <c r="AE8" s="213" t="str">
        <f t="shared" si="11"/>
        <v/>
      </c>
      <c r="AF8" s="206">
        <f t="shared" ref="AF8:AF30" si="12">1.222-0.05664*A8+0.001227*A8^2-0.000003136*A8^3</f>
        <v>0.71889599999999998</v>
      </c>
    </row>
    <row r="9" spans="1:32" x14ac:dyDescent="0.2">
      <c r="A9" s="212">
        <v>45</v>
      </c>
      <c r="B9" s="213"/>
      <c r="C9" s="213"/>
      <c r="D9" s="213"/>
      <c r="E9" s="213" t="str">
        <f t="shared" si="0"/>
        <v/>
      </c>
      <c r="F9" s="213" t="str">
        <f t="shared" si="1"/>
        <v/>
      </c>
      <c r="G9" s="213">
        <v>0.1095</v>
      </c>
      <c r="H9" s="213">
        <v>0.1741</v>
      </c>
      <c r="I9" s="213">
        <v>0.22689999999999999</v>
      </c>
      <c r="J9" s="213">
        <f t="shared" si="2"/>
        <v>6.3301112379903683</v>
      </c>
      <c r="K9" s="213">
        <f t="shared" si="3"/>
        <v>21.028174365242428</v>
      </c>
      <c r="L9" s="213"/>
      <c r="M9" s="213"/>
      <c r="N9" s="213"/>
      <c r="O9" s="213" t="str">
        <f t="shared" si="4"/>
        <v/>
      </c>
      <c r="P9" s="213" t="str">
        <f t="shared" si="5"/>
        <v/>
      </c>
      <c r="Q9" s="204"/>
      <c r="R9" s="213"/>
      <c r="S9" s="213"/>
      <c r="T9" s="213" t="str">
        <f t="shared" si="6"/>
        <v/>
      </c>
      <c r="U9" s="213" t="str">
        <f t="shared" si="7"/>
        <v/>
      </c>
      <c r="V9" s="213"/>
      <c r="W9" s="213"/>
      <c r="X9" s="213"/>
      <c r="Y9" s="213" t="str">
        <f t="shared" si="8"/>
        <v/>
      </c>
      <c r="Z9" s="213" t="str">
        <f t="shared" si="9"/>
        <v/>
      </c>
      <c r="AA9" s="213"/>
      <c r="AB9" s="213"/>
      <c r="AC9" s="213"/>
      <c r="AD9" s="213" t="str">
        <f t="shared" si="10"/>
        <v/>
      </c>
      <c r="AE9" s="213" t="str">
        <f t="shared" si="11"/>
        <v/>
      </c>
      <c r="AF9" s="206">
        <f t="shared" si="12"/>
        <v>0.87210700000000019</v>
      </c>
    </row>
    <row r="10" spans="1:32" x14ac:dyDescent="0.2">
      <c r="A10" s="212">
        <v>50</v>
      </c>
      <c r="B10" s="213">
        <v>8.8010000000000002</v>
      </c>
      <c r="C10" s="213">
        <v>27.28</v>
      </c>
      <c r="D10" s="213">
        <v>0.29570000000000002</v>
      </c>
      <c r="E10" s="213">
        <f t="shared" si="0"/>
        <v>7.8757775316435089E-2</v>
      </c>
      <c r="F10" s="213">
        <f t="shared" si="1"/>
        <v>0.26162766651449215</v>
      </c>
      <c r="G10" s="213">
        <v>9.3200000000000005E-2</v>
      </c>
      <c r="H10" s="213">
        <v>0.17119999999999999</v>
      </c>
      <c r="I10" s="213">
        <v>0.2324</v>
      </c>
      <c r="J10" s="213">
        <f t="shared" si="2"/>
        <v>7.4372015081539189</v>
      </c>
      <c r="K10" s="213">
        <f t="shared" si="3"/>
        <v>24.705848637275167</v>
      </c>
      <c r="L10" s="213">
        <v>3.8830000000000003E-2</v>
      </c>
      <c r="M10" s="213">
        <v>8.7300000000000003E-2</v>
      </c>
      <c r="N10" s="213">
        <v>0.51049999999999995</v>
      </c>
      <c r="O10" s="213">
        <f t="shared" si="4"/>
        <v>17.85081587844309</v>
      </c>
      <c r="P10" s="213">
        <f t="shared" si="5"/>
        <v>59.299126783261535</v>
      </c>
      <c r="Q10" s="204">
        <v>1.8169999999999999</v>
      </c>
      <c r="R10" s="213">
        <v>4.84</v>
      </c>
      <c r="S10" s="213">
        <v>0.40210000000000001</v>
      </c>
      <c r="T10" s="213">
        <f t="shared" si="6"/>
        <v>0.38147891059985983</v>
      </c>
      <c r="U10" s="213">
        <f t="shared" si="7"/>
        <v>1.2672455107286988</v>
      </c>
      <c r="V10" s="213">
        <v>9.7210000000000005E-2</v>
      </c>
      <c r="W10" s="213">
        <v>0.1799</v>
      </c>
      <c r="X10" s="213">
        <v>0.49120000000000003</v>
      </c>
      <c r="Y10" s="213">
        <f t="shared" si="8"/>
        <v>7.1304102516196401</v>
      </c>
      <c r="Z10" s="213">
        <f t="shared" si="9"/>
        <v>23.686710142928153</v>
      </c>
      <c r="AA10" s="213">
        <v>1.076E-2</v>
      </c>
      <c r="AB10" s="213">
        <v>1.8619999999999999E-3</v>
      </c>
      <c r="AC10" s="213">
        <v>1.17</v>
      </c>
      <c r="AD10" s="213">
        <f t="shared" si="10"/>
        <v>64.418882951667769</v>
      </c>
      <c r="AE10" s="213">
        <f t="shared" si="11"/>
        <v>213.9948971184057</v>
      </c>
      <c r="AF10" s="206">
        <f t="shared" si="12"/>
        <v>1.0654999999999997</v>
      </c>
    </row>
    <row r="11" spans="1:32" x14ac:dyDescent="0.2">
      <c r="A11" s="212">
        <v>55</v>
      </c>
      <c r="B11" s="213">
        <v>7.8390000000000004</v>
      </c>
      <c r="C11" s="213">
        <v>25.92</v>
      </c>
      <c r="D11" s="213">
        <v>0.34989999999999999</v>
      </c>
      <c r="E11" s="213">
        <f t="shared" si="0"/>
        <v>8.8422908605682513E-2</v>
      </c>
      <c r="F11" s="213">
        <f t="shared" si="1"/>
        <v>0.2937345443288743</v>
      </c>
      <c r="G11" s="213">
        <v>7.4219999999999994E-2</v>
      </c>
      <c r="H11" s="213">
        <v>0.16969999999999999</v>
      </c>
      <c r="I11" s="213">
        <v>0.24540000000000001</v>
      </c>
      <c r="J11" s="213">
        <f t="shared" si="2"/>
        <v>9.3390889323625075</v>
      </c>
      <c r="K11" s="213">
        <f t="shared" si="3"/>
        <v>31.023781905066638</v>
      </c>
      <c r="L11" s="213">
        <v>3.4189999999999998E-2</v>
      </c>
      <c r="M11" s="213">
        <v>8.3150000000000002E-2</v>
      </c>
      <c r="N11" s="213">
        <v>0.56059999999999999</v>
      </c>
      <c r="O11" s="213">
        <f t="shared" si="4"/>
        <v>20.273389311492991</v>
      </c>
      <c r="P11" s="213">
        <f t="shared" si="5"/>
        <v>67.346741532437733</v>
      </c>
      <c r="Q11" s="204">
        <v>1.4930000000000001</v>
      </c>
      <c r="R11" s="213">
        <v>4.5149999999999997</v>
      </c>
      <c r="S11" s="213">
        <v>0.42930000000000001</v>
      </c>
      <c r="T11" s="213">
        <f t="shared" si="6"/>
        <v>0.46426468892159761</v>
      </c>
      <c r="U11" s="213">
        <f t="shared" si="7"/>
        <v>1.5422539135927968</v>
      </c>
      <c r="V11" s="213">
        <v>8.5519999999999999E-2</v>
      </c>
      <c r="W11" s="213">
        <v>0.1661</v>
      </c>
      <c r="X11" s="213">
        <v>0.51119999999999999</v>
      </c>
      <c r="Y11" s="213">
        <f t="shared" si="8"/>
        <v>8.1050886407851408</v>
      </c>
      <c r="Z11" s="213">
        <f t="shared" si="9"/>
        <v>26.924521667376585</v>
      </c>
      <c r="AA11" s="213">
        <v>1.0120000000000001E-2</v>
      </c>
      <c r="AB11" s="213">
        <v>1.4040000000000001E-3</v>
      </c>
      <c r="AC11" s="213">
        <v>1.2689999999999999</v>
      </c>
      <c r="AD11" s="213">
        <f t="shared" si="10"/>
        <v>68.49280440315664</v>
      </c>
      <c r="AE11" s="213">
        <f t="shared" si="11"/>
        <v>227.52817124447091</v>
      </c>
      <c r="AF11" s="206">
        <f t="shared" si="12"/>
        <v>1.2967229999999998</v>
      </c>
    </row>
    <row r="12" spans="1:32" x14ac:dyDescent="0.2">
      <c r="A12" s="212">
        <v>60</v>
      </c>
      <c r="B12" s="213">
        <v>6.9509999999999996</v>
      </c>
      <c r="C12" s="213">
        <v>24.89</v>
      </c>
      <c r="D12" s="213">
        <v>0.41980000000000001</v>
      </c>
      <c r="E12" s="213">
        <f t="shared" si="0"/>
        <v>9.971905920873908E-2</v>
      </c>
      <c r="F12" s="213">
        <f t="shared" si="1"/>
        <v>0.33125954438124672</v>
      </c>
      <c r="G12" s="213">
        <v>6.2509999999999996E-2</v>
      </c>
      <c r="H12" s="213">
        <v>0.16919999999999999</v>
      </c>
      <c r="I12" s="213">
        <v>0.27329999999999999</v>
      </c>
      <c r="J12" s="213">
        <f t="shared" si="2"/>
        <v>11.088580716044557</v>
      </c>
      <c r="K12" s="213">
        <f t="shared" si="3"/>
        <v>36.835467813054642</v>
      </c>
      <c r="L12" s="213">
        <v>2.9850000000000002E-2</v>
      </c>
      <c r="M12" s="213">
        <v>7.961E-2</v>
      </c>
      <c r="N12" s="213">
        <v>0.6169</v>
      </c>
      <c r="O12" s="213">
        <f t="shared" si="4"/>
        <v>23.221011074035015</v>
      </c>
      <c r="P12" s="213">
        <f t="shared" si="5"/>
        <v>77.138529078527483</v>
      </c>
      <c r="Q12" s="204">
        <v>1.1830000000000001</v>
      </c>
      <c r="R12" s="213">
        <v>4.2190000000000003</v>
      </c>
      <c r="S12" s="213">
        <v>0.45710000000000001</v>
      </c>
      <c r="T12" s="213">
        <f t="shared" si="6"/>
        <v>0.58592322955194021</v>
      </c>
      <c r="U12" s="213">
        <f t="shared" si="7"/>
        <v>1.9463948376957276</v>
      </c>
      <c r="V12" s="213">
        <v>7.4520000000000003E-2</v>
      </c>
      <c r="W12" s="213">
        <v>0.15390000000000001</v>
      </c>
      <c r="X12" s="213">
        <v>0.53039999999999998</v>
      </c>
      <c r="Y12" s="213">
        <f t="shared" si="8"/>
        <v>9.3014919559842362</v>
      </c>
      <c r="Z12" s="213">
        <f t="shared" si="9"/>
        <v>30.898887452952842</v>
      </c>
      <c r="AA12" s="213">
        <v>9.5119999999999996E-3</v>
      </c>
      <c r="AB12" s="213">
        <v>9.6719999999999998E-4</v>
      </c>
      <c r="AC12" s="213">
        <v>1.333</v>
      </c>
      <c r="AD12" s="213">
        <f t="shared" si="10"/>
        <v>72.870813767866409</v>
      </c>
      <c r="AE12" s="213">
        <f t="shared" si="11"/>
        <v>242.07160355278026</v>
      </c>
      <c r="AF12" s="206">
        <f t="shared" si="12"/>
        <v>1.5634240000000001</v>
      </c>
    </row>
    <row r="13" spans="1:32" x14ac:dyDescent="0.2">
      <c r="A13" s="212">
        <v>65</v>
      </c>
      <c r="B13" s="214">
        <v>6.13</v>
      </c>
      <c r="C13" s="214">
        <v>24.09</v>
      </c>
      <c r="D13" s="214">
        <v>0.50190000000000001</v>
      </c>
      <c r="E13" s="213">
        <f t="shared" si="0"/>
        <v>0.1130745808417529</v>
      </c>
      <c r="F13" s="213">
        <f t="shared" si="1"/>
        <v>0.37562562691583129</v>
      </c>
      <c r="G13" s="214">
        <v>5.5280000000000003E-2</v>
      </c>
      <c r="H13" s="214">
        <v>0.1696</v>
      </c>
      <c r="I13" s="214">
        <v>0.32169999999999999</v>
      </c>
      <c r="J13" s="213">
        <f t="shared" si="2"/>
        <v>12.53884190593244</v>
      </c>
      <c r="K13" s="213">
        <f t="shared" si="3"/>
        <v>41.653131204667979</v>
      </c>
      <c r="L13" s="214">
        <v>2.6089999999999999E-2</v>
      </c>
      <c r="M13" s="214">
        <v>7.5969999999999996E-2</v>
      </c>
      <c r="N13" s="214">
        <v>0.67559999999999998</v>
      </c>
      <c r="O13" s="213">
        <f t="shared" si="4"/>
        <v>26.56754237485417</v>
      </c>
      <c r="P13" s="213">
        <f t="shared" si="5"/>
        <v>88.255465427138589</v>
      </c>
      <c r="Q13" s="204">
        <v>0.91720000000000002</v>
      </c>
      <c r="R13" s="214">
        <v>3.9820000000000002</v>
      </c>
      <c r="S13" s="214">
        <v>0.49220000000000003</v>
      </c>
      <c r="T13" s="213">
        <f t="shared" si="6"/>
        <v>0.75572086846919462</v>
      </c>
      <c r="U13" s="213">
        <f t="shared" si="7"/>
        <v>2.5104503848604947</v>
      </c>
      <c r="V13" s="214">
        <v>6.5140000000000003E-2</v>
      </c>
      <c r="W13" s="214">
        <v>0.14430000000000001</v>
      </c>
      <c r="X13" s="214">
        <v>0.55820000000000003</v>
      </c>
      <c r="Y13" s="213">
        <f t="shared" si="8"/>
        <v>10.640883950874198</v>
      </c>
      <c r="Z13" s="213">
        <f t="shared" si="9"/>
        <v>35.348251350845032</v>
      </c>
      <c r="AA13" s="214">
        <v>8.9899999999999997E-3</v>
      </c>
      <c r="AB13" s="214">
        <v>6.4700000000000001E-4</v>
      </c>
      <c r="AC13" s="214">
        <v>1.353</v>
      </c>
      <c r="AD13" s="213">
        <f t="shared" si="10"/>
        <v>77.102022309226399</v>
      </c>
      <c r="AE13" s="213">
        <f t="shared" si="11"/>
        <v>256.1273740816514</v>
      </c>
      <c r="AF13" s="206">
        <f t="shared" si="12"/>
        <v>1.863251</v>
      </c>
    </row>
    <row r="14" spans="1:32" x14ac:dyDescent="0.2">
      <c r="A14" s="212">
        <v>70</v>
      </c>
      <c r="B14" s="214">
        <v>5.3689999999999998</v>
      </c>
      <c r="C14" s="214">
        <v>23.49</v>
      </c>
      <c r="D14" s="214">
        <v>0.58809999999999996</v>
      </c>
      <c r="E14" s="213">
        <f t="shared" si="0"/>
        <v>0.12910172854534277</v>
      </c>
      <c r="F14" s="213">
        <f t="shared" si="1"/>
        <v>0.42886665915329597</v>
      </c>
      <c r="G14" s="214">
        <v>5.0869999999999999E-2</v>
      </c>
      <c r="H14" s="214">
        <v>0.1696</v>
      </c>
      <c r="I14" s="214">
        <v>0.38469999999999999</v>
      </c>
      <c r="J14" s="213">
        <f t="shared" si="2"/>
        <v>13.625853755847166</v>
      </c>
      <c r="K14" s="213">
        <f t="shared" si="3"/>
        <v>45.264106408375191</v>
      </c>
      <c r="L14" s="214">
        <v>2.3019999999999999E-2</v>
      </c>
      <c r="M14" s="214">
        <v>7.1629999999999999E-2</v>
      </c>
      <c r="N14" s="214">
        <v>0.72989999999999999</v>
      </c>
      <c r="O14" s="213">
        <f t="shared" si="4"/>
        <v>30.110650762812568</v>
      </c>
      <c r="P14" s="213">
        <f t="shared" si="5"/>
        <v>100.02541672432866</v>
      </c>
      <c r="Q14" s="204">
        <v>0.71489999999999998</v>
      </c>
      <c r="R14" s="214">
        <v>3.798</v>
      </c>
      <c r="S14" s="214">
        <v>0.53779999999999994</v>
      </c>
      <c r="T14" s="213">
        <f t="shared" si="6"/>
        <v>0.96957222067414361</v>
      </c>
      <c r="U14" s="213">
        <f t="shared" si="7"/>
        <v>3.2208491998797673</v>
      </c>
      <c r="V14" s="214">
        <v>5.7910000000000003E-2</v>
      </c>
      <c r="W14" s="214">
        <v>0.13569999999999999</v>
      </c>
      <c r="X14" s="214">
        <v>0.59670000000000001</v>
      </c>
      <c r="Y14" s="213">
        <f t="shared" si="8"/>
        <v>11.969386644101974</v>
      </c>
      <c r="Z14" s="213">
        <f t="shared" si="9"/>
        <v>39.761441771611914</v>
      </c>
      <c r="AA14" s="214">
        <v>8.5500000000000003E-3</v>
      </c>
      <c r="AB14" s="214">
        <v>5.3899999999999998E-4</v>
      </c>
      <c r="AC14" s="214">
        <v>1.194</v>
      </c>
      <c r="AD14" s="213">
        <f t="shared" si="10"/>
        <v>81.069845679525756</v>
      </c>
      <c r="AE14" s="213">
        <f t="shared" si="11"/>
        <v>269.30819801099949</v>
      </c>
      <c r="AF14" s="206">
        <f t="shared" si="12"/>
        <v>2.1938519999999997</v>
      </c>
    </row>
    <row r="15" spans="1:32" x14ac:dyDescent="0.2">
      <c r="A15" s="212">
        <v>75</v>
      </c>
      <c r="B15" s="214">
        <v>4.6660000000000004</v>
      </c>
      <c r="C15" s="214">
        <v>22.69</v>
      </c>
      <c r="D15" s="214">
        <v>0.66180000000000005</v>
      </c>
      <c r="E15" s="213">
        <f t="shared" si="0"/>
        <v>0.14855276051434746</v>
      </c>
      <c r="F15" s="213">
        <f t="shared" si="1"/>
        <v>0.49348158872568487</v>
      </c>
      <c r="G15" s="214">
        <v>4.7969999999999999E-2</v>
      </c>
      <c r="H15" s="214">
        <v>0.1663</v>
      </c>
      <c r="I15" s="214">
        <v>0.44919999999999999</v>
      </c>
      <c r="J15" s="213">
        <f t="shared" si="2"/>
        <v>14.449597259952998</v>
      </c>
      <c r="K15" s="213">
        <f t="shared" si="3"/>
        <v>48.000523097645321</v>
      </c>
      <c r="L15" s="214">
        <v>2.0660000000000001E-2</v>
      </c>
      <c r="M15" s="214">
        <v>6.6489999999999994E-2</v>
      </c>
      <c r="N15" s="214">
        <v>0.77500000000000002</v>
      </c>
      <c r="O15" s="213">
        <f t="shared" si="4"/>
        <v>33.550202350432976</v>
      </c>
      <c r="P15" s="213">
        <f t="shared" si="5"/>
        <v>111.45135977705932</v>
      </c>
      <c r="Q15" s="202">
        <v>0.57930000000000004</v>
      </c>
      <c r="R15" s="214">
        <v>3.629</v>
      </c>
      <c r="S15" s="214">
        <v>0.59079999999999999</v>
      </c>
      <c r="T15" s="213">
        <f t="shared" si="6"/>
        <v>1.1965254282063615</v>
      </c>
      <c r="U15" s="213">
        <f t="shared" si="7"/>
        <v>3.9747714362058444</v>
      </c>
      <c r="V15" s="214">
        <v>5.2909999999999999E-2</v>
      </c>
      <c r="W15" s="214">
        <v>0.128</v>
      </c>
      <c r="X15" s="214">
        <v>0.64780000000000004</v>
      </c>
      <c r="Y15" s="213">
        <f t="shared" si="8"/>
        <v>13.100494813077779</v>
      </c>
      <c r="Z15" s="213">
        <f t="shared" si="9"/>
        <v>43.518901776489244</v>
      </c>
      <c r="AA15" s="214">
        <v>5.2030000000000002E-3</v>
      </c>
      <c r="AB15" s="214">
        <v>6.4210000000000005E-4</v>
      </c>
      <c r="AC15" s="214">
        <v>1.0620000000000001</v>
      </c>
      <c r="AD15" s="213">
        <f t="shared" si="10"/>
        <v>133.22067664038926</v>
      </c>
      <c r="AE15" s="213">
        <f t="shared" si="11"/>
        <v>442.54950855161366</v>
      </c>
      <c r="AF15" s="206">
        <f t="shared" si="12"/>
        <v>2.5528750000000002</v>
      </c>
    </row>
    <row r="16" spans="1:32" x14ac:dyDescent="0.2">
      <c r="A16" s="212">
        <v>80</v>
      </c>
      <c r="B16" s="214">
        <v>4.04</v>
      </c>
      <c r="C16" s="214">
        <v>21.69</v>
      </c>
      <c r="D16" s="214">
        <v>0.71870000000000001</v>
      </c>
      <c r="E16" s="213">
        <f t="shared" si="0"/>
        <v>0.17157108429701615</v>
      </c>
      <c r="F16" s="213">
        <f t="shared" si="1"/>
        <v>0.56994680519654595</v>
      </c>
      <c r="G16" s="214">
        <v>4.5830000000000003E-2</v>
      </c>
      <c r="H16" s="214">
        <v>0.15490000000000001</v>
      </c>
      <c r="I16" s="214">
        <v>0.49259999999999998</v>
      </c>
      <c r="J16" s="213">
        <f t="shared" si="2"/>
        <v>15.124311162119687</v>
      </c>
      <c r="K16" s="213">
        <f t="shared" si="3"/>
        <v>50.241874165263923</v>
      </c>
      <c r="L16" s="214">
        <v>1.8859999999999998E-2</v>
      </c>
      <c r="M16" s="214">
        <v>6.0929999999999998E-2</v>
      </c>
      <c r="N16" s="214">
        <v>0.81030000000000002</v>
      </c>
      <c r="O16" s="213">
        <f t="shared" si="4"/>
        <v>36.752236509010885</v>
      </c>
      <c r="P16" s="213">
        <f t="shared" si="5"/>
        <v>122.08828700922831</v>
      </c>
      <c r="Q16" s="202">
        <v>0.49209999999999998</v>
      </c>
      <c r="R16" s="214">
        <v>3.4279999999999999</v>
      </c>
      <c r="S16" s="214">
        <v>0.64270000000000005</v>
      </c>
      <c r="T16" s="213">
        <f t="shared" si="6"/>
        <v>1.4085494423083627</v>
      </c>
      <c r="U16" s="213">
        <f t="shared" si="7"/>
        <v>4.6790999654420764</v>
      </c>
      <c r="V16" s="214">
        <v>4.9549999999999997E-2</v>
      </c>
      <c r="W16" s="214">
        <v>0.1208</v>
      </c>
      <c r="X16" s="214">
        <v>0.7097</v>
      </c>
      <c r="Y16" s="213">
        <f t="shared" si="8"/>
        <v>13.988843199998897</v>
      </c>
      <c r="Z16" s="213">
        <f t="shared" si="9"/>
        <v>46.469931241050375</v>
      </c>
      <c r="AA16" s="214">
        <v>7.9030000000000003E-3</v>
      </c>
      <c r="AB16" s="214">
        <v>8.6399999999999997E-4</v>
      </c>
      <c r="AC16" s="214">
        <v>0.97030000000000005</v>
      </c>
      <c r="AD16" s="213">
        <f t="shared" si="10"/>
        <v>87.706843041875899</v>
      </c>
      <c r="AE16" s="213">
        <f t="shared" si="11"/>
        <v>291.35582601468377</v>
      </c>
      <c r="AF16" s="206">
        <f t="shared" si="12"/>
        <v>2.9379679999999997</v>
      </c>
    </row>
    <row r="17" spans="1:32" x14ac:dyDescent="0.2">
      <c r="A17" s="212">
        <v>85</v>
      </c>
      <c r="B17" s="214">
        <v>3.504</v>
      </c>
      <c r="C17" s="214">
        <v>20.37</v>
      </c>
      <c r="D17" s="214">
        <v>0.755</v>
      </c>
      <c r="E17" s="213">
        <f t="shared" si="0"/>
        <v>0.19781597618719901</v>
      </c>
      <c r="F17" s="213">
        <f t="shared" si="1"/>
        <v>0.65713044891382588</v>
      </c>
      <c r="G17" s="214">
        <v>4.3979999999999998E-2</v>
      </c>
      <c r="H17" s="214">
        <v>0.1348</v>
      </c>
      <c r="I17" s="214">
        <v>0.49430000000000002</v>
      </c>
      <c r="J17" s="213">
        <f t="shared" si="2"/>
        <v>15.760508880398939</v>
      </c>
      <c r="K17" s="213">
        <f t="shared" si="3"/>
        <v>52.355277239519012</v>
      </c>
      <c r="L17" s="214">
        <v>1.746E-2</v>
      </c>
      <c r="M17" s="214">
        <v>5.5579999999999997E-2</v>
      </c>
      <c r="N17" s="214">
        <v>0.83919999999999995</v>
      </c>
      <c r="O17" s="213">
        <f t="shared" si="4"/>
        <v>39.699151234819318</v>
      </c>
      <c r="P17" s="213">
        <f t="shared" si="5"/>
        <v>131.87772583012864</v>
      </c>
      <c r="Q17" s="202">
        <v>0.4355</v>
      </c>
      <c r="R17" s="214">
        <v>3.1779999999999999</v>
      </c>
      <c r="S17" s="214">
        <v>0.68610000000000004</v>
      </c>
      <c r="T17" s="213">
        <f t="shared" si="6"/>
        <v>1.5916123549022854</v>
      </c>
      <c r="U17" s="213">
        <f t="shared" si="7"/>
        <v>5.287221797919738</v>
      </c>
      <c r="V17" s="214">
        <v>4.7210000000000002E-2</v>
      </c>
      <c r="W17" s="214">
        <v>0.114</v>
      </c>
      <c r="X17" s="214">
        <v>0.77859999999999996</v>
      </c>
      <c r="Y17" s="213">
        <f t="shared" si="8"/>
        <v>14.682210984112375</v>
      </c>
      <c r="Z17" s="213">
        <f t="shared" si="9"/>
        <v>48.773249163186733</v>
      </c>
      <c r="AA17" s="214">
        <v>7.6860000000000001E-3</v>
      </c>
      <c r="AB17" s="214">
        <v>1.0560000000000001E-3</v>
      </c>
      <c r="AC17" s="214">
        <v>1.0149999999999999</v>
      </c>
      <c r="AD17" s="213">
        <f t="shared" si="10"/>
        <v>90.183083601345984</v>
      </c>
      <c r="AE17" s="213">
        <f t="shared" si="11"/>
        <v>299.58171909888699</v>
      </c>
      <c r="AF17" s="206">
        <f t="shared" si="12"/>
        <v>3.3467790000000015</v>
      </c>
    </row>
    <row r="18" spans="1:32" x14ac:dyDescent="0.2">
      <c r="A18" s="212">
        <v>90</v>
      </c>
      <c r="B18" s="214">
        <v>3.0670000000000002</v>
      </c>
      <c r="C18" s="214">
        <v>18.829999999999998</v>
      </c>
      <c r="D18" s="214">
        <v>0.77259999999999995</v>
      </c>
      <c r="E18" s="213">
        <f t="shared" si="0"/>
        <v>0.22600168912942459</v>
      </c>
      <c r="F18" s="213">
        <f t="shared" si="1"/>
        <v>0.75076136061103538</v>
      </c>
      <c r="G18" s="214">
        <v>4.2279999999999998E-2</v>
      </c>
      <c r="H18" s="214">
        <v>0.1137</v>
      </c>
      <c r="I18" s="214">
        <v>0.46899999999999997</v>
      </c>
      <c r="J18" s="213">
        <f t="shared" si="2"/>
        <v>16.394209568589055</v>
      </c>
      <c r="K18" s="213">
        <f t="shared" si="3"/>
        <v>54.460385359367208</v>
      </c>
      <c r="L18" s="214">
        <v>1.6629999999999999E-2</v>
      </c>
      <c r="M18" s="214">
        <v>5.0389999999999997E-2</v>
      </c>
      <c r="N18" s="214">
        <v>0.85850000000000004</v>
      </c>
      <c r="O18" s="213">
        <f t="shared" si="4"/>
        <v>41.680527995186132</v>
      </c>
      <c r="P18" s="213">
        <f t="shared" si="5"/>
        <v>138.45971695694806</v>
      </c>
      <c r="Q18" s="202">
        <v>0.39710000000000001</v>
      </c>
      <c r="R18" s="214">
        <v>2.9129999999999998</v>
      </c>
      <c r="S18" s="214">
        <v>0.72040000000000004</v>
      </c>
      <c r="T18" s="213">
        <f t="shared" si="6"/>
        <v>1.7455229930998371</v>
      </c>
      <c r="U18" s="213">
        <f t="shared" si="7"/>
        <v>5.7985018710502283</v>
      </c>
      <c r="V18" s="214">
        <v>4.5499999999999999E-2</v>
      </c>
      <c r="W18" s="214">
        <v>0.1077</v>
      </c>
      <c r="X18" s="214">
        <v>0.85219999999999996</v>
      </c>
      <c r="Y18" s="213">
        <f t="shared" si="8"/>
        <v>15.234003968350446</v>
      </c>
      <c r="Z18" s="213">
        <f t="shared" si="9"/>
        <v>50.606265780088918</v>
      </c>
      <c r="AA18" s="214">
        <v>7.5110000000000003E-3</v>
      </c>
      <c r="AB18" s="214">
        <v>1.1590000000000001E-3</v>
      </c>
      <c r="AC18" s="214">
        <v>1.081</v>
      </c>
      <c r="AD18" s="213">
        <f t="shared" si="10"/>
        <v>92.284273806409971</v>
      </c>
      <c r="AE18" s="213">
        <f t="shared" si="11"/>
        <v>306.56172187379121</v>
      </c>
      <c r="AF18" s="206">
        <f t="shared" si="12"/>
        <v>3.7769560000000002</v>
      </c>
    </row>
    <row r="19" spans="1:32" x14ac:dyDescent="0.2">
      <c r="A19" s="212">
        <v>95</v>
      </c>
      <c r="B19" s="214">
        <v>2.7309999999999999</v>
      </c>
      <c r="C19" s="214">
        <v>17.07</v>
      </c>
      <c r="D19" s="214">
        <v>0.77139999999999997</v>
      </c>
      <c r="E19" s="213">
        <f t="shared" si="0"/>
        <v>0.25380709650675404</v>
      </c>
      <c r="F19" s="213">
        <f t="shared" si="1"/>
        <v>0.84312892456757438</v>
      </c>
      <c r="G19" s="214">
        <v>4.0680000000000001E-2</v>
      </c>
      <c r="H19" s="214">
        <v>9.7049999999999997E-2</v>
      </c>
      <c r="I19" s="214">
        <v>0.44059999999999999</v>
      </c>
      <c r="J19" s="213">
        <f t="shared" si="2"/>
        <v>17.039016237953422</v>
      </c>
      <c r="K19" s="213">
        <f t="shared" si="3"/>
        <v>56.602386750099448</v>
      </c>
      <c r="L19" s="214">
        <v>1.5429999999999999E-2</v>
      </c>
      <c r="M19" s="214">
        <v>4.5710000000000001E-2</v>
      </c>
      <c r="N19" s="214">
        <v>0.87629999999999997</v>
      </c>
      <c r="O19" s="213">
        <f t="shared" si="4"/>
        <v>44.922046698635469</v>
      </c>
      <c r="P19" s="213">
        <f t="shared" si="5"/>
        <v>149.22780900803926</v>
      </c>
      <c r="Q19" s="202">
        <v>0.36809999999999998</v>
      </c>
      <c r="R19" s="214">
        <v>2.6539999999999999</v>
      </c>
      <c r="S19" s="214">
        <v>0.74609999999999999</v>
      </c>
      <c r="T19" s="213">
        <f t="shared" si="6"/>
        <v>1.8830404253190582</v>
      </c>
      <c r="U19" s="213">
        <f t="shared" si="7"/>
        <v>6.2553248926760281</v>
      </c>
      <c r="V19" s="214">
        <v>4.41E-2</v>
      </c>
      <c r="W19" s="214">
        <v>0.1013</v>
      </c>
      <c r="X19" s="214">
        <v>0.92220000000000002</v>
      </c>
      <c r="Y19" s="213">
        <f t="shared" si="8"/>
        <v>15.717623141948872</v>
      </c>
      <c r="Z19" s="213">
        <f t="shared" si="9"/>
        <v>52.212813900091739</v>
      </c>
      <c r="AA19" s="214">
        <v>7.345E-3</v>
      </c>
      <c r="AB19" s="214">
        <v>1.1329999999999999E-3</v>
      </c>
      <c r="AC19" s="214">
        <v>1.1160000000000001</v>
      </c>
      <c r="AD19" s="213">
        <f t="shared" si="10"/>
        <v>94.369936087126661</v>
      </c>
      <c r="AE19" s="213">
        <f t="shared" si="11"/>
        <v>313.49014200055086</v>
      </c>
      <c r="AF19" s="206">
        <f t="shared" si="12"/>
        <v>4.2261469999999983</v>
      </c>
    </row>
    <row r="20" spans="1:32" x14ac:dyDescent="0.2">
      <c r="A20" s="212">
        <v>100</v>
      </c>
      <c r="B20" s="214">
        <v>2.5</v>
      </c>
      <c r="C20" s="214">
        <v>15.28</v>
      </c>
      <c r="D20" s="214">
        <v>0.75570000000000004</v>
      </c>
      <c r="E20" s="213">
        <f t="shared" si="0"/>
        <v>0.2772588722239781</v>
      </c>
      <c r="F20" s="213">
        <f t="shared" si="1"/>
        <v>0.92103403719761834</v>
      </c>
      <c r="G20" s="214">
        <v>3.925E-2</v>
      </c>
      <c r="H20" s="214">
        <v>8.5669999999999996E-2</v>
      </c>
      <c r="I20" s="214">
        <v>0.42730000000000001</v>
      </c>
      <c r="J20" s="213">
        <f t="shared" si="2"/>
        <v>17.659800778597333</v>
      </c>
      <c r="K20" s="213">
        <f t="shared" si="3"/>
        <v>58.6645883565362</v>
      </c>
      <c r="L20" s="214">
        <v>1.4659999999999999E-2</v>
      </c>
      <c r="M20" s="214">
        <v>4.1709999999999997E-2</v>
      </c>
      <c r="N20" s="214">
        <v>0.89390000000000003</v>
      </c>
      <c r="O20" s="213">
        <f t="shared" si="4"/>
        <v>47.281526641196812</v>
      </c>
      <c r="P20" s="213">
        <f t="shared" si="5"/>
        <v>157.06583171855701</v>
      </c>
      <c r="Q20" s="202">
        <v>0.34150000000000003</v>
      </c>
      <c r="R20" s="214">
        <v>2.42</v>
      </c>
      <c r="S20" s="214">
        <v>0.76449999999999996</v>
      </c>
      <c r="T20" s="213">
        <f t="shared" si="6"/>
        <v>2.0297135594727531</v>
      </c>
      <c r="U20" s="213">
        <f t="shared" si="7"/>
        <v>6.7425624977863707</v>
      </c>
      <c r="V20" s="214">
        <v>4.2779999999999999E-2</v>
      </c>
      <c r="W20" s="214">
        <v>9.4659999999999994E-2</v>
      </c>
      <c r="X20" s="214">
        <v>0.97909999999999997</v>
      </c>
      <c r="Y20" s="213">
        <f t="shared" si="8"/>
        <v>16.202598891069314</v>
      </c>
      <c r="Z20" s="213">
        <f t="shared" si="9"/>
        <v>53.823868466433979</v>
      </c>
      <c r="AA20" s="214">
        <v>7.2300000000000003E-3</v>
      </c>
      <c r="AB20" s="214">
        <v>9.343E-4</v>
      </c>
      <c r="AC20" s="214">
        <v>1.3089999999999999</v>
      </c>
      <c r="AD20" s="213">
        <f t="shared" si="10"/>
        <v>95.870979330559507</v>
      </c>
      <c r="AE20" s="213">
        <f t="shared" si="11"/>
        <v>318.47649972255124</v>
      </c>
      <c r="AF20" s="206">
        <f t="shared" si="12"/>
        <v>4.6919999999999993</v>
      </c>
    </row>
    <row r="21" spans="1:32" x14ac:dyDescent="0.2">
      <c r="A21" s="212">
        <v>105</v>
      </c>
      <c r="B21" s="214">
        <v>2.3639999999999999</v>
      </c>
      <c r="C21" s="214">
        <v>13.41</v>
      </c>
      <c r="D21" s="214">
        <v>0.72389999999999999</v>
      </c>
      <c r="E21" s="213">
        <f t="shared" si="0"/>
        <v>0.29320946724193964</v>
      </c>
      <c r="F21" s="213">
        <f t="shared" si="1"/>
        <v>0.97402076691795514</v>
      </c>
      <c r="G21" s="214">
        <v>3.8080000000000003E-2</v>
      </c>
      <c r="H21" s="214">
        <v>7.8619999999999995E-2</v>
      </c>
      <c r="I21" s="214">
        <v>0.43940000000000001</v>
      </c>
      <c r="J21" s="213">
        <f t="shared" si="2"/>
        <v>18.202394447477552</v>
      </c>
      <c r="K21" s="213">
        <f t="shared" si="3"/>
        <v>60.467045509297414</v>
      </c>
      <c r="L21" s="214">
        <v>1.397E-2</v>
      </c>
      <c r="M21" s="214">
        <v>3.8150000000000003E-2</v>
      </c>
      <c r="N21" s="214">
        <v>0.90800000000000003</v>
      </c>
      <c r="O21" s="213">
        <f t="shared" si="4"/>
        <v>49.616834685751272</v>
      </c>
      <c r="P21" s="213">
        <f t="shared" si="5"/>
        <v>164.82355712197892</v>
      </c>
      <c r="Q21" s="202">
        <v>0.3135</v>
      </c>
      <c r="R21" s="214">
        <v>2.2269999999999999</v>
      </c>
      <c r="S21" s="214">
        <v>0.77880000000000005</v>
      </c>
      <c r="T21" s="213">
        <f t="shared" si="6"/>
        <v>2.2109957912597937</v>
      </c>
      <c r="U21" s="213">
        <f t="shared" si="7"/>
        <v>7.3447690366636236</v>
      </c>
      <c r="V21" s="214">
        <v>4.1430000000000002E-2</v>
      </c>
      <c r="W21" s="214">
        <v>8.7510000000000004E-2</v>
      </c>
      <c r="X21" s="214">
        <v>1.014</v>
      </c>
      <c r="Y21" s="213">
        <f t="shared" si="8"/>
        <v>16.730561925173674</v>
      </c>
      <c r="Z21" s="213">
        <f t="shared" si="9"/>
        <v>55.577723702487233</v>
      </c>
      <c r="AA21" s="214">
        <v>7.0499999999999998E-3</v>
      </c>
      <c r="AB21" s="214">
        <v>6.1990000000000005E-4</v>
      </c>
      <c r="AC21" s="214">
        <v>1.365</v>
      </c>
      <c r="AD21" s="213">
        <f t="shared" si="10"/>
        <v>98.318749015595074</v>
      </c>
      <c r="AE21" s="213">
        <f t="shared" si="11"/>
        <v>326.60781460908453</v>
      </c>
      <c r="AF21" s="206">
        <f t="shared" si="12"/>
        <v>5.1721629999999994</v>
      </c>
    </row>
    <row r="22" spans="1:32" x14ac:dyDescent="0.2">
      <c r="A22" s="212">
        <v>110</v>
      </c>
      <c r="B22" s="214">
        <v>2.2959999999999998</v>
      </c>
      <c r="C22" s="214">
        <v>11.7</v>
      </c>
      <c r="D22" s="214">
        <v>0.68269999999999997</v>
      </c>
      <c r="E22" s="213">
        <f t="shared" si="0"/>
        <v>0.301893371324018</v>
      </c>
      <c r="F22" s="213">
        <f t="shared" si="1"/>
        <v>1.0028680718615182</v>
      </c>
      <c r="G22" s="214">
        <v>3.7150000000000002E-2</v>
      </c>
      <c r="H22" s="214">
        <v>7.4359999999999996E-2</v>
      </c>
      <c r="I22" s="214">
        <v>0.47520000000000001</v>
      </c>
      <c r="J22" s="213">
        <f t="shared" si="2"/>
        <v>18.658066771465553</v>
      </c>
      <c r="K22" s="213">
        <f t="shared" si="3"/>
        <v>61.980756204415769</v>
      </c>
      <c r="L22" s="214">
        <v>1.336E-2</v>
      </c>
      <c r="M22" s="214">
        <v>3.5209999999999998E-2</v>
      </c>
      <c r="N22" s="214">
        <v>0.9244</v>
      </c>
      <c r="O22" s="213">
        <f t="shared" si="4"/>
        <v>51.882273994007882</v>
      </c>
      <c r="P22" s="213">
        <f t="shared" si="5"/>
        <v>172.34918360733877</v>
      </c>
      <c r="Q22" s="202">
        <v>0.28489999999999999</v>
      </c>
      <c r="R22" s="214">
        <v>2.0609999999999999</v>
      </c>
      <c r="S22" s="214">
        <v>0.78969999999999996</v>
      </c>
      <c r="T22" s="213">
        <f t="shared" si="6"/>
        <v>2.4329490367144446</v>
      </c>
      <c r="U22" s="213">
        <f t="shared" si="7"/>
        <v>8.08208175849086</v>
      </c>
      <c r="V22" s="214">
        <v>4.0079999999999998E-2</v>
      </c>
      <c r="W22" s="214">
        <v>8.047E-2</v>
      </c>
      <c r="X22" s="214">
        <v>1.03</v>
      </c>
      <c r="Y22" s="213">
        <f t="shared" si="8"/>
        <v>17.294091331335963</v>
      </c>
      <c r="Z22" s="213">
        <f t="shared" si="9"/>
        <v>57.449727869112927</v>
      </c>
      <c r="AA22" s="214">
        <v>6.9210000000000001E-3</v>
      </c>
      <c r="AB22" s="214">
        <v>1.9760000000000001E-4</v>
      </c>
      <c r="AC22" s="214">
        <v>3.3090000000000002</v>
      </c>
      <c r="AD22" s="213">
        <f t="shared" si="10"/>
        <v>100.15130480565601</v>
      </c>
      <c r="AE22" s="213">
        <f t="shared" si="11"/>
        <v>332.69543317353646</v>
      </c>
      <c r="AF22" s="206">
        <f t="shared" si="12"/>
        <v>5.6642840000000003</v>
      </c>
    </row>
    <row r="23" spans="1:32" x14ac:dyDescent="0.2">
      <c r="A23" s="212">
        <v>115</v>
      </c>
      <c r="B23" s="214">
        <v>2.2650000000000001</v>
      </c>
      <c r="C23" s="214">
        <v>10.210000000000001</v>
      </c>
      <c r="D23" s="214">
        <v>0.63629999999999998</v>
      </c>
      <c r="E23" s="213">
        <f t="shared" si="0"/>
        <v>0.30602524528032904</v>
      </c>
      <c r="F23" s="213">
        <f t="shared" si="1"/>
        <v>1.0165938600415214</v>
      </c>
      <c r="G23" s="214">
        <v>3.6360000000000003E-2</v>
      </c>
      <c r="H23" s="214">
        <v>7.2010000000000005E-2</v>
      </c>
      <c r="I23" s="214">
        <v>0.53190000000000004</v>
      </c>
      <c r="J23" s="213">
        <f t="shared" si="2"/>
        <v>19.063453810779571</v>
      </c>
      <c r="K23" s="213">
        <f t="shared" si="3"/>
        <v>63.327422799616215</v>
      </c>
      <c r="L23" s="214">
        <v>1.2829999999999999E-2</v>
      </c>
      <c r="M23" s="214">
        <v>6.2710000000000002E-2</v>
      </c>
      <c r="N23" s="214">
        <v>0.94230000000000003</v>
      </c>
      <c r="O23" s="213">
        <f t="shared" si="4"/>
        <v>54.025501212778281</v>
      </c>
      <c r="P23" s="213">
        <f t="shared" si="5"/>
        <v>179.46883031909945</v>
      </c>
      <c r="Q23" s="202">
        <v>0.25790000000000002</v>
      </c>
      <c r="R23" s="214">
        <v>1.9219999999999999</v>
      </c>
      <c r="S23" s="214">
        <v>0.80079999999999996</v>
      </c>
      <c r="T23" s="213">
        <f t="shared" si="6"/>
        <v>2.6876587070955611</v>
      </c>
      <c r="U23" s="213">
        <f t="shared" si="7"/>
        <v>8.9282089685693897</v>
      </c>
      <c r="V23" s="214">
        <v>3.8780000000000002E-2</v>
      </c>
      <c r="W23" s="214">
        <v>7.3940000000000006E-2</v>
      </c>
      <c r="X23" s="214">
        <v>1.0329999999999999</v>
      </c>
      <c r="Y23" s="213">
        <f t="shared" si="8"/>
        <v>17.873831370808283</v>
      </c>
      <c r="Z23" s="213">
        <f t="shared" si="9"/>
        <v>59.375582593967138</v>
      </c>
      <c r="AA23" s="214">
        <v>6.8640000000000003E-3</v>
      </c>
      <c r="AB23" s="214">
        <v>-3.9080000000000001E-4</v>
      </c>
      <c r="AC23" s="214">
        <v>0.64690000000000003</v>
      </c>
      <c r="AD23" s="213">
        <f t="shared" si="10"/>
        <v>100.98298085080788</v>
      </c>
      <c r="AE23" s="213">
        <f t="shared" si="11"/>
        <v>335.45820119377123</v>
      </c>
      <c r="AF23" s="206">
        <f t="shared" si="12"/>
        <v>6.1660109999999984</v>
      </c>
    </row>
    <row r="24" spans="1:32" x14ac:dyDescent="0.2">
      <c r="A24" s="212">
        <v>120</v>
      </c>
      <c r="B24" s="214">
        <v>2.246</v>
      </c>
      <c r="C24" s="214">
        <v>8.9499999999999993</v>
      </c>
      <c r="D24" s="214">
        <v>0.58730000000000004</v>
      </c>
      <c r="E24" s="213">
        <f t="shared" si="0"/>
        <v>0.30861406080140041</v>
      </c>
      <c r="F24" s="213">
        <f t="shared" si="1"/>
        <v>1.0251937190534488</v>
      </c>
      <c r="G24" s="214">
        <v>3.5659999999999997E-2</v>
      </c>
      <c r="H24" s="214">
        <v>7.109E-2</v>
      </c>
      <c r="I24" s="214">
        <v>0.60729999999999995</v>
      </c>
      <c r="J24" s="213">
        <f t="shared" si="2"/>
        <v>19.437666308467339</v>
      </c>
      <c r="K24" s="213">
        <f t="shared" si="3"/>
        <v>64.570529809143181</v>
      </c>
      <c r="L24" s="214">
        <v>1.235E-2</v>
      </c>
      <c r="M24" s="214">
        <v>3.0470000000000001E-2</v>
      </c>
      <c r="N24" s="214">
        <v>0.95660000000000001</v>
      </c>
      <c r="O24" s="213">
        <f t="shared" si="4"/>
        <v>56.125277778133224</v>
      </c>
      <c r="P24" s="213">
        <f t="shared" si="5"/>
        <v>186.44413708453814</v>
      </c>
      <c r="Q24" s="202">
        <v>0.2336</v>
      </c>
      <c r="R24" s="214">
        <v>1.7969999999999999</v>
      </c>
      <c r="S24" s="214">
        <v>0.81159999999999999</v>
      </c>
      <c r="T24" s="213">
        <f t="shared" si="6"/>
        <v>2.9672396428079848</v>
      </c>
      <c r="U24" s="213">
        <f t="shared" si="7"/>
        <v>9.8569567337073867</v>
      </c>
      <c r="V24" s="214">
        <v>3.7580000000000002E-2</v>
      </c>
      <c r="W24" s="214">
        <v>6.8080000000000002E-2</v>
      </c>
      <c r="X24" s="214">
        <v>1.0309999999999999</v>
      </c>
      <c r="Y24" s="213">
        <f t="shared" si="8"/>
        <v>18.44457638530988</v>
      </c>
      <c r="Z24" s="213">
        <f t="shared" si="9"/>
        <v>61.271556492656885</v>
      </c>
      <c r="AA24" s="214">
        <v>6.7260000000000002E-3</v>
      </c>
      <c r="AB24" s="214">
        <v>-8.3080000000000003E-4</v>
      </c>
      <c r="AC24" s="214">
        <v>1.006</v>
      </c>
      <c r="AD24" s="213">
        <f t="shared" si="10"/>
        <v>103.05488857566834</v>
      </c>
      <c r="AE24" s="213">
        <f t="shared" si="11"/>
        <v>342.34092967499936</v>
      </c>
      <c r="AF24" s="206">
        <f t="shared" si="12"/>
        <v>6.6749920000000014</v>
      </c>
    </row>
    <row r="25" spans="1:32" x14ac:dyDescent="0.2">
      <c r="A25" s="212">
        <v>125</v>
      </c>
      <c r="B25" s="214">
        <v>2.2189999999999999</v>
      </c>
      <c r="C25" s="214">
        <v>7.923</v>
      </c>
      <c r="D25" s="214">
        <v>0.53859999999999997</v>
      </c>
      <c r="E25" s="213">
        <f t="shared" si="0"/>
        <v>0.31236916654346342</v>
      </c>
      <c r="F25" s="213">
        <f t="shared" si="1"/>
        <v>1.0376679103172808</v>
      </c>
      <c r="G25" s="214">
        <v>3.5020000000000003E-2</v>
      </c>
      <c r="H25" s="214">
        <v>7.1129999999999999E-2</v>
      </c>
      <c r="I25" s="214">
        <v>0.69740000000000002</v>
      </c>
      <c r="J25" s="213">
        <f t="shared" si="2"/>
        <v>19.792894933179475</v>
      </c>
      <c r="K25" s="213">
        <f t="shared" si="3"/>
        <v>65.750573757682631</v>
      </c>
      <c r="L25" s="214">
        <v>1.192E-2</v>
      </c>
      <c r="M25" s="214">
        <v>2.8629999999999999E-2</v>
      </c>
      <c r="N25" s="214">
        <v>0.96840000000000004</v>
      </c>
      <c r="O25" s="213">
        <f t="shared" si="4"/>
        <v>58.149931255028967</v>
      </c>
      <c r="P25" s="213">
        <f t="shared" si="5"/>
        <v>193.16989035184949</v>
      </c>
      <c r="Q25" s="202">
        <v>0.21299999999999999</v>
      </c>
      <c r="R25" s="214">
        <v>1.677</v>
      </c>
      <c r="S25" s="214">
        <v>0.82169999999999999</v>
      </c>
      <c r="T25" s="213">
        <f t="shared" si="6"/>
        <v>3.2542121153049077</v>
      </c>
      <c r="U25" s="213">
        <f t="shared" si="7"/>
        <v>10.810258652554207</v>
      </c>
      <c r="V25" s="214">
        <v>3.6519999999999997E-2</v>
      </c>
      <c r="W25" s="214">
        <v>6.3039999999999999E-2</v>
      </c>
      <c r="X25" s="214">
        <v>1.0309999999999999</v>
      </c>
      <c r="Y25" s="213">
        <f t="shared" si="8"/>
        <v>18.979933750272327</v>
      </c>
      <c r="Z25" s="213">
        <f t="shared" si="9"/>
        <v>63.049975164130508</v>
      </c>
      <c r="AA25" s="214">
        <v>6.5839999999999996E-3</v>
      </c>
      <c r="AB25" s="214">
        <v>-1.214E-3</v>
      </c>
      <c r="AC25" s="214">
        <v>1.1919999999999999</v>
      </c>
      <c r="AD25" s="213">
        <f t="shared" si="10"/>
        <v>105.27751831104881</v>
      </c>
      <c r="AE25" s="213">
        <f t="shared" si="11"/>
        <v>349.7243458374918</v>
      </c>
      <c r="AF25" s="206">
        <f t="shared" si="12"/>
        <v>7.1888749999999995</v>
      </c>
    </row>
    <row r="26" spans="1:32" x14ac:dyDescent="0.2">
      <c r="A26" s="212">
        <v>130</v>
      </c>
      <c r="B26" s="214">
        <v>2.17</v>
      </c>
      <c r="C26" s="214">
        <v>7.0940000000000003</v>
      </c>
      <c r="D26" s="214">
        <v>0.4909</v>
      </c>
      <c r="E26" s="213">
        <f t="shared" si="0"/>
        <v>0.31942266385250934</v>
      </c>
      <c r="F26" s="213">
        <f t="shared" si="1"/>
        <v>1.0610991211954128</v>
      </c>
      <c r="G26" s="214">
        <v>3.4450000000000001E-2</v>
      </c>
      <c r="H26" s="214">
        <v>7.1599999999999997E-2</v>
      </c>
      <c r="I26" s="214">
        <v>0.79690000000000005</v>
      </c>
      <c r="J26" s="213">
        <f t="shared" si="2"/>
        <v>20.120382599708137</v>
      </c>
      <c r="K26" s="213">
        <f t="shared" si="3"/>
        <v>66.838464237853287</v>
      </c>
      <c r="L26" s="214">
        <v>1.155E-2</v>
      </c>
      <c r="M26" s="214">
        <v>2.7019999999999999E-2</v>
      </c>
      <c r="N26" s="214">
        <v>0.98019999999999996</v>
      </c>
      <c r="O26" s="213">
        <f t="shared" si="4"/>
        <v>60.012742905622972</v>
      </c>
      <c r="P26" s="213">
        <f t="shared" si="5"/>
        <v>199.35801670944122</v>
      </c>
      <c r="Q26" s="202">
        <v>0.19689999999999999</v>
      </c>
      <c r="R26" s="214">
        <v>1.5569999999999999</v>
      </c>
      <c r="S26" s="214">
        <v>0.83089999999999997</v>
      </c>
      <c r="T26" s="213">
        <f t="shared" si="6"/>
        <v>3.5203005615030234</v>
      </c>
      <c r="U26" s="213">
        <f t="shared" si="7"/>
        <v>11.694185337704651</v>
      </c>
      <c r="V26" s="214">
        <v>3.5610000000000003E-2</v>
      </c>
      <c r="W26" s="214">
        <v>5.8740000000000001E-2</v>
      </c>
      <c r="X26" s="214">
        <v>1.0369999999999999</v>
      </c>
      <c r="Y26" s="213">
        <f t="shared" si="8"/>
        <v>19.464958735185206</v>
      </c>
      <c r="Z26" s="213">
        <f t="shared" si="9"/>
        <v>64.661193288234927</v>
      </c>
      <c r="AA26" s="214">
        <v>6.4720000000000003E-3</v>
      </c>
      <c r="AB26" s="214">
        <v>-1.539E-3</v>
      </c>
      <c r="AC26" s="214">
        <v>1.2849999999999999</v>
      </c>
      <c r="AD26" s="213">
        <f t="shared" si="10"/>
        <v>107.09937894931169</v>
      </c>
      <c r="AE26" s="213">
        <f t="shared" si="11"/>
        <v>355.77643587670667</v>
      </c>
      <c r="AF26" s="206">
        <f t="shared" si="12"/>
        <v>7.7053080000000005</v>
      </c>
    </row>
    <row r="27" spans="1:32" x14ac:dyDescent="0.2">
      <c r="A27" s="212">
        <v>135</v>
      </c>
      <c r="B27" s="214">
        <v>2.1019999999999999</v>
      </c>
      <c r="C27" s="214">
        <v>6.45</v>
      </c>
      <c r="D27" s="214">
        <v>0.44690000000000002</v>
      </c>
      <c r="E27" s="213">
        <f t="shared" si="0"/>
        <v>0.32975603261652964</v>
      </c>
      <c r="F27" s="213">
        <f t="shared" si="1"/>
        <v>1.0954258292074432</v>
      </c>
      <c r="G27" s="214">
        <v>3.3939999999999998E-2</v>
      </c>
      <c r="H27" s="214">
        <v>7.263E-2</v>
      </c>
      <c r="I27" s="214">
        <v>0.90990000000000004</v>
      </c>
      <c r="J27" s="213">
        <f t="shared" si="2"/>
        <v>20.4227218786077</v>
      </c>
      <c r="K27" s="213">
        <f t="shared" si="3"/>
        <v>67.842813582617737</v>
      </c>
      <c r="L27" s="214">
        <v>1.1220000000000001E-2</v>
      </c>
      <c r="M27" s="214">
        <v>2.5610000000000001E-2</v>
      </c>
      <c r="N27" s="214">
        <v>0.99009999999999998</v>
      </c>
      <c r="O27" s="213">
        <f t="shared" si="4"/>
        <v>61.777823579317754</v>
      </c>
      <c r="P27" s="213">
        <f t="shared" si="5"/>
        <v>205.22148778913061</v>
      </c>
      <c r="Q27" s="202">
        <v>0.18379999999999999</v>
      </c>
      <c r="R27" s="214">
        <v>1.44</v>
      </c>
      <c r="S27" s="214">
        <v>0.83909999999999996</v>
      </c>
      <c r="T27" s="213">
        <f t="shared" si="6"/>
        <v>3.7712033762782662</v>
      </c>
      <c r="U27" s="213">
        <f t="shared" si="7"/>
        <v>12.52766644719285</v>
      </c>
      <c r="V27" s="214">
        <v>3.4810000000000001E-2</v>
      </c>
      <c r="W27" s="214">
        <v>5.5190000000000003E-2</v>
      </c>
      <c r="X27" s="214">
        <v>1.0489999999999999</v>
      </c>
      <c r="Y27" s="213">
        <f t="shared" si="8"/>
        <v>19.912300504451171</v>
      </c>
      <c r="Z27" s="213">
        <f t="shared" si="9"/>
        <v>66.147230479576152</v>
      </c>
      <c r="AA27" s="214">
        <v>6.306E-3</v>
      </c>
      <c r="AB27" s="214">
        <v>-1.7309999999999999E-3</v>
      </c>
      <c r="AC27" s="214">
        <v>1.4650000000000001</v>
      </c>
      <c r="AD27" s="213">
        <f t="shared" si="10"/>
        <v>109.91867753884321</v>
      </c>
      <c r="AE27" s="213">
        <f t="shared" si="11"/>
        <v>365.14194306914777</v>
      </c>
      <c r="AF27" s="206">
        <f t="shared" si="12"/>
        <v>8.221938999999999</v>
      </c>
    </row>
    <row r="28" spans="1:32" x14ac:dyDescent="0.2">
      <c r="A28" s="212">
        <v>140</v>
      </c>
      <c r="B28" s="214">
        <v>2.0089999999999999</v>
      </c>
      <c r="C28" s="214">
        <v>5.9160000000000004</v>
      </c>
      <c r="D28" s="214">
        <v>0.40179999999999999</v>
      </c>
      <c r="E28" s="213">
        <f t="shared" si="0"/>
        <v>0.34502099579887774</v>
      </c>
      <c r="F28" s="213">
        <f t="shared" si="1"/>
        <v>1.1461349392703066</v>
      </c>
      <c r="G28" s="214">
        <v>3.3450000000000001E-2</v>
      </c>
      <c r="H28" s="214">
        <v>7.4759999999999993E-2</v>
      </c>
      <c r="I28" s="214">
        <v>1.0469999999999999</v>
      </c>
      <c r="J28" s="213">
        <f t="shared" si="2"/>
        <v>20.721888805977436</v>
      </c>
      <c r="K28" s="213">
        <f t="shared" si="3"/>
        <v>68.836624603708387</v>
      </c>
      <c r="L28" s="214">
        <v>1.0880000000000001E-2</v>
      </c>
      <c r="M28" s="214">
        <v>2.436E-2</v>
      </c>
      <c r="N28" s="214">
        <v>0.99639999999999995</v>
      </c>
      <c r="O28" s="213">
        <f t="shared" si="4"/>
        <v>63.708380566171435</v>
      </c>
      <c r="P28" s="213">
        <f t="shared" si="5"/>
        <v>211.63465928254095</v>
      </c>
      <c r="Q28" s="202">
        <v>0.1724</v>
      </c>
      <c r="R28" s="214">
        <v>1.3280000000000001</v>
      </c>
      <c r="S28" s="214">
        <v>0.8458</v>
      </c>
      <c r="T28" s="213">
        <f t="shared" si="6"/>
        <v>4.0205752932711443</v>
      </c>
      <c r="U28" s="213">
        <f t="shared" si="7"/>
        <v>13.356062024327411</v>
      </c>
      <c r="V28" s="214">
        <v>3.4070000000000003E-2</v>
      </c>
      <c r="W28" s="214">
        <v>5.1450000000000003E-2</v>
      </c>
      <c r="X28" s="214">
        <v>1.0569999999999999</v>
      </c>
      <c r="Y28" s="213">
        <f t="shared" si="8"/>
        <v>20.344795437626804</v>
      </c>
      <c r="Z28" s="213">
        <f t="shared" si="9"/>
        <v>67.583947548988718</v>
      </c>
      <c r="AA28" s="214">
        <v>6.1910000000000003E-3</v>
      </c>
      <c r="AB28" s="214">
        <v>-1.8489999999999999E-3</v>
      </c>
      <c r="AC28" s="214">
        <v>1.53</v>
      </c>
      <c r="AD28" s="213">
        <f t="shared" si="10"/>
        <v>111.96045559036428</v>
      </c>
      <c r="AE28" s="213">
        <f t="shared" si="11"/>
        <v>371.92458294201998</v>
      </c>
      <c r="AF28" s="206">
        <f t="shared" si="12"/>
        <v>8.7364160000000002</v>
      </c>
    </row>
    <row r="29" spans="1:32" x14ac:dyDescent="0.2">
      <c r="A29" s="212">
        <v>145</v>
      </c>
      <c r="B29" s="214">
        <v>1.895</v>
      </c>
      <c r="C29" s="214">
        <v>5.4980000000000002</v>
      </c>
      <c r="D29" s="214">
        <v>0.35799999999999998</v>
      </c>
      <c r="E29" s="213">
        <f t="shared" si="0"/>
        <v>0.36577687628493155</v>
      </c>
      <c r="F29" s="213">
        <f t="shared" si="1"/>
        <v>1.2150844817910531</v>
      </c>
      <c r="G29" s="214">
        <v>3.2960000000000003E-2</v>
      </c>
      <c r="H29" s="214">
        <v>7.8750000000000001E-2</v>
      </c>
      <c r="I29" s="214">
        <v>1.224</v>
      </c>
      <c r="J29" s="213">
        <f t="shared" si="2"/>
        <v>21.029950866503192</v>
      </c>
      <c r="K29" s="213">
        <f t="shared" si="3"/>
        <v>69.859984617537791</v>
      </c>
      <c r="L29" s="214">
        <v>1.056E-2</v>
      </c>
      <c r="M29" s="214">
        <v>2.3130000000000001E-2</v>
      </c>
      <c r="N29" s="214">
        <v>0.99870000000000003</v>
      </c>
      <c r="O29" s="213">
        <f t="shared" si="4"/>
        <v>65.638937553025116</v>
      </c>
      <c r="P29" s="213">
        <f t="shared" si="5"/>
        <v>218.0478307759513</v>
      </c>
      <c r="Q29" s="202">
        <v>0.16159999999999999</v>
      </c>
      <c r="R29" s="214">
        <v>1.2250000000000001</v>
      </c>
      <c r="S29" s="214">
        <v>0.85189999999999999</v>
      </c>
      <c r="T29" s="213">
        <f t="shared" si="6"/>
        <v>4.2892771074254039</v>
      </c>
      <c r="U29" s="213">
        <f t="shared" si="7"/>
        <v>14.24867012991365</v>
      </c>
      <c r="V29" s="214">
        <v>3.3360000000000001E-2</v>
      </c>
      <c r="W29" s="214">
        <v>4.795E-2</v>
      </c>
      <c r="X29" s="214">
        <v>1.0629999999999999</v>
      </c>
      <c r="Y29" s="213">
        <f t="shared" si="8"/>
        <v>20.777793182252555</v>
      </c>
      <c r="Z29" s="213">
        <f t="shared" si="9"/>
        <v>69.022334921883868</v>
      </c>
      <c r="AA29" s="214">
        <v>6.1149999999999998E-3</v>
      </c>
      <c r="AB29" s="214">
        <v>-1.869E-3</v>
      </c>
      <c r="AC29" s="214">
        <v>1.498</v>
      </c>
      <c r="AD29" s="213">
        <f t="shared" si="10"/>
        <v>113.35195103187985</v>
      </c>
      <c r="AE29" s="213">
        <f t="shared" si="11"/>
        <v>376.54703074309822</v>
      </c>
      <c r="AF29" s="206">
        <f t="shared" si="12"/>
        <v>9.2463870000000004</v>
      </c>
    </row>
    <row r="30" spans="1:32" x14ac:dyDescent="0.2">
      <c r="A30" s="212">
        <v>150</v>
      </c>
      <c r="B30" s="214">
        <v>1.7569999999999999</v>
      </c>
      <c r="C30" s="214">
        <v>5.1769999999999996</v>
      </c>
      <c r="D30" s="214">
        <v>0.31559999999999999</v>
      </c>
      <c r="E30" s="213">
        <f t="shared" si="0"/>
        <v>0.39450607886166494</v>
      </c>
      <c r="F30" s="213">
        <f t="shared" si="1"/>
        <v>1.3105208269744142</v>
      </c>
      <c r="G30" s="214">
        <v>3.243E-2</v>
      </c>
      <c r="H30" s="214">
        <v>8.5989999999999997E-2</v>
      </c>
      <c r="I30" s="214">
        <v>1.4670000000000001</v>
      </c>
      <c r="J30" s="213">
        <f t="shared" si="2"/>
        <v>21.373641090346755</v>
      </c>
      <c r="K30" s="213">
        <f t="shared" si="3"/>
        <v>71.001698828061848</v>
      </c>
      <c r="L30" s="214">
        <v>1.03E-2</v>
      </c>
      <c r="M30" s="214">
        <v>2.198E-2</v>
      </c>
      <c r="N30" s="214">
        <v>1.0129999999999999</v>
      </c>
      <c r="O30" s="213">
        <f t="shared" si="4"/>
        <v>67.295842772810218</v>
      </c>
      <c r="P30" s="213">
        <f t="shared" si="5"/>
        <v>223.55195077612095</v>
      </c>
      <c r="Q30" s="202">
        <v>0.15010000000000001</v>
      </c>
      <c r="R30" s="214">
        <v>1.1319999999999999</v>
      </c>
      <c r="S30" s="214">
        <v>0.85660000000000003</v>
      </c>
      <c r="T30" s="213">
        <f t="shared" si="6"/>
        <v>4.6179026019983027</v>
      </c>
      <c r="U30" s="213">
        <f t="shared" si="7"/>
        <v>15.340340393031617</v>
      </c>
      <c r="V30" s="214">
        <v>3.2660000000000002E-2</v>
      </c>
      <c r="W30" s="214">
        <v>4.4909999999999999E-2</v>
      </c>
      <c r="X30" s="214">
        <v>1.073</v>
      </c>
      <c r="Y30" s="213">
        <f t="shared" si="8"/>
        <v>21.223122491118961</v>
      </c>
      <c r="Z30" s="213">
        <f t="shared" si="9"/>
        <v>70.501686864483943</v>
      </c>
      <c r="AA30" s="214">
        <v>6.0200000000000002E-3</v>
      </c>
      <c r="AB30" s="214">
        <v>-1.7520000000000001E-3</v>
      </c>
      <c r="AC30" s="214">
        <v>1.4830000000000001</v>
      </c>
      <c r="AD30" s="213">
        <f t="shared" si="10"/>
        <v>115.14072766776499</v>
      </c>
      <c r="AE30" s="213">
        <f t="shared" si="11"/>
        <v>382.48921810532318</v>
      </c>
      <c r="AF30" s="206">
        <f t="shared" si="12"/>
        <v>9.7495000000000012</v>
      </c>
    </row>
    <row r="31" spans="1:32" x14ac:dyDescent="0.2">
      <c r="A31" s="215"/>
      <c r="B31" s="216"/>
      <c r="C31" s="216"/>
      <c r="D31" s="216"/>
      <c r="E31" s="216"/>
      <c r="F31" s="217"/>
      <c r="G31" s="216"/>
      <c r="H31" s="216"/>
      <c r="I31" s="216"/>
      <c r="J31" s="216"/>
      <c r="K31" s="217"/>
      <c r="L31" s="216"/>
      <c r="M31" s="216"/>
      <c r="N31" s="216"/>
      <c r="O31" s="216"/>
      <c r="P31" s="217"/>
      <c r="Q31" s="218"/>
      <c r="R31" s="216"/>
      <c r="S31" s="216"/>
      <c r="T31" s="216"/>
      <c r="U31" s="217"/>
      <c r="V31" s="216"/>
      <c r="W31" s="216"/>
      <c r="X31" s="216"/>
      <c r="Y31" s="216"/>
      <c r="Z31" s="217"/>
      <c r="AA31" s="216"/>
      <c r="AB31" s="216"/>
      <c r="AC31" s="216"/>
      <c r="AD31" s="216"/>
      <c r="AE31" s="217"/>
      <c r="AF31" s="219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zoomScaleNormal="100" workbookViewId="0">
      <selection activeCell="A4" sqref="A4"/>
    </sheetView>
  </sheetViews>
  <sheetFormatPr defaultColWidth="8.83203125" defaultRowHeight="12.75" x14ac:dyDescent="0.2"/>
  <cols>
    <col min="1" max="1" width="65.5" customWidth="1"/>
    <col min="2" max="2" width="15.1640625" customWidth="1"/>
  </cols>
  <sheetData>
    <row r="1" spans="1:2" x14ac:dyDescent="0.2">
      <c r="A1" s="220" t="s">
        <v>232</v>
      </c>
    </row>
    <row r="3" spans="1:2" x14ac:dyDescent="0.2">
      <c r="A3" t="s">
        <v>153</v>
      </c>
      <c r="B3" t="s">
        <v>233</v>
      </c>
    </row>
    <row r="4" spans="1:2" ht="51" x14ac:dyDescent="0.2">
      <c r="A4" s="221" t="s">
        <v>234</v>
      </c>
      <c r="B4">
        <v>1</v>
      </c>
    </row>
    <row r="5" spans="1:2" x14ac:dyDescent="0.2">
      <c r="A5" s="221" t="s">
        <v>235</v>
      </c>
      <c r="B5">
        <v>0.5</v>
      </c>
    </row>
    <row r="6" spans="1:2" x14ac:dyDescent="0.2">
      <c r="A6" s="221" t="s">
        <v>236</v>
      </c>
      <c r="B6">
        <v>0.2</v>
      </c>
    </row>
    <row r="7" spans="1:2" x14ac:dyDescent="0.2">
      <c r="A7" s="221" t="s">
        <v>237</v>
      </c>
      <c r="B7">
        <v>0.125</v>
      </c>
    </row>
    <row r="8" spans="1:2" ht="25.5" x14ac:dyDescent="0.2">
      <c r="A8" s="221" t="s">
        <v>238</v>
      </c>
      <c r="B8">
        <v>0.05</v>
      </c>
    </row>
    <row r="9" spans="1:2" ht="38.25" x14ac:dyDescent="0.2">
      <c r="A9" s="221" t="s">
        <v>239</v>
      </c>
      <c r="B9">
        <v>2.5000000000000001E-2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zoomScaleNormal="100" workbookViewId="0">
      <selection activeCell="F9" sqref="F9"/>
    </sheetView>
  </sheetViews>
  <sheetFormatPr defaultColWidth="8.83203125" defaultRowHeight="12.75" x14ac:dyDescent="0.2"/>
  <cols>
    <col min="1" max="1" width="13.5" customWidth="1"/>
  </cols>
  <sheetData>
    <row r="1" spans="1:10" x14ac:dyDescent="0.2">
      <c r="A1" s="220" t="s">
        <v>240</v>
      </c>
    </row>
    <row r="3" spans="1:10" x14ac:dyDescent="0.2">
      <c r="B3" s="232" t="s">
        <v>241</v>
      </c>
      <c r="C3" s="232"/>
      <c r="D3" s="232"/>
      <c r="E3" s="232" t="s">
        <v>242</v>
      </c>
      <c r="F3" s="232"/>
      <c r="G3" s="232"/>
    </row>
    <row r="4" spans="1:10" ht="45" customHeight="1" x14ac:dyDescent="0.2">
      <c r="A4" s="222" t="s">
        <v>38</v>
      </c>
      <c r="B4" s="222" t="s">
        <v>243</v>
      </c>
      <c r="C4" s="222" t="s">
        <v>244</v>
      </c>
      <c r="D4" s="222" t="s">
        <v>245</v>
      </c>
      <c r="E4" s="222" t="s">
        <v>246</v>
      </c>
      <c r="F4" s="222" t="s">
        <v>247</v>
      </c>
      <c r="G4" s="222" t="s">
        <v>248</v>
      </c>
      <c r="H4" s="222" t="s">
        <v>249</v>
      </c>
      <c r="I4" s="222" t="s">
        <v>250</v>
      </c>
      <c r="J4" s="222" t="s">
        <v>251</v>
      </c>
    </row>
    <row r="5" spans="1:10" x14ac:dyDescent="0.2">
      <c r="A5">
        <v>25</v>
      </c>
      <c r="B5" s="223">
        <v>0</v>
      </c>
      <c r="C5" s="223">
        <v>0</v>
      </c>
      <c r="D5" s="223">
        <v>0</v>
      </c>
      <c r="E5" s="223">
        <v>0</v>
      </c>
      <c r="F5" s="223">
        <v>0</v>
      </c>
      <c r="G5" s="223">
        <v>0</v>
      </c>
      <c r="H5" s="223">
        <v>0.92500000000000004</v>
      </c>
      <c r="I5" s="223">
        <v>0</v>
      </c>
      <c r="J5" s="223">
        <v>0</v>
      </c>
    </row>
    <row r="6" spans="1:10" x14ac:dyDescent="0.2">
      <c r="A6">
        <v>30</v>
      </c>
      <c r="B6" s="223">
        <v>0</v>
      </c>
      <c r="C6" s="223">
        <v>0</v>
      </c>
      <c r="D6" s="223">
        <v>0</v>
      </c>
      <c r="E6" s="223">
        <v>0</v>
      </c>
      <c r="F6" s="223">
        <v>0</v>
      </c>
      <c r="G6" s="223">
        <v>0</v>
      </c>
      <c r="H6" s="223">
        <v>4.67</v>
      </c>
      <c r="I6" s="223">
        <v>0</v>
      </c>
      <c r="J6" s="223">
        <v>0</v>
      </c>
    </row>
    <row r="7" spans="1:10" x14ac:dyDescent="0.2">
      <c r="A7">
        <v>35</v>
      </c>
      <c r="B7" s="223">
        <v>0</v>
      </c>
      <c r="C7" s="223">
        <v>0</v>
      </c>
      <c r="D7" s="223">
        <v>0</v>
      </c>
      <c r="E7" s="223">
        <v>0</v>
      </c>
      <c r="F7" s="223">
        <v>0</v>
      </c>
      <c r="G7" s="223">
        <v>0</v>
      </c>
      <c r="H7" s="223">
        <v>1.1000000000000001</v>
      </c>
      <c r="I7" s="223">
        <v>0</v>
      </c>
      <c r="J7" s="223">
        <v>0</v>
      </c>
    </row>
    <row r="8" spans="1:10" x14ac:dyDescent="0.2">
      <c r="A8">
        <v>40</v>
      </c>
      <c r="B8" s="223">
        <v>1.3799999999999999E-4</v>
      </c>
      <c r="C8" s="223">
        <v>0</v>
      </c>
      <c r="D8" s="223">
        <v>1.3799999999999999E-4</v>
      </c>
      <c r="E8" s="223">
        <v>0</v>
      </c>
      <c r="F8" s="223">
        <v>0</v>
      </c>
      <c r="G8" s="223">
        <v>0</v>
      </c>
      <c r="H8" s="223">
        <v>0</v>
      </c>
      <c r="I8" s="223">
        <v>0</v>
      </c>
      <c r="J8" s="223">
        <v>0</v>
      </c>
    </row>
    <row r="9" spans="1:10" x14ac:dyDescent="0.2">
      <c r="A9">
        <v>45</v>
      </c>
      <c r="B9" s="223">
        <v>7.1000000000000002E-4</v>
      </c>
      <c r="C9" s="223">
        <v>0</v>
      </c>
      <c r="D9" s="223">
        <v>7.1000000000000002E-4</v>
      </c>
      <c r="E9" s="223">
        <v>0</v>
      </c>
      <c r="F9" s="223">
        <v>5.7799999999999995E-4</v>
      </c>
      <c r="G9" s="223">
        <v>0</v>
      </c>
      <c r="H9" s="223">
        <v>0</v>
      </c>
      <c r="I9" s="223">
        <v>0</v>
      </c>
      <c r="J9" s="223">
        <v>0</v>
      </c>
    </row>
    <row r="10" spans="1:10" x14ac:dyDescent="0.2">
      <c r="A10">
        <v>50</v>
      </c>
      <c r="B10" s="223">
        <v>8.4799999999999997E-3</v>
      </c>
      <c r="C10" s="223">
        <v>6.7799999999999996E-3</v>
      </c>
      <c r="D10" s="223">
        <v>1.6999999999999999E-3</v>
      </c>
      <c r="E10" s="223">
        <v>0</v>
      </c>
      <c r="F10" s="223">
        <v>7.6499999999999995E-4</v>
      </c>
      <c r="G10" s="223">
        <v>0</v>
      </c>
      <c r="H10" s="223">
        <v>0</v>
      </c>
      <c r="I10" s="223">
        <v>0.34</v>
      </c>
      <c r="J10" s="223">
        <v>8.9399999999999993E-2</v>
      </c>
    </row>
    <row r="11" spans="1:10" x14ac:dyDescent="0.2">
      <c r="A11">
        <v>55</v>
      </c>
      <c r="B11" s="223">
        <v>1.09E-2</v>
      </c>
      <c r="C11" s="223">
        <v>4.5600000000000003E-4</v>
      </c>
      <c r="D11" s="223">
        <v>1.04E-2</v>
      </c>
      <c r="E11" s="223">
        <v>7.0199999999999999E-2</v>
      </c>
      <c r="F11" s="223">
        <v>7.2599999999999997E-4</v>
      </c>
      <c r="G11" s="223">
        <v>0</v>
      </c>
      <c r="H11" s="223">
        <v>0</v>
      </c>
      <c r="I11" s="223">
        <v>0.42</v>
      </c>
      <c r="J11" s="223">
        <v>3.9800000000000002E-2</v>
      </c>
    </row>
    <row r="12" spans="1:10" x14ac:dyDescent="0.2">
      <c r="A12">
        <v>60</v>
      </c>
      <c r="B12" s="223">
        <v>9.8100000000000007E-2</v>
      </c>
      <c r="C12" s="223">
        <v>8.9599999999999992E-3</v>
      </c>
      <c r="D12" s="223">
        <v>8.9099999999999999E-2</v>
      </c>
      <c r="E12" s="223">
        <v>0.113</v>
      </c>
      <c r="F12" s="223">
        <v>1.52E-2</v>
      </c>
      <c r="G12" s="223">
        <v>0</v>
      </c>
      <c r="H12" s="223">
        <v>0</v>
      </c>
      <c r="I12" s="223">
        <v>1.96</v>
      </c>
      <c r="J12" s="223">
        <v>0.69899999999999995</v>
      </c>
    </row>
    <row r="13" spans="1:10" x14ac:dyDescent="0.2">
      <c r="A13">
        <v>65</v>
      </c>
      <c r="B13" s="223">
        <v>0.104</v>
      </c>
      <c r="C13" s="223">
        <v>3.4200000000000001E-2</v>
      </c>
      <c r="D13" s="223">
        <v>7.0000000000000007E-2</v>
      </c>
      <c r="E13" s="223">
        <v>0.187</v>
      </c>
      <c r="F13" s="223">
        <v>2.52E-2</v>
      </c>
      <c r="G13" s="223">
        <v>0</v>
      </c>
      <c r="H13" s="223">
        <v>0</v>
      </c>
      <c r="I13" s="223">
        <v>4.55</v>
      </c>
      <c r="J13" s="223">
        <v>15</v>
      </c>
    </row>
    <row r="14" spans="1:10" x14ac:dyDescent="0.2">
      <c r="A14">
        <v>70</v>
      </c>
      <c r="B14" s="223">
        <v>0.45800000000000002</v>
      </c>
      <c r="C14" s="223">
        <v>7.2499999999999995E-2</v>
      </c>
      <c r="D14" s="223">
        <v>0.38500000000000001</v>
      </c>
      <c r="E14" s="223">
        <v>0.14499999999999999</v>
      </c>
      <c r="F14" s="223">
        <v>8.8900000000000007E-2</v>
      </c>
      <c r="G14" s="223">
        <v>2.0199999999999999E-2</v>
      </c>
      <c r="H14" s="223">
        <v>0</v>
      </c>
      <c r="I14" s="223">
        <v>6.03</v>
      </c>
      <c r="J14" s="223">
        <v>12.2</v>
      </c>
    </row>
    <row r="15" spans="1:10" x14ac:dyDescent="0.2">
      <c r="A15">
        <v>75</v>
      </c>
      <c r="B15" s="223">
        <v>0.501</v>
      </c>
      <c r="C15" s="223">
        <v>9.5299999999999996E-2</v>
      </c>
      <c r="D15" s="223">
        <v>0.40500000000000003</v>
      </c>
      <c r="E15" s="223">
        <v>0.19400000000000001</v>
      </c>
      <c r="F15" s="223">
        <v>0.224</v>
      </c>
      <c r="G15" s="223">
        <v>2.3600000000000001E-3</v>
      </c>
      <c r="H15" s="223">
        <v>0</v>
      </c>
      <c r="I15" s="223">
        <v>8.02</v>
      </c>
      <c r="J15" s="223">
        <v>15.3</v>
      </c>
    </row>
    <row r="16" spans="1:10" x14ac:dyDescent="0.2">
      <c r="A16">
        <v>80</v>
      </c>
      <c r="B16" s="223">
        <v>0.56000000000000005</v>
      </c>
      <c r="C16" s="223">
        <v>0.14000000000000001</v>
      </c>
      <c r="D16" s="223">
        <v>0.42</v>
      </c>
      <c r="E16" s="223">
        <v>1.72</v>
      </c>
      <c r="F16" s="223">
        <v>0.42799999999999999</v>
      </c>
      <c r="G16" s="223">
        <v>0</v>
      </c>
      <c r="H16" s="223">
        <v>0</v>
      </c>
      <c r="I16" s="223">
        <v>25.4</v>
      </c>
      <c r="J16" s="223">
        <v>11</v>
      </c>
    </row>
    <row r="17" spans="1:10" x14ac:dyDescent="0.2">
      <c r="A17">
        <v>85</v>
      </c>
      <c r="B17" s="223">
        <v>0.315</v>
      </c>
      <c r="C17" s="223">
        <v>6.6199999999999995E-2</v>
      </c>
      <c r="D17" s="223">
        <v>0.249</v>
      </c>
      <c r="E17" s="223">
        <v>2.19</v>
      </c>
      <c r="F17" s="223">
        <v>0.218</v>
      </c>
      <c r="G17" s="223">
        <v>7.8299999999999995E-4</v>
      </c>
      <c r="H17" s="223">
        <v>0</v>
      </c>
      <c r="I17" s="223">
        <v>40.299999999999997</v>
      </c>
      <c r="J17" s="223">
        <v>4.09</v>
      </c>
    </row>
    <row r="18" spans="1:10" x14ac:dyDescent="0.2">
      <c r="A18">
        <v>90</v>
      </c>
      <c r="B18" s="223">
        <v>0.17599999999999999</v>
      </c>
      <c r="C18" s="223">
        <v>1.41E-2</v>
      </c>
      <c r="D18" s="223">
        <v>0.16200000000000001</v>
      </c>
      <c r="E18" s="223">
        <v>1.46</v>
      </c>
      <c r="F18" s="223">
        <v>5.33E-2</v>
      </c>
      <c r="G18" s="223">
        <v>0</v>
      </c>
      <c r="H18" s="223">
        <v>0</v>
      </c>
      <c r="I18" s="223">
        <v>21</v>
      </c>
      <c r="J18" s="223">
        <v>3.43</v>
      </c>
    </row>
    <row r="19" spans="1:10" x14ac:dyDescent="0.2">
      <c r="A19">
        <v>95</v>
      </c>
      <c r="B19" s="223">
        <v>2.18E-2</v>
      </c>
      <c r="C19" s="223">
        <v>3.5100000000000001E-3</v>
      </c>
      <c r="D19" s="223">
        <v>1.8200000000000001E-2</v>
      </c>
      <c r="E19" s="223">
        <v>1.1499999999999999</v>
      </c>
      <c r="F19" s="223">
        <v>4.8899999999999999E-2</v>
      </c>
      <c r="G19" s="223">
        <v>0</v>
      </c>
      <c r="H19" s="223">
        <v>0</v>
      </c>
      <c r="I19" s="223">
        <v>10.6</v>
      </c>
      <c r="J19" s="223">
        <v>0.67300000000000004</v>
      </c>
    </row>
    <row r="20" spans="1:10" x14ac:dyDescent="0.2">
      <c r="A20">
        <v>100</v>
      </c>
      <c r="B20" s="223">
        <v>1.55E-2</v>
      </c>
      <c r="C20" s="223">
        <v>8.8400000000000002E-4</v>
      </c>
      <c r="D20" s="223">
        <v>1.46E-2</v>
      </c>
      <c r="E20" s="223">
        <v>1.1200000000000001</v>
      </c>
      <c r="F20" s="223">
        <v>5.8700000000000002E-2</v>
      </c>
      <c r="G20" s="223">
        <v>3.0099999999999998E-2</v>
      </c>
      <c r="H20" s="223">
        <v>0</v>
      </c>
      <c r="I20" s="223">
        <v>7.4</v>
      </c>
      <c r="J20" s="223">
        <v>1.53</v>
      </c>
    </row>
    <row r="21" spans="1:10" x14ac:dyDescent="0.2">
      <c r="A21">
        <v>105</v>
      </c>
      <c r="B21" s="223">
        <v>3.48E-3</v>
      </c>
      <c r="C21" s="223">
        <v>1.97E-3</v>
      </c>
      <c r="D21" s="223">
        <v>1.5100000000000001E-3</v>
      </c>
      <c r="E21" s="223">
        <v>0.96399999999999997</v>
      </c>
      <c r="F21" s="223">
        <v>1.0500000000000001E-2</v>
      </c>
      <c r="G21" s="223">
        <v>0</v>
      </c>
      <c r="H21" s="223">
        <v>0</v>
      </c>
      <c r="I21" s="223">
        <v>7.02</v>
      </c>
      <c r="J21" s="223">
        <v>9.2700000000000005E-2</v>
      </c>
    </row>
    <row r="22" spans="1:10" x14ac:dyDescent="0.2">
      <c r="A22">
        <v>110</v>
      </c>
      <c r="B22" s="223">
        <v>1.0500000000000001E-2</v>
      </c>
      <c r="C22" s="223">
        <v>9.9100000000000004E-3</v>
      </c>
      <c r="D22" s="223">
        <v>5.5099999999999995E-4</v>
      </c>
      <c r="E22" s="223">
        <v>0.747</v>
      </c>
      <c r="F22" s="223">
        <v>6.4600000000000005E-2</v>
      </c>
      <c r="G22" s="223">
        <v>2.1399999999999999E-2</v>
      </c>
      <c r="H22" s="223">
        <v>0</v>
      </c>
      <c r="I22" s="223">
        <v>6.59</v>
      </c>
      <c r="J22" s="223">
        <v>3.0499999999999999E-2</v>
      </c>
    </row>
    <row r="23" spans="1:10" x14ac:dyDescent="0.2">
      <c r="A23">
        <v>115</v>
      </c>
      <c r="B23" s="223">
        <v>4.1000000000000002E-2</v>
      </c>
      <c r="C23" s="223">
        <v>3.7400000000000003E-2</v>
      </c>
      <c r="D23" s="223">
        <v>3.6900000000000001E-3</v>
      </c>
      <c r="E23" s="223">
        <v>1.44</v>
      </c>
      <c r="F23" s="223">
        <v>2.9000000000000001E-2</v>
      </c>
      <c r="G23" s="223">
        <v>9.3600000000000003E-2</v>
      </c>
      <c r="H23" s="223">
        <v>0</v>
      </c>
      <c r="I23" s="223">
        <v>13.8</v>
      </c>
      <c r="J23" s="223">
        <v>0</v>
      </c>
    </row>
    <row r="24" spans="1:10" x14ac:dyDescent="0.2">
      <c r="A24">
        <v>120</v>
      </c>
      <c r="B24" s="223">
        <v>6.9900000000000004E-2</v>
      </c>
      <c r="C24" s="223">
        <v>5.1200000000000002E-2</v>
      </c>
      <c r="D24" s="223">
        <v>1.8700000000000001E-2</v>
      </c>
      <c r="E24" s="223">
        <v>0.93700000000000006</v>
      </c>
      <c r="F24" s="223">
        <v>0.104</v>
      </c>
      <c r="G24" s="223">
        <v>4.7399999999999998E-2</v>
      </c>
      <c r="H24" s="223">
        <v>0</v>
      </c>
      <c r="I24" s="223">
        <v>3.35</v>
      </c>
      <c r="J24" s="223">
        <v>0</v>
      </c>
    </row>
    <row r="25" spans="1:10" x14ac:dyDescent="0.2">
      <c r="A25">
        <v>125</v>
      </c>
      <c r="B25" s="223">
        <v>4.8399999999999999E-2</v>
      </c>
      <c r="C25" s="223">
        <v>4.8099999999999997E-2</v>
      </c>
      <c r="D25" s="223">
        <v>3.4699999999999998E-4</v>
      </c>
      <c r="E25" s="223">
        <v>0.13800000000000001</v>
      </c>
      <c r="F25" s="223">
        <v>8.1299999999999997E-2</v>
      </c>
      <c r="G25" s="223">
        <v>0</v>
      </c>
      <c r="H25" s="223">
        <v>0</v>
      </c>
      <c r="I25" s="223">
        <v>2.75</v>
      </c>
      <c r="J25" s="223">
        <v>0</v>
      </c>
    </row>
    <row r="26" spans="1:10" x14ac:dyDescent="0.2">
      <c r="A26">
        <v>130</v>
      </c>
      <c r="B26" s="223">
        <v>1.8400000000000001E-3</v>
      </c>
      <c r="C26" s="223">
        <v>1.7099999999999999E-3</v>
      </c>
      <c r="D26" s="223">
        <v>1.25E-4</v>
      </c>
      <c r="E26" s="223">
        <v>0.153</v>
      </c>
      <c r="F26" s="223">
        <v>4.4600000000000001E-2</v>
      </c>
      <c r="G26" s="223">
        <v>0</v>
      </c>
      <c r="H26" s="223">
        <v>0</v>
      </c>
      <c r="I26" s="223">
        <v>3.1E-2</v>
      </c>
      <c r="J26" s="223">
        <v>0</v>
      </c>
    </row>
    <row r="27" spans="1:10" x14ac:dyDescent="0.2">
      <c r="A27">
        <v>135</v>
      </c>
      <c r="B27" s="223">
        <v>7.7299999999999999E-3</v>
      </c>
      <c r="C27" s="223">
        <v>7.7299999999999999E-3</v>
      </c>
      <c r="D27" s="223">
        <v>0</v>
      </c>
      <c r="E27" s="223">
        <v>0.14599999999999999</v>
      </c>
      <c r="F27" s="223">
        <v>9.4699999999999993E-3</v>
      </c>
      <c r="G27" s="223">
        <v>0</v>
      </c>
      <c r="H27" s="223">
        <v>0</v>
      </c>
      <c r="I27" s="223">
        <v>0</v>
      </c>
      <c r="J27" s="223">
        <v>0</v>
      </c>
    </row>
    <row r="28" spans="1:10" x14ac:dyDescent="0.2">
      <c r="A28">
        <v>140</v>
      </c>
      <c r="B28" s="223">
        <v>0</v>
      </c>
      <c r="C28" s="223">
        <v>0</v>
      </c>
      <c r="D28" s="223">
        <v>0</v>
      </c>
      <c r="E28" s="223">
        <v>1.9199999999999998E-2</v>
      </c>
      <c r="F28" s="223">
        <v>4.2599999999999999E-3</v>
      </c>
      <c r="G28" s="223">
        <v>0</v>
      </c>
      <c r="H28" s="223">
        <v>0</v>
      </c>
      <c r="I28" s="223">
        <v>0</v>
      </c>
      <c r="J28" s="223">
        <v>0</v>
      </c>
    </row>
    <row r="29" spans="1:10" x14ac:dyDescent="0.2">
      <c r="A29" t="s">
        <v>252</v>
      </c>
      <c r="B29" s="55">
        <f t="shared" ref="B29:J29" si="0">SUM(B5:B28)</f>
        <v>2.4524780000000002</v>
      </c>
      <c r="C29" s="55">
        <f t="shared" si="0"/>
        <v>0.60091000000000006</v>
      </c>
      <c r="D29" s="55">
        <f t="shared" si="0"/>
        <v>1.8507709999999995</v>
      </c>
      <c r="E29" s="55">
        <f t="shared" si="0"/>
        <v>12.8934</v>
      </c>
      <c r="F29" s="55">
        <f t="shared" si="0"/>
        <v>1.5099989999999996</v>
      </c>
      <c r="G29" s="55">
        <f t="shared" si="0"/>
        <v>0.21584300000000001</v>
      </c>
      <c r="H29" s="55">
        <f t="shared" si="0"/>
        <v>6.6950000000000003</v>
      </c>
      <c r="I29" s="55">
        <f t="shared" si="0"/>
        <v>159.56100000000001</v>
      </c>
      <c r="J29" s="55">
        <f t="shared" si="0"/>
        <v>64.174399999999991</v>
      </c>
    </row>
    <row r="30" spans="1:10" x14ac:dyDescent="0.2">
      <c r="A30" t="s">
        <v>253</v>
      </c>
      <c r="B30" s="232">
        <v>110</v>
      </c>
      <c r="C30" s="232"/>
      <c r="D30" s="232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10" sqref="D10"/>
    </sheetView>
  </sheetViews>
  <sheetFormatPr defaultColWidth="8.83203125" defaultRowHeight="12.75" x14ac:dyDescent="0.2"/>
  <cols>
    <col min="1" max="1" width="26.33203125" customWidth="1"/>
    <col min="2" max="2" width="12" customWidth="1"/>
  </cols>
  <sheetData>
    <row r="1" spans="1:6" x14ac:dyDescent="0.2">
      <c r="A1" s="220" t="s">
        <v>254</v>
      </c>
    </row>
    <row r="2" spans="1:6" x14ac:dyDescent="0.2">
      <c r="A2" s="220" t="s">
        <v>255</v>
      </c>
    </row>
    <row r="3" spans="1:6" ht="24" customHeight="1" x14ac:dyDescent="0.2">
      <c r="C3" s="246" t="s">
        <v>256</v>
      </c>
      <c r="D3" s="246"/>
      <c r="E3" s="246" t="s">
        <v>257</v>
      </c>
      <c r="F3" s="246"/>
    </row>
    <row r="4" spans="1:6" ht="23.25" customHeight="1" x14ac:dyDescent="0.2">
      <c r="A4" s="222" t="s">
        <v>258</v>
      </c>
      <c r="B4" s="222" t="s">
        <v>259</v>
      </c>
      <c r="C4" s="222" t="s">
        <v>260</v>
      </c>
      <c r="D4" s="222" t="s">
        <v>261</v>
      </c>
      <c r="E4" s="222" t="s">
        <v>260</v>
      </c>
      <c r="F4" s="222" t="s">
        <v>261</v>
      </c>
    </row>
    <row r="5" spans="1:6" x14ac:dyDescent="0.2">
      <c r="A5" t="s">
        <v>262</v>
      </c>
      <c r="B5" s="55">
        <f>NCRP147_4.2!C29</f>
        <v>0.60091000000000006</v>
      </c>
      <c r="C5">
        <v>120</v>
      </c>
      <c r="D5">
        <v>160</v>
      </c>
      <c r="E5" s="224">
        <f t="shared" ref="E5:F12" si="0">$B$5*C5</f>
        <v>72.109200000000001</v>
      </c>
      <c r="F5" s="224">
        <f t="shared" si="0"/>
        <v>96.145600000000002</v>
      </c>
    </row>
    <row r="6" spans="1:6" x14ac:dyDescent="0.2">
      <c r="A6" t="s">
        <v>245</v>
      </c>
      <c r="B6" s="55">
        <f>NCRP147_4.2!D29</f>
        <v>1.8507709999999995</v>
      </c>
      <c r="C6">
        <v>120</v>
      </c>
      <c r="D6">
        <v>160</v>
      </c>
      <c r="E6" s="224">
        <f t="shared" si="0"/>
        <v>72.109200000000001</v>
      </c>
      <c r="F6" s="224">
        <f t="shared" si="0"/>
        <v>96.145600000000002</v>
      </c>
    </row>
    <row r="7" spans="1:6" x14ac:dyDescent="0.2">
      <c r="A7" t="s">
        <v>248</v>
      </c>
      <c r="B7" s="55">
        <f>NCRP147_4.2!G29</f>
        <v>0.21584300000000001</v>
      </c>
      <c r="C7">
        <v>200</v>
      </c>
      <c r="D7">
        <v>400</v>
      </c>
      <c r="E7" s="224">
        <f t="shared" si="0"/>
        <v>120.18200000000002</v>
      </c>
      <c r="F7" s="224">
        <f t="shared" si="0"/>
        <v>240.36400000000003</v>
      </c>
    </row>
    <row r="8" spans="1:6" x14ac:dyDescent="0.2">
      <c r="A8" t="s">
        <v>246</v>
      </c>
      <c r="B8" s="55">
        <f>NCRP147_4.2!E29</f>
        <v>12.8934</v>
      </c>
      <c r="C8">
        <v>20</v>
      </c>
      <c r="D8">
        <v>30</v>
      </c>
      <c r="E8" s="224">
        <f t="shared" si="0"/>
        <v>12.0182</v>
      </c>
      <c r="F8" s="224">
        <f t="shared" si="0"/>
        <v>18.0273</v>
      </c>
    </row>
    <row r="9" spans="1:6" x14ac:dyDescent="0.2">
      <c r="A9" t="s">
        <v>247</v>
      </c>
      <c r="B9" s="55">
        <f>NCRP147_4.2!F29</f>
        <v>1.5099989999999996</v>
      </c>
      <c r="C9">
        <v>25</v>
      </c>
      <c r="D9">
        <v>40</v>
      </c>
      <c r="E9" s="224">
        <f t="shared" si="0"/>
        <v>15.022750000000002</v>
      </c>
      <c r="F9" s="224">
        <f t="shared" si="0"/>
        <v>24.0364</v>
      </c>
    </row>
    <row r="10" spans="1:6" x14ac:dyDescent="0.2">
      <c r="A10" t="s">
        <v>263</v>
      </c>
      <c r="B10" s="55">
        <f>NCRP147_4.2!H29</f>
        <v>6.6950000000000003</v>
      </c>
      <c r="C10">
        <v>80</v>
      </c>
      <c r="D10">
        <v>160</v>
      </c>
      <c r="E10" s="224">
        <f t="shared" si="0"/>
        <v>48.072800000000001</v>
      </c>
      <c r="F10" s="224">
        <f t="shared" si="0"/>
        <v>96.145600000000002</v>
      </c>
    </row>
    <row r="11" spans="1:6" x14ac:dyDescent="0.2">
      <c r="A11" t="s">
        <v>250</v>
      </c>
      <c r="B11" s="55">
        <f>NCRP147_4.2!I29</f>
        <v>159.56100000000001</v>
      </c>
      <c r="C11">
        <v>20</v>
      </c>
      <c r="D11">
        <v>30</v>
      </c>
      <c r="E11" s="224">
        <f t="shared" si="0"/>
        <v>12.0182</v>
      </c>
      <c r="F11" s="224">
        <f t="shared" si="0"/>
        <v>18.0273</v>
      </c>
    </row>
    <row r="12" spans="1:6" x14ac:dyDescent="0.2">
      <c r="A12" t="s">
        <v>251</v>
      </c>
      <c r="B12" s="55">
        <f>NCRP147_4.2!J29</f>
        <v>64.174399999999991</v>
      </c>
      <c r="C12">
        <v>20</v>
      </c>
      <c r="D12">
        <v>30</v>
      </c>
      <c r="E12" s="224">
        <f t="shared" si="0"/>
        <v>12.0182</v>
      </c>
      <c r="F12" s="224">
        <f t="shared" si="0"/>
        <v>18.0273</v>
      </c>
    </row>
  </sheetData>
  <mergeCells count="2">
    <mergeCell ref="C3:D3"/>
    <mergeCell ref="E3:F3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zoomScaleNormal="100" workbookViewId="0">
      <selection activeCell="B10" sqref="B10"/>
    </sheetView>
  </sheetViews>
  <sheetFormatPr defaultColWidth="8.83203125" defaultRowHeight="12.75" x14ac:dyDescent="0.2"/>
  <cols>
    <col min="1" max="1" width="20.33203125" customWidth="1"/>
    <col min="2" max="2" width="12.83203125" customWidth="1"/>
  </cols>
  <sheetData>
    <row r="1" spans="1:2" x14ac:dyDescent="0.2">
      <c r="A1" s="220" t="s">
        <v>264</v>
      </c>
    </row>
    <row r="3" spans="1:2" x14ac:dyDescent="0.2">
      <c r="A3" t="s">
        <v>68</v>
      </c>
      <c r="B3" t="s">
        <v>265</v>
      </c>
    </row>
    <row r="4" spans="1:2" x14ac:dyDescent="0.2">
      <c r="A4" t="s">
        <v>132</v>
      </c>
      <c r="B4">
        <v>0.89</v>
      </c>
    </row>
    <row r="5" spans="1:2" x14ac:dyDescent="0.2">
      <c r="A5" t="s">
        <v>266</v>
      </c>
      <c r="B5">
        <v>0.09</v>
      </c>
    </row>
    <row r="6" spans="1:2" x14ac:dyDescent="0.2">
      <c r="A6" t="s">
        <v>267</v>
      </c>
      <c r="B6">
        <v>0.02</v>
      </c>
    </row>
    <row r="7" spans="1:2" x14ac:dyDescent="0.2">
      <c r="A7" t="s">
        <v>268</v>
      </c>
      <c r="B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NCRP147_FigA2A3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Mah, Eugene</cp:lastModifiedBy>
  <cp:revision>8</cp:revision>
  <cp:lastPrinted>2019-02-28T18:07:27Z</cp:lastPrinted>
  <dcterms:created xsi:type="dcterms:W3CDTF">1996-02-05T18:29:10Z</dcterms:created>
  <dcterms:modified xsi:type="dcterms:W3CDTF">2025-02-17T15:02:57Z</dcterms:modified>
  <dc:language>en-US</dc:language>
</cp:coreProperties>
</file>