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eugenem\Documents\Docs\MUSC\Mammo\PhilipsMicrodose\"/>
    </mc:Choice>
  </mc:AlternateContent>
  <bookViews>
    <workbookView xWindow="75" yWindow="-15" windowWidth="13830" windowHeight="6705" tabRatio="856" activeTab="2"/>
  </bookViews>
  <sheets>
    <sheet name="Start here" sheetId="44" r:id="rId1"/>
    <sheet name="Spatial Resolution" sheetId="15" r:id="rId2"/>
    <sheet name="Contrast-to-noise ratio" sheetId="14" r:id="rId3"/>
    <sheet name="Visual Check" sheetId="30" r:id="rId4"/>
    <sheet name="Thickness indication" sheetId="1" r:id="rId5"/>
    <sheet name="Compression force" sheetId="29" r:id="rId6"/>
    <sheet name="X-ray tube output" sheetId="39" r:id="rId7"/>
    <sheet name="Air Kerma reproducibility" sheetId="46" r:id="rId8"/>
    <sheet name="AEC_Breast thickness &amp; Exposure" sheetId="37" r:id="rId9"/>
    <sheet name="AEC_Density compensation" sheetId="36" r:id="rId10"/>
    <sheet name="Tube voltage" sheetId="43" r:id="rId11"/>
    <sheet name="HVL low coll" sheetId="42" r:id="rId12"/>
    <sheet name="HVL high coll" sheetId="55" r:id="rId13"/>
    <sheet name="Contrast Detail Resolution" sheetId="33" r:id="rId14"/>
    <sheet name="Detector linearity" sheetId="32" r:id="rId15"/>
    <sheet name="Image and x-ray field" sheetId="54" r:id="rId16"/>
    <sheet name="Xi Data" sheetId="24" r:id="rId17"/>
    <sheet name="AGD calc tool" sheetId="51" r:id="rId18"/>
    <sheet name="CDMAM tool" sheetId="52" r:id="rId19"/>
    <sheet name="g-grid" sheetId="48" r:id="rId20"/>
    <sheet name="c-grid" sheetId="49" r:id="rId21"/>
    <sheet name="Thickness" sheetId="50" r:id="rId22"/>
    <sheet name="CDMAM truth" sheetId="53" r:id="rId23"/>
  </sheets>
  <definedNames>
    <definedName name="_Toc67376399" localSheetId="7">'Air Kerma reproducibility'!#REF!</definedName>
    <definedName name="_Toc67376399" localSheetId="14">'Detector linearity'!#REF!</definedName>
    <definedName name="_Toc67376399" localSheetId="12">'HVL high coll'!$A$1</definedName>
    <definedName name="_Toc67376399" localSheetId="11">'HVL low coll'!$A$1</definedName>
    <definedName name="_Toc67376399" localSheetId="15">'Image and x-ray field'!$A$1</definedName>
    <definedName name="_Toc67376399" localSheetId="10">'Tube voltage'!#REF!</definedName>
    <definedName name="_Toc67376399" localSheetId="6">'X-ray tube output'!#REF!</definedName>
  </definedNames>
  <calcPr calcId="152511"/>
</workbook>
</file>

<file path=xl/calcChain.xml><?xml version="1.0" encoding="utf-8"?>
<calcChain xmlns="http://schemas.openxmlformats.org/spreadsheetml/2006/main">
  <c r="C51" i="14" l="1"/>
  <c r="C50" i="14"/>
  <c r="C49" i="14"/>
  <c r="C48" i="14"/>
  <c r="C47" i="14"/>
  <c r="N23" i="37" l="1"/>
  <c r="N22" i="37"/>
  <c r="C23" i="37"/>
  <c r="C22" i="37"/>
  <c r="I21" i="37"/>
  <c r="I23" i="37"/>
  <c r="J23" i="37" s="1"/>
  <c r="I22" i="37"/>
  <c r="N21" i="37"/>
  <c r="K60" i="43"/>
  <c r="K69" i="43"/>
  <c r="K68" i="43"/>
  <c r="K67" i="43"/>
  <c r="K65" i="43"/>
  <c r="K64" i="43"/>
  <c r="K63" i="43"/>
  <c r="K61" i="43"/>
  <c r="K59" i="43"/>
  <c r="K58" i="43"/>
  <c r="K57" i="43"/>
  <c r="K56" i="43"/>
  <c r="K54" i="43"/>
  <c r="K53" i="43"/>
  <c r="K52" i="43"/>
  <c r="K50" i="43"/>
  <c r="K49" i="43"/>
  <c r="K48" i="43"/>
  <c r="G40" i="55"/>
  <c r="G35" i="55"/>
  <c r="G30" i="55"/>
  <c r="G25" i="55"/>
  <c r="G20" i="55"/>
  <c r="G40" i="42"/>
  <c r="G35" i="42"/>
  <c r="G30" i="42"/>
  <c r="G25" i="42"/>
  <c r="G20" i="42"/>
  <c r="K125" i="39"/>
  <c r="K124" i="39"/>
  <c r="K123" i="39"/>
  <c r="K119" i="39"/>
  <c r="K118" i="39"/>
  <c r="K117" i="39"/>
  <c r="K113" i="39"/>
  <c r="K112" i="39"/>
  <c r="K111" i="39"/>
  <c r="K107" i="39"/>
  <c r="K106" i="39"/>
  <c r="K105" i="39"/>
  <c r="K101" i="39"/>
  <c r="K100" i="39"/>
  <c r="K99" i="39"/>
  <c r="J22" i="37" l="1"/>
  <c r="E62" i="55"/>
  <c r="F62" i="55" s="1"/>
  <c r="E61" i="55"/>
  <c r="F61" i="55" s="1"/>
  <c r="E60" i="55"/>
  <c r="F60" i="55" s="1"/>
  <c r="E59" i="55"/>
  <c r="F59" i="55" s="1"/>
  <c r="E58" i="55"/>
  <c r="F58" i="55" s="1"/>
  <c r="E52" i="55"/>
  <c r="F52" i="55" s="1"/>
  <c r="E51" i="55"/>
  <c r="F51" i="55" s="1"/>
  <c r="E50" i="55"/>
  <c r="F50" i="55" s="1"/>
  <c r="E49" i="55"/>
  <c r="F49" i="55" s="1"/>
  <c r="E48" i="55"/>
  <c r="F48" i="55" s="1"/>
  <c r="E42" i="55"/>
  <c r="E41" i="55"/>
  <c r="E65" i="55"/>
  <c r="E40" i="55"/>
  <c r="E37" i="55"/>
  <c r="E36" i="55"/>
  <c r="E35" i="55"/>
  <c r="E32" i="55"/>
  <c r="E31" i="55"/>
  <c r="E30" i="55"/>
  <c r="E27" i="55"/>
  <c r="E26" i="55"/>
  <c r="E25" i="55"/>
  <c r="E22" i="55"/>
  <c r="E21" i="55"/>
  <c r="E20" i="55"/>
  <c r="E25" i="15"/>
  <c r="K74" i="39"/>
  <c r="D14" i="46" s="1"/>
  <c r="K75" i="39"/>
  <c r="K76" i="39"/>
  <c r="D16" i="46" s="1"/>
  <c r="K77" i="39"/>
  <c r="D17" i="46" s="1"/>
  <c r="K78" i="39"/>
  <c r="D18" i="46" s="1"/>
  <c r="K79" i="39"/>
  <c r="K80" i="39"/>
  <c r="I13" i="46" s="1"/>
  <c r="K81" i="39"/>
  <c r="I14" i="46" s="1"/>
  <c r="K82" i="39"/>
  <c r="I15" i="46" s="1"/>
  <c r="K83" i="39"/>
  <c r="K84" i="39"/>
  <c r="I17" i="46" s="1"/>
  <c r="K85" i="39"/>
  <c r="I18" i="46" s="1"/>
  <c r="K73" i="39"/>
  <c r="D13" i="46" s="1"/>
  <c r="K68" i="39"/>
  <c r="K69" i="39"/>
  <c r="K67" i="39"/>
  <c r="K62" i="39"/>
  <c r="K63" i="39"/>
  <c r="K61" i="39"/>
  <c r="K56" i="39"/>
  <c r="K57" i="39"/>
  <c r="K55" i="39"/>
  <c r="K50" i="39"/>
  <c r="K51" i="39"/>
  <c r="F13" i="32"/>
  <c r="F14" i="32"/>
  <c r="F15" i="32"/>
  <c r="F16" i="32"/>
  <c r="G16" i="32" s="1"/>
  <c r="F17" i="32"/>
  <c r="F18" i="32"/>
  <c r="F12" i="32"/>
  <c r="G12" i="32"/>
  <c r="E22" i="32"/>
  <c r="G18" i="32"/>
  <c r="G13" i="32"/>
  <c r="G14" i="32"/>
  <c r="G15" i="32"/>
  <c r="G17" i="32"/>
  <c r="E21" i="32"/>
  <c r="E81" i="43"/>
  <c r="F81" i="43" s="1"/>
  <c r="E49" i="42"/>
  <c r="F49" i="42" s="1"/>
  <c r="E62" i="42"/>
  <c r="F62" i="42" s="1"/>
  <c r="E61" i="42"/>
  <c r="F61" i="42" s="1"/>
  <c r="E60" i="42"/>
  <c r="F60" i="42" s="1"/>
  <c r="E59" i="42"/>
  <c r="F59" i="42" s="1"/>
  <c r="E58" i="42"/>
  <c r="F58" i="42" s="1"/>
  <c r="E52" i="42"/>
  <c r="F52" i="42" s="1"/>
  <c r="E51" i="42"/>
  <c r="F51" i="42" s="1"/>
  <c r="E50" i="42"/>
  <c r="F50" i="42" s="1"/>
  <c r="E48" i="42"/>
  <c r="F48" i="42" s="1"/>
  <c r="E52" i="54"/>
  <c r="D24" i="54"/>
  <c r="G24" i="54" s="1"/>
  <c r="E29" i="54" s="1"/>
  <c r="D20" i="54"/>
  <c r="E20" i="54"/>
  <c r="F20" i="54" s="1"/>
  <c r="G20" i="54" s="1"/>
  <c r="D21" i="54"/>
  <c r="E21" i="54"/>
  <c r="F21" i="54" s="1"/>
  <c r="G21" i="54" s="1"/>
  <c r="D22" i="54"/>
  <c r="E22" i="54"/>
  <c r="F22" i="54" s="1"/>
  <c r="G22" i="54" s="1"/>
  <c r="D23" i="54"/>
  <c r="E23" i="54"/>
  <c r="F23" i="54" s="1"/>
  <c r="G23" i="54" s="1"/>
  <c r="E56" i="33"/>
  <c r="I16" i="46"/>
  <c r="D15" i="46"/>
  <c r="I16" i="36"/>
  <c r="J16" i="36" s="1"/>
  <c r="F19" i="36" s="1"/>
  <c r="F26" i="36" s="1"/>
  <c r="I15" i="36"/>
  <c r="J15" i="36" s="1"/>
  <c r="I14" i="36"/>
  <c r="J14" i="36" s="1"/>
  <c r="I13" i="36"/>
  <c r="J13" i="36"/>
  <c r="I12" i="36"/>
  <c r="J12" i="36" s="1"/>
  <c r="K19" i="37"/>
  <c r="K25" i="37" s="1"/>
  <c r="L46" i="39"/>
  <c r="L113" i="39" s="1"/>
  <c r="M113" i="39" s="1"/>
  <c r="E44" i="29"/>
  <c r="E36" i="29"/>
  <c r="E33" i="29"/>
  <c r="E32" i="29"/>
  <c r="E35" i="29"/>
  <c r="H28" i="14"/>
  <c r="H29" i="14" s="1"/>
  <c r="G28" i="14"/>
  <c r="G29" i="14" s="1"/>
  <c r="F28" i="14"/>
  <c r="L60" i="52"/>
  <c r="D61" i="52"/>
  <c r="F59" i="52"/>
  <c r="G59" i="52"/>
  <c r="G58" i="52"/>
  <c r="K59" i="52"/>
  <c r="J59" i="52"/>
  <c r="I59" i="52"/>
  <c r="H59" i="52"/>
  <c r="K58" i="52"/>
  <c r="J58" i="52"/>
  <c r="I58" i="52"/>
  <c r="H58" i="52"/>
  <c r="K57" i="52"/>
  <c r="J57" i="52"/>
  <c r="I57" i="52"/>
  <c r="H57" i="52"/>
  <c r="L70" i="52"/>
  <c r="L69" i="52"/>
  <c r="L68" i="52"/>
  <c r="L67" i="52"/>
  <c r="L66" i="52"/>
  <c r="L65" i="52"/>
  <c r="L64" i="52"/>
  <c r="L63" i="52"/>
  <c r="L62" i="52"/>
  <c r="L61" i="52"/>
  <c r="L59" i="52"/>
  <c r="L58" i="52"/>
  <c r="L57" i="52"/>
  <c r="M68" i="52"/>
  <c r="M67" i="52"/>
  <c r="M66" i="52"/>
  <c r="M65" i="52"/>
  <c r="M64" i="52"/>
  <c r="M63" i="52"/>
  <c r="M62" i="52"/>
  <c r="M61" i="52"/>
  <c r="M60" i="52"/>
  <c r="M59" i="52"/>
  <c r="M58" i="52"/>
  <c r="M57" i="52"/>
  <c r="N68" i="52"/>
  <c r="N67" i="52"/>
  <c r="N66" i="52"/>
  <c r="N65" i="52"/>
  <c r="N64" i="52"/>
  <c r="N63" i="52"/>
  <c r="N62" i="52"/>
  <c r="N61" i="52"/>
  <c r="N60" i="52"/>
  <c r="N59" i="52"/>
  <c r="N58" i="52"/>
  <c r="N57" i="52"/>
  <c r="O67" i="52"/>
  <c r="O66" i="52"/>
  <c r="O65" i="52"/>
  <c r="O64" i="52"/>
  <c r="O63" i="52"/>
  <c r="O62" i="52"/>
  <c r="O61" i="52"/>
  <c r="O60" i="52"/>
  <c r="O59" i="52"/>
  <c r="O58" i="52"/>
  <c r="O57" i="52"/>
  <c r="P66" i="52"/>
  <c r="P65" i="52"/>
  <c r="P64" i="52"/>
  <c r="P63" i="52"/>
  <c r="P62" i="52"/>
  <c r="P61" i="52"/>
  <c r="P60" i="52"/>
  <c r="P59" i="52"/>
  <c r="P58" i="52"/>
  <c r="P57" i="52"/>
  <c r="Q65" i="52"/>
  <c r="Q64" i="52"/>
  <c r="Q63" i="52"/>
  <c r="Q62" i="52"/>
  <c r="Q61" i="52"/>
  <c r="Q60" i="52"/>
  <c r="Q59" i="52"/>
  <c r="Q58" i="52"/>
  <c r="K61" i="52"/>
  <c r="J61" i="52"/>
  <c r="I61" i="52"/>
  <c r="H61" i="52"/>
  <c r="G61" i="52"/>
  <c r="F61" i="52"/>
  <c r="E61" i="52"/>
  <c r="K60" i="52"/>
  <c r="J60" i="52"/>
  <c r="I60" i="52"/>
  <c r="H60" i="52"/>
  <c r="G60" i="52"/>
  <c r="F60" i="52"/>
  <c r="E60" i="52"/>
  <c r="J72" i="52"/>
  <c r="I72" i="52"/>
  <c r="H72" i="52"/>
  <c r="G72" i="52"/>
  <c r="F72" i="52"/>
  <c r="E72" i="52"/>
  <c r="D72" i="52"/>
  <c r="C72" i="52"/>
  <c r="K71" i="52"/>
  <c r="J71" i="52"/>
  <c r="I71" i="52"/>
  <c r="H71" i="52"/>
  <c r="G71" i="52"/>
  <c r="F71" i="52"/>
  <c r="E71" i="52"/>
  <c r="D71" i="52"/>
  <c r="C71" i="52"/>
  <c r="K70" i="52"/>
  <c r="J70" i="52"/>
  <c r="I70" i="52"/>
  <c r="H70" i="52"/>
  <c r="G70" i="52"/>
  <c r="F70" i="52"/>
  <c r="E70" i="52"/>
  <c r="D70" i="52"/>
  <c r="C70" i="52"/>
  <c r="K69" i="52"/>
  <c r="J69" i="52"/>
  <c r="I69" i="52"/>
  <c r="H69" i="52"/>
  <c r="G69" i="52"/>
  <c r="F69" i="52"/>
  <c r="E69" i="52"/>
  <c r="D69" i="52"/>
  <c r="C69" i="52"/>
  <c r="K68" i="52"/>
  <c r="J68" i="52"/>
  <c r="I68" i="52"/>
  <c r="H68" i="52"/>
  <c r="G68" i="52"/>
  <c r="F68" i="52"/>
  <c r="E68" i="52"/>
  <c r="D68" i="52"/>
  <c r="C68" i="52"/>
  <c r="K67" i="52"/>
  <c r="J67" i="52"/>
  <c r="I67" i="52"/>
  <c r="H67" i="52"/>
  <c r="G67" i="52"/>
  <c r="F67" i="52"/>
  <c r="E67" i="52"/>
  <c r="D67" i="52"/>
  <c r="C67" i="52"/>
  <c r="K66" i="52"/>
  <c r="J66" i="52"/>
  <c r="I66" i="52"/>
  <c r="H66" i="52"/>
  <c r="G66" i="52"/>
  <c r="F66" i="52"/>
  <c r="E66" i="52"/>
  <c r="D66" i="52"/>
  <c r="C66" i="52"/>
  <c r="K65" i="52"/>
  <c r="J65" i="52"/>
  <c r="I65" i="52"/>
  <c r="H65" i="52"/>
  <c r="G65" i="52"/>
  <c r="F65" i="52"/>
  <c r="E65" i="52"/>
  <c r="D65" i="52"/>
  <c r="C65" i="52"/>
  <c r="K64" i="52"/>
  <c r="J64" i="52"/>
  <c r="I64" i="52"/>
  <c r="H64" i="52"/>
  <c r="G64" i="52"/>
  <c r="F64" i="52"/>
  <c r="E64" i="52"/>
  <c r="D64" i="52"/>
  <c r="C64" i="52"/>
  <c r="K63" i="52"/>
  <c r="J63" i="52"/>
  <c r="I63" i="52"/>
  <c r="H63" i="52"/>
  <c r="G63" i="52"/>
  <c r="F63" i="52"/>
  <c r="E63" i="52"/>
  <c r="D63" i="52"/>
  <c r="C63" i="52"/>
  <c r="K62" i="52"/>
  <c r="J62" i="52"/>
  <c r="I62" i="52"/>
  <c r="H62" i="52"/>
  <c r="G62" i="52"/>
  <c r="F62" i="52"/>
  <c r="E62" i="52"/>
  <c r="D62" i="52"/>
  <c r="C62" i="52"/>
  <c r="B71" i="52"/>
  <c r="B70" i="52"/>
  <c r="B69" i="52"/>
  <c r="B68" i="52"/>
  <c r="B67" i="52"/>
  <c r="B66" i="52"/>
  <c r="B65" i="52"/>
  <c r="B64" i="52"/>
  <c r="B63" i="52"/>
  <c r="E41" i="33"/>
  <c r="E39" i="33"/>
  <c r="E40" i="33"/>
  <c r="I37" i="33"/>
  <c r="I38" i="33"/>
  <c r="E12" i="51"/>
  <c r="E37" i="33"/>
  <c r="E38" i="33"/>
  <c r="E42" i="33"/>
  <c r="E47" i="33"/>
  <c r="E46" i="33"/>
  <c r="E45" i="33"/>
  <c r="E44" i="33"/>
  <c r="E43" i="33"/>
  <c r="C18" i="37"/>
  <c r="C19" i="37"/>
  <c r="J18" i="33"/>
  <c r="K18" i="33" s="1"/>
  <c r="C18" i="33"/>
  <c r="J14" i="33"/>
  <c r="K14" i="33" s="1"/>
  <c r="C14" i="33"/>
  <c r="J19" i="33"/>
  <c r="C19" i="33"/>
  <c r="K19" i="33"/>
  <c r="C17" i="33"/>
  <c r="J17" i="33"/>
  <c r="K17" i="33" s="1"/>
  <c r="C16" i="33"/>
  <c r="J16" i="33"/>
  <c r="K16" i="33" s="1"/>
  <c r="C15" i="33"/>
  <c r="J15" i="33"/>
  <c r="K15" i="33"/>
  <c r="E26" i="33"/>
  <c r="K15" i="37"/>
  <c r="K14" i="37"/>
  <c r="K16" i="37"/>
  <c r="K17" i="37"/>
  <c r="K18" i="37"/>
  <c r="I19" i="37"/>
  <c r="I18" i="37"/>
  <c r="I16" i="37"/>
  <c r="J16" i="37" s="1"/>
  <c r="N19" i="37"/>
  <c r="N18" i="37"/>
  <c r="N17" i="37"/>
  <c r="N16" i="37"/>
  <c r="N15" i="37"/>
  <c r="N14" i="37"/>
  <c r="E11" i="51"/>
  <c r="E10" i="51"/>
  <c r="E14" i="51"/>
  <c r="E16" i="51"/>
  <c r="D3" i="49"/>
  <c r="E3" i="49" s="1"/>
  <c r="F3" i="49" s="1"/>
  <c r="G3" i="49" s="1"/>
  <c r="H3" i="49" s="1"/>
  <c r="I3" i="49" s="1"/>
  <c r="J3" i="49" s="1"/>
  <c r="K3" i="49" s="1"/>
  <c r="L3" i="49" s="1"/>
  <c r="M3" i="49" s="1"/>
  <c r="N3" i="49" s="1"/>
  <c r="O3" i="49" s="1"/>
  <c r="P3" i="49" s="1"/>
  <c r="Q3" i="49" s="1"/>
  <c r="R3" i="49" s="1"/>
  <c r="S3" i="49" s="1"/>
  <c r="T3" i="49" s="1"/>
  <c r="U3" i="49" s="1"/>
  <c r="V3" i="49" s="1"/>
  <c r="W3" i="49" s="1"/>
  <c r="X3" i="49" s="1"/>
  <c r="Y3" i="49" s="1"/>
  <c r="Z3" i="49" s="1"/>
  <c r="AA3" i="49" s="1"/>
  <c r="AB3" i="49" s="1"/>
  <c r="AC3" i="49" s="1"/>
  <c r="AD3" i="49" s="1"/>
  <c r="AE3" i="49" s="1"/>
  <c r="AF3" i="49" s="1"/>
  <c r="AG3" i="49" s="1"/>
  <c r="AH3" i="49" s="1"/>
  <c r="AI3" i="49" s="1"/>
  <c r="AJ3" i="49" s="1"/>
  <c r="AK3" i="49" s="1"/>
  <c r="AL3" i="49" s="1"/>
  <c r="AM3" i="49" s="1"/>
  <c r="AN3" i="49" s="1"/>
  <c r="AO3" i="49" s="1"/>
  <c r="AP3" i="49" s="1"/>
  <c r="AQ3" i="49" s="1"/>
  <c r="AR3" i="49" s="1"/>
  <c r="AS3" i="49" s="1"/>
  <c r="AT3" i="49" s="1"/>
  <c r="AU3" i="49" s="1"/>
  <c r="AV3" i="49" s="1"/>
  <c r="AW3" i="49" s="1"/>
  <c r="AX3" i="49" s="1"/>
  <c r="AY3" i="49" s="1"/>
  <c r="AZ3" i="49" s="1"/>
  <c r="BA3" i="49" s="1"/>
  <c r="BB3" i="49" s="1"/>
  <c r="BC3" i="49" s="1"/>
  <c r="BD3" i="49" s="1"/>
  <c r="BE3" i="49" s="1"/>
  <c r="BF3" i="49" s="1"/>
  <c r="BG3" i="49" s="1"/>
  <c r="BH3" i="49" s="1"/>
  <c r="BI3" i="49" s="1"/>
  <c r="BJ3" i="49" s="1"/>
  <c r="BK3" i="49" s="1"/>
  <c r="D3" i="48"/>
  <c r="E3" i="48" s="1"/>
  <c r="F3" i="48" s="1"/>
  <c r="G3" i="48" s="1"/>
  <c r="H3" i="48" s="1"/>
  <c r="I3" i="48" s="1"/>
  <c r="J3" i="48" s="1"/>
  <c r="K3" i="48" s="1"/>
  <c r="L3" i="48" s="1"/>
  <c r="M3" i="48" s="1"/>
  <c r="N3" i="48" s="1"/>
  <c r="O3" i="48" s="1"/>
  <c r="P3" i="48" s="1"/>
  <c r="Q3" i="48" s="1"/>
  <c r="R3" i="48" s="1"/>
  <c r="S3" i="48" s="1"/>
  <c r="T3" i="48" s="1"/>
  <c r="U3" i="48" s="1"/>
  <c r="V3" i="48" s="1"/>
  <c r="W3" i="48" s="1"/>
  <c r="X3" i="48" s="1"/>
  <c r="Y3" i="48" s="1"/>
  <c r="Z3" i="48" s="1"/>
  <c r="AA3" i="48" s="1"/>
  <c r="AB3" i="48" s="1"/>
  <c r="AC3" i="48" s="1"/>
  <c r="AD3" i="48" s="1"/>
  <c r="AE3" i="48" s="1"/>
  <c r="AF3" i="48" s="1"/>
  <c r="AG3" i="48" s="1"/>
  <c r="AH3" i="48" s="1"/>
  <c r="AI3" i="48" s="1"/>
  <c r="AJ3" i="48" s="1"/>
  <c r="AK3" i="48" s="1"/>
  <c r="AL3" i="48" s="1"/>
  <c r="AM3" i="48" s="1"/>
  <c r="AN3" i="48" s="1"/>
  <c r="AO3" i="48" s="1"/>
  <c r="AP3" i="48" s="1"/>
  <c r="AQ3" i="48" s="1"/>
  <c r="AR3" i="48" s="1"/>
  <c r="AS3" i="48" s="1"/>
  <c r="AT3" i="48" s="1"/>
  <c r="AU3" i="48" s="1"/>
  <c r="AV3" i="48" s="1"/>
  <c r="AW3" i="48" s="1"/>
  <c r="AX3" i="48" s="1"/>
  <c r="AY3" i="48" s="1"/>
  <c r="AZ3" i="48" s="1"/>
  <c r="BA3" i="48" s="1"/>
  <c r="BB3" i="48" s="1"/>
  <c r="BC3" i="48" s="1"/>
  <c r="BD3" i="48" s="1"/>
  <c r="BE3" i="48" s="1"/>
  <c r="BF3" i="48" s="1"/>
  <c r="BG3" i="48" s="1"/>
  <c r="BH3" i="48" s="1"/>
  <c r="BI3" i="48" s="1"/>
  <c r="BJ3" i="48" s="1"/>
  <c r="BK3" i="48" s="1"/>
  <c r="I15" i="37"/>
  <c r="J15" i="37" s="1"/>
  <c r="I14" i="37"/>
  <c r="J14" i="37" s="1"/>
  <c r="E29" i="32"/>
  <c r="E42" i="42"/>
  <c r="E41" i="42"/>
  <c r="E40" i="42"/>
  <c r="E37" i="42"/>
  <c r="E36" i="42"/>
  <c r="E35" i="42"/>
  <c r="E32" i="42"/>
  <c r="E31" i="42"/>
  <c r="E30" i="42"/>
  <c r="E27" i="42"/>
  <c r="E26" i="42"/>
  <c r="E25" i="42"/>
  <c r="E22" i="42"/>
  <c r="E21" i="42"/>
  <c r="E20" i="42"/>
  <c r="D18" i="29"/>
  <c r="D17" i="29"/>
  <c r="D16" i="29"/>
  <c r="D15" i="29"/>
  <c r="D14" i="29"/>
  <c r="D13" i="29"/>
  <c r="L84" i="39"/>
  <c r="M84" i="39" s="1"/>
  <c r="K49" i="39"/>
  <c r="L55" i="39"/>
  <c r="M55" i="39" s="1"/>
  <c r="L69" i="39"/>
  <c r="M69" i="39" s="1"/>
  <c r="G12" i="1"/>
  <c r="H12" i="1"/>
  <c r="H20" i="1"/>
  <c r="H19" i="1"/>
  <c r="H18" i="1"/>
  <c r="H17" i="1"/>
  <c r="H16" i="1"/>
  <c r="G15" i="1"/>
  <c r="H15" i="1"/>
  <c r="G14" i="1"/>
  <c r="H14" i="1"/>
  <c r="F25" i="1" s="1"/>
  <c r="G13" i="1"/>
  <c r="H13" i="1"/>
  <c r="G20" i="1"/>
  <c r="G19" i="1"/>
  <c r="G18" i="1"/>
  <c r="G17" i="1"/>
  <c r="G16" i="1"/>
  <c r="F26" i="1"/>
  <c r="F32" i="1" s="1"/>
  <c r="H21" i="14"/>
  <c r="H22" i="14" s="1"/>
  <c r="G21" i="14"/>
  <c r="G22" i="14" s="1"/>
  <c r="H26" i="14"/>
  <c r="H27" i="14" s="1"/>
  <c r="G26" i="14"/>
  <c r="G27" i="14" s="1"/>
  <c r="E15" i="14"/>
  <c r="F26" i="14"/>
  <c r="F27" i="14" s="1"/>
  <c r="F21" i="14"/>
  <c r="F22" i="14" s="1"/>
  <c r="L82" i="39"/>
  <c r="M82" i="39" s="1"/>
  <c r="L50" i="39"/>
  <c r="M50" i="39" s="1"/>
  <c r="F24" i="1" l="1"/>
  <c r="F29" i="14"/>
  <c r="F33" i="14" s="1"/>
  <c r="F34" i="14" s="1"/>
  <c r="E42" i="14" s="1"/>
  <c r="L49" i="39"/>
  <c r="M49" i="39" s="1"/>
  <c r="L75" i="39"/>
  <c r="M75" i="39" s="1"/>
  <c r="L57" i="39"/>
  <c r="M57" i="39" s="1"/>
  <c r="J19" i="37"/>
  <c r="J18" i="37"/>
  <c r="D31" i="37" s="1"/>
  <c r="E65" i="42"/>
  <c r="L61" i="39"/>
  <c r="M61" i="39" s="1"/>
  <c r="L62" i="39"/>
  <c r="M62" i="39" s="1"/>
  <c r="L112" i="39"/>
  <c r="M112" i="39" s="1"/>
  <c r="L51" i="39"/>
  <c r="M51" i="39" s="1"/>
  <c r="L56" i="39"/>
  <c r="M56" i="39" s="1"/>
  <c r="D133" i="39" s="1"/>
  <c r="F133" i="39" s="1"/>
  <c r="L63" i="39"/>
  <c r="M63" i="39" s="1"/>
  <c r="L67" i="39"/>
  <c r="M67" i="39" s="1"/>
  <c r="L81" i="39"/>
  <c r="M81" i="39" s="1"/>
  <c r="L79" i="39"/>
  <c r="M79" i="39" s="1"/>
  <c r="L111" i="39"/>
  <c r="M111" i="39" s="1"/>
  <c r="J134" i="39" s="1"/>
  <c r="K134" i="39" s="1"/>
  <c r="E78" i="43"/>
  <c r="F78" i="43" s="1"/>
  <c r="I78" i="43"/>
  <c r="L80" i="39"/>
  <c r="M80" i="39" s="1"/>
  <c r="L76" i="39"/>
  <c r="M76" i="39" s="1"/>
  <c r="L68" i="39"/>
  <c r="M68" i="39" s="1"/>
  <c r="E80" i="43"/>
  <c r="F80" i="43" s="1"/>
  <c r="I77" i="43"/>
  <c r="I23" i="46"/>
  <c r="E79" i="43"/>
  <c r="E77" i="43"/>
  <c r="F77" i="43" s="1"/>
  <c r="L77" i="39"/>
  <c r="M77" i="39" s="1"/>
  <c r="L73" i="39"/>
  <c r="M73" i="39" s="1"/>
  <c r="L85" i="39"/>
  <c r="M85" i="39" s="1"/>
  <c r="L83" i="39"/>
  <c r="M83" i="39" s="1"/>
  <c r="L78" i="39"/>
  <c r="M78" i="39" s="1"/>
  <c r="L74" i="39"/>
  <c r="M74" i="39" s="1"/>
  <c r="L99" i="39"/>
  <c r="M99" i="39" s="1"/>
  <c r="L101" i="39"/>
  <c r="M101" i="39" s="1"/>
  <c r="L106" i="39"/>
  <c r="M106" i="39" s="1"/>
  <c r="L117" i="39"/>
  <c r="M117" i="39" s="1"/>
  <c r="J135" i="39" s="1"/>
  <c r="K135" i="39" s="1"/>
  <c r="L119" i="39"/>
  <c r="M119" i="39" s="1"/>
  <c r="L124" i="39"/>
  <c r="M124" i="39" s="1"/>
  <c r="L105" i="39"/>
  <c r="M105" i="39" s="1"/>
  <c r="L118" i="39"/>
  <c r="M118" i="39" s="1"/>
  <c r="L125" i="39"/>
  <c r="M125" i="39" s="1"/>
  <c r="L100" i="39"/>
  <c r="M100" i="39" s="1"/>
  <c r="L107" i="39"/>
  <c r="M107" i="39" s="1"/>
  <c r="L123" i="39"/>
  <c r="M123" i="39" s="1"/>
  <c r="J136" i="39" s="1"/>
  <c r="K136" i="39" s="1"/>
  <c r="D23" i="46"/>
  <c r="D132" i="39" l="1"/>
  <c r="F132" i="39" s="1"/>
  <c r="J133" i="39"/>
  <c r="K133" i="39" s="1"/>
  <c r="J132" i="39"/>
  <c r="K132" i="39" s="1"/>
  <c r="D136" i="39"/>
  <c r="F136" i="39" s="1"/>
  <c r="D135" i="39"/>
  <c r="F135" i="39" s="1"/>
  <c r="F79" i="43"/>
  <c r="E88" i="43"/>
  <c r="D134" i="39"/>
  <c r="F134" i="39" s="1"/>
  <c r="E29" i="46"/>
  <c r="H138" i="39" l="1"/>
  <c r="E145" i="39" s="1"/>
</calcChain>
</file>

<file path=xl/sharedStrings.xml><?xml version="1.0" encoding="utf-8"?>
<sst xmlns="http://schemas.openxmlformats.org/spreadsheetml/2006/main" count="1094" uniqueCount="465">
  <si>
    <t>C-arm</t>
  </si>
  <si>
    <t>(1) Face Shield</t>
  </si>
  <si>
    <t>(2) All compression paddles</t>
  </si>
  <si>
    <t>(5) Working light</t>
  </si>
  <si>
    <t>(6) Angulation Indicator on display</t>
  </si>
  <si>
    <t>(7) Motion of C-arm</t>
  </si>
  <si>
    <t>(7) C-arm</t>
  </si>
  <si>
    <t>(10) Collimator movement</t>
  </si>
  <si>
    <t>Stand</t>
  </si>
  <si>
    <t>(11) Both Emergency stop buttons</t>
  </si>
  <si>
    <t>(12) Reset button</t>
  </si>
  <si>
    <t>(13) Both sets of foot pedals</t>
  </si>
  <si>
    <t>AW table</t>
  </si>
  <si>
    <t>(8) Laterality buttons (Sin/L and Dx/R)</t>
  </si>
  <si>
    <t>(6) Compressed breast thickness indicator on the display</t>
  </si>
  <si>
    <t>(6) Compression force Indicator on the display</t>
  </si>
  <si>
    <t>Force interval</t>
  </si>
  <si>
    <t>5–8 daN</t>
  </si>
  <si>
    <t>40–60mm</t>
  </si>
  <si>
    <t>70–90mm</t>
  </si>
  <si>
    <t>Thickness interval</t>
  </si>
  <si>
    <t>11-14 daN</t>
  </si>
  <si>
    <t>17-20 daN</t>
  </si>
  <si>
    <t>Part A</t>
  </si>
  <si>
    <t>Part B</t>
  </si>
  <si>
    <t xml:space="preserve">Maintained Compression </t>
  </si>
  <si>
    <t>Compression force at start</t>
  </si>
  <si>
    <t>Compression force after 1 min</t>
  </si>
  <si>
    <t>Compression force at disengage</t>
  </si>
  <si>
    <t>daN</t>
  </si>
  <si>
    <t>mAs values</t>
  </si>
  <si>
    <t>Min</t>
  </si>
  <si>
    <t>Max</t>
  </si>
  <si>
    <t>Used mAs</t>
  </si>
  <si>
    <t>Relative CNR</t>
  </si>
  <si>
    <t>Measured CNR</t>
  </si>
  <si>
    <t>Diam. (mm)</t>
  </si>
  <si>
    <t>Im 1</t>
  </si>
  <si>
    <t>Im 2</t>
  </si>
  <si>
    <t>Im 3</t>
  </si>
  <si>
    <t>Im 4</t>
  </si>
  <si>
    <t>Im 5</t>
  </si>
  <si>
    <t>Im 6</t>
  </si>
  <si>
    <t>Left edge [mm]:</t>
  </si>
  <si>
    <t>Front edge [mm]:</t>
  </si>
  <si>
    <t>Right edge [mm]:</t>
  </si>
  <si>
    <t>Instructions</t>
  </si>
  <si>
    <t>20 / 20</t>
  </si>
  <si>
    <t>30 / 31</t>
  </si>
  <si>
    <t>40 / 45</t>
  </si>
  <si>
    <t>50 / 60</t>
  </si>
  <si>
    <t>60 / 75</t>
  </si>
  <si>
    <t>70 / 88</t>
  </si>
  <si>
    <t>PMMA (mm) /
Breast (mm)</t>
  </si>
  <si>
    <t>Relative CNR OK?</t>
  </si>
  <si>
    <t>- Use the AWS with manual exposure parameters for all measurements.</t>
  </si>
  <si>
    <t>- Compression paddle must be present for all measurements</t>
  </si>
  <si>
    <t>- X-ray tube must be warm before measurements (If not warm make 3 exposures, using 35kV max mAs).</t>
  </si>
  <si>
    <t>Instructions for Unfors Xi</t>
  </si>
  <si>
    <t>Press on</t>
  </si>
  <si>
    <t>Verify values:</t>
  </si>
  <si>
    <t>kVp delay</t>
  </si>
  <si>
    <t>1000 ms</t>
  </si>
  <si>
    <t>Trig delay</t>
  </si>
  <si>
    <t>0 ms</t>
  </si>
  <si>
    <t>calc. delay</t>
  </si>
  <si>
    <t>0.5 s</t>
  </si>
  <si>
    <t>Start XiView</t>
  </si>
  <si>
    <t>Select this excel Workbook from the dropdownlist (A) in Figure 3 and then select the Xi Data Worksheet from droplist (B), see Figure 3 and Figure 4.</t>
  </si>
  <si>
    <t>Press start</t>
  </si>
  <si>
    <t>Open the AEC status window in the ST
Note the reported ESAK (mGy/mAs) in the protocol.</t>
  </si>
  <si>
    <t>ESAK [mGy/mAs]</t>
  </si>
  <si>
    <t>26 kV</t>
  </si>
  <si>
    <t>29 kV</t>
  </si>
  <si>
    <t>32 kV</t>
  </si>
  <si>
    <t>35 kV</t>
  </si>
  <si>
    <t>38 kV</t>
  </si>
  <si>
    <t>Height (mm):</t>
  </si>
  <si>
    <t>Measured air kerma (mGy)</t>
  </si>
  <si>
    <t>Corrected air kerma (mGy)</t>
  </si>
  <si>
    <t/>
  </si>
  <si>
    <t>mAs</t>
  </si>
  <si>
    <t>kV</t>
  </si>
  <si>
    <t>Measured thickness (mm)</t>
  </si>
  <si>
    <t>Deviation (mm)</t>
  </si>
  <si>
    <t>In scan direction:</t>
  </si>
  <si>
    <t>Perpendicular to scan direction:</t>
  </si>
  <si>
    <t>Standard deviation (s):</t>
  </si>
  <si>
    <t>CNR:</t>
  </si>
  <si>
    <t xml:space="preserve"> lp/mm</t>
  </si>
  <si>
    <t>Material:</t>
  </si>
  <si>
    <t>CIRS 016A phantom</t>
  </si>
  <si>
    <t>Outcome of Control:</t>
  </si>
  <si>
    <t xml:space="preserve">Used test equipment </t>
  </si>
  <si>
    <t xml:space="preserve">Equipment type </t>
  </si>
  <si>
    <t>Mark/model</t>
  </si>
  <si>
    <t>Comp.-force (daN) on stand</t>
  </si>
  <si>
    <t xml:space="preserve">Used Exposure parameters: </t>
  </si>
  <si>
    <t>Image 1</t>
  </si>
  <si>
    <t>Image 2</t>
  </si>
  <si>
    <t>Image 3</t>
  </si>
  <si>
    <t>Using ROI 1A</t>
  </si>
  <si>
    <t>SNR:</t>
  </si>
  <si>
    <t>Contrast:</t>
  </si>
  <si>
    <t>Using ROI 1B</t>
  </si>
  <si>
    <t xml:space="preserve">Mean (m): </t>
  </si>
  <si>
    <t>Line pair phantom</t>
  </si>
  <si>
    <t>mGy (AGD)</t>
  </si>
  <si>
    <t>PASS</t>
  </si>
  <si>
    <t>FAIL</t>
  </si>
  <si>
    <t>Comp. -force measured</t>
  </si>
  <si>
    <t>Exposure parameters:</t>
  </si>
  <si>
    <t>During a minute, the compression force may not fluctuate more than 5 N</t>
  </si>
  <si>
    <t>Tube output (mGy/mAs)</t>
  </si>
  <si>
    <t>Subtest ID</t>
  </si>
  <si>
    <t>Action by tester</t>
  </si>
  <si>
    <t>Pass?</t>
  </si>
  <si>
    <t>Comments</t>
  </si>
  <si>
    <t>SNR</t>
  </si>
  <si>
    <t>Mean</t>
  </si>
  <si>
    <t>PMMA thickness</t>
  </si>
  <si>
    <t>CDMAM phantom</t>
  </si>
  <si>
    <t>Quality Control Procedures and Installation Test Record</t>
  </si>
  <si>
    <t>Doc ID:</t>
  </si>
  <si>
    <t>Date:</t>
  </si>
  <si>
    <t>Revision:</t>
  </si>
  <si>
    <t>Purpose of this document:</t>
  </si>
  <si>
    <t>Go trough this sheet by sheet, which you select at the tabs bellow.</t>
  </si>
  <si>
    <t>Information about the customer/site and the system.</t>
  </si>
  <si>
    <t>Test date:</t>
  </si>
  <si>
    <t>Software versions:</t>
  </si>
  <si>
    <t>Test responsible:</t>
  </si>
  <si>
    <t>Bundle:</t>
  </si>
  <si>
    <t>Customer/site:</t>
  </si>
  <si>
    <t>Service Tool</t>
  </si>
  <si>
    <t>Installation date:</t>
  </si>
  <si>
    <t>AWS</t>
  </si>
  <si>
    <t>Serial number:</t>
  </si>
  <si>
    <t>IPK</t>
  </si>
  <si>
    <t>Dose setting:</t>
  </si>
  <si>
    <t>CCS</t>
  </si>
  <si>
    <t>Dose meter</t>
  </si>
  <si>
    <t>DQC phantom</t>
  </si>
  <si>
    <t>Instructions:</t>
  </si>
  <si>
    <t>Follow instructions in the QCP manual.</t>
  </si>
  <si>
    <t>Test data:</t>
  </si>
  <si>
    <t>Test result:</t>
  </si>
  <si>
    <t>Visible line pair density</t>
  </si>
  <si>
    <t>Expected result:</t>
  </si>
  <si>
    <t>Blue cells</t>
  </si>
  <si>
    <t>should be filled out by the tester.</t>
  </si>
  <si>
    <t>In most test cases, instruction are taken from the QCP manual, which must be available.</t>
  </si>
  <si>
    <t>Conversion factor:</t>
  </si>
  <si>
    <t>Converted sum of CNR:</t>
  </si>
  <si>
    <t>Measured mean CNR:</t>
  </si>
  <si>
    <t>The measured CNR must be within ±10% from reference CNR</t>
  </si>
  <si>
    <t>Reference CNR:</t>
  </si>
  <si>
    <t>Deviation from ref. CNR:</t>
  </si>
  <si>
    <t>Comments, additional information</t>
  </si>
  <si>
    <t>Comments, additional information:</t>
  </si>
  <si>
    <t>Outcome of control:</t>
  </si>
  <si>
    <t>Sum of absolute CNR:</t>
  </si>
  <si>
    <t>(14) Emergency stop button</t>
  </si>
  <si>
    <t>(16) Exposure foot-pedal working</t>
  </si>
  <si>
    <t>There must be no fail.</t>
  </si>
  <si>
    <t>None</t>
  </si>
  <si>
    <t>• Compressible material to simulate a breast, such as Styrofoam. (Thickness must be varied during the test.)
• Vernier calliper</t>
  </si>
  <si>
    <t>Average deviation (mm):</t>
  </si>
  <si>
    <t>Maximal abs. deviation (mm):</t>
  </si>
  <si>
    <t>Average abs. deviation (mm):</t>
  </si>
  <si>
    <t>Absolute deviation (mm)</t>
  </si>
  <si>
    <t>The deviation between indicated and measured thickness shall always be less than or equal to 3 mm.</t>
  </si>
  <si>
    <t>Analog scale or compression force measurment device</t>
  </si>
  <si>
    <t>It shall not be possible to use a force larger than 200 N</t>
  </si>
  <si>
    <t>The deviation between indicated and measured force shall always be less than 20 N.</t>
  </si>
  <si>
    <t>Absolute deviation (N)</t>
  </si>
  <si>
    <t>Average force deviation (N):</t>
  </si>
  <si>
    <t>Maximal force deviation (N):</t>
  </si>
  <si>
    <t>Compression force change after 1 min (N):</t>
  </si>
  <si>
    <t>Maximal compression force (N):</t>
  </si>
  <si>
    <t>Red cells</t>
  </si>
  <si>
    <r>
      <t>Note:</t>
    </r>
    <r>
      <rPr>
        <sz val="10"/>
        <rFont val="Arial"/>
        <family val="2"/>
      </rPr>
      <t xml:space="preserve"> The system shall be calibrated according to routines in the Quality Control Procedures document (QCP).</t>
    </r>
  </si>
  <si>
    <t>are automatically calculated.</t>
  </si>
  <si>
    <t>The use of Xi is optional.</t>
  </si>
  <si>
    <t>General test instructions</t>
  </si>
  <si>
    <t>Dose meter calibrated for the correct beam quality.</t>
  </si>
  <si>
    <t>Test procedure and test data:</t>
  </si>
  <si>
    <r>
      <t xml:space="preserve">Position the Xi detector 6 cm from the chest wall and laterally centered using the positioning jigg.
 </t>
    </r>
    <r>
      <rPr>
        <i/>
        <sz val="10"/>
        <rFont val="Arial"/>
        <family val="2"/>
      </rPr>
      <t>(The height of the detector above the object table when using the jigg is 14 mm)</t>
    </r>
  </si>
  <si>
    <t>Height correction factor:</t>
  </si>
  <si>
    <t>Measured and calculated data</t>
  </si>
  <si>
    <t>Intermediate</t>
  </si>
  <si>
    <r>
      <t xml:space="preserve">Use </t>
    </r>
    <r>
      <rPr>
        <b/>
        <sz val="10"/>
        <rFont val="Arial"/>
        <family val="2"/>
      </rPr>
      <t>38 kV</t>
    </r>
    <r>
      <rPr>
        <sz val="10"/>
        <rFont val="Arial"/>
        <family val="2"/>
      </rPr>
      <t xml:space="preserve"> and measure the air kerma three times with different mAs.</t>
    </r>
  </si>
  <si>
    <r>
      <t xml:space="preserve">Use </t>
    </r>
    <r>
      <rPr>
        <b/>
        <sz val="10"/>
        <rFont val="Arial"/>
        <family val="2"/>
      </rPr>
      <t>32 kV</t>
    </r>
    <r>
      <rPr>
        <sz val="10"/>
        <rFont val="Arial"/>
        <family val="2"/>
      </rPr>
      <t xml:space="preserve"> and measure the air kerma 6 times using the lowest available mAs.
Then measure the air kerma once using an intermediate mAs-value.
Then measure the air kerma 6 times with the highest available mAs.</t>
    </r>
  </si>
  <si>
    <t>Make sure that the cells fetch the data from the correct cells in the Xi data sheet. Measurements not used (e.g. test or wrong exposures) should be removed from the Xi data sheet manually after all data is recorded.</t>
  </si>
  <si>
    <t>Measured tube output (mGy/mAs):</t>
  </si>
  <si>
    <t>Dev. from value in ST:</t>
  </si>
  <si>
    <t>Max abs. deviation from ST value:</t>
  </si>
  <si>
    <r>
      <t>Note:</t>
    </r>
    <r>
      <rPr>
        <sz val="11"/>
        <rFont val="Arial"/>
        <family val="2"/>
      </rPr>
      <t xml:space="preserve"> This test uses data from the </t>
    </r>
    <r>
      <rPr>
        <i/>
        <sz val="11"/>
        <rFont val="Arial"/>
        <family val="2"/>
      </rPr>
      <t>X-ray tube output</t>
    </r>
    <r>
      <rPr>
        <sz val="11"/>
        <rFont val="Arial"/>
        <family val="2"/>
      </rPr>
      <t xml:space="preserve"> test and is automatically filled out </t>
    </r>
  </si>
  <si>
    <t>Verify that the data has been fetched appropriately from the source.</t>
  </si>
  <si>
    <t>Highest mAs</t>
  </si>
  <si>
    <t>Lowest mAs</t>
  </si>
  <si>
    <t>Relative standard deviation:</t>
  </si>
  <si>
    <t>Relative standard deviation shall be less than 5%</t>
  </si>
  <si>
    <t>Tube voltage</t>
  </si>
  <si>
    <t>kVp-meter calibrated for the correct beam quality.</t>
  </si>
  <si>
    <t>Accuracy</t>
  </si>
  <si>
    <t>Abs.</t>
  </si>
  <si>
    <t>Rel.</t>
  </si>
  <si>
    <t>Reproducibility at 32 kV</t>
  </si>
  <si>
    <t>Abs. (kV)</t>
  </si>
  <si>
    <t>For all kV, accuracy better than 1 kV.</t>
  </si>
  <si>
    <t>For all kV, reproducibility better than 0.5 kV.</t>
  </si>
  <si>
    <t>Follow instructions in QCP</t>
  </si>
  <si>
    <t>PMMA plates. Thickness should vary between 30 and 50 mm in increments of 5 mm.</t>
  </si>
  <si>
    <t>Expected mAs:</t>
  </si>
  <si>
    <t>Used kV:</t>
  </si>
  <si>
    <r>
      <t xml:space="preserve">Mean
</t>
    </r>
    <r>
      <rPr>
        <sz val="10"/>
        <rFont val="Arial"/>
        <family val="2"/>
      </rPr>
      <t>(background: m)</t>
    </r>
  </si>
  <si>
    <r>
      <t xml:space="preserve">Std dev
</t>
    </r>
    <r>
      <rPr>
        <sz val="10"/>
        <rFont val="Arial"/>
        <family val="2"/>
      </rPr>
      <t>(background: s)</t>
    </r>
  </si>
  <si>
    <t>Rel SNR dev from mean</t>
  </si>
  <si>
    <t>Max abs relative SNR deviation:</t>
  </si>
  <si>
    <t>Max abs relative SNR deviation &lt; 15%</t>
  </si>
  <si>
    <r>
      <t>(A)</t>
    </r>
    <r>
      <rPr>
        <sz val="10"/>
        <rFont val="Arial"/>
        <family val="2"/>
      </rPr>
      <t xml:space="preserve"> Unfors Xi </t>
    </r>
    <r>
      <rPr>
        <b/>
        <sz val="10"/>
        <rFont val="Arial"/>
        <family val="2"/>
      </rPr>
      <t>or</t>
    </r>
  </si>
  <si>
    <r>
      <t>(B)</t>
    </r>
    <r>
      <rPr>
        <sz val="10"/>
        <rFont val="Arial"/>
        <family val="2"/>
      </rPr>
      <t xml:space="preserve"> Dose meter, lead diaphragm, aluminum sheets, it shall be possible to vary thickness in 0.05 mm steps between 0.25 and 0.7 mm</t>
    </r>
  </si>
  <si>
    <t>If Unfors Xi is used in previous tests, this test is automatiocally filled out.</t>
  </si>
  <si>
    <t>If not, follow instructions in QCP manual</t>
  </si>
  <si>
    <t>Is Unfors Xi used?</t>
  </si>
  <si>
    <t>(write "y" or "n")</t>
  </si>
  <si>
    <t>mm Al</t>
  </si>
  <si>
    <t>ESAK</t>
  </si>
  <si>
    <t>Rel. ESAK</t>
  </si>
  <si>
    <t>HVL:</t>
  </si>
  <si>
    <t>Test data and result:</t>
  </si>
  <si>
    <t>For all kV, measured HVL shall be within ±0.03 mm from reference values.</t>
  </si>
  <si>
    <t>Ref value</t>
  </si>
  <si>
    <t>Measured</t>
  </si>
  <si>
    <t>OK/not OK</t>
  </si>
  <si>
    <t>See QCP for instructions</t>
  </si>
  <si>
    <t>min</t>
  </si>
  <si>
    <t>max</t>
  </si>
  <si>
    <r>
      <t>SNR</t>
    </r>
    <r>
      <rPr>
        <b/>
        <vertAlign val="superscript"/>
        <sz val="10"/>
        <rFont val="Arial"/>
        <family val="2"/>
      </rPr>
      <t>2</t>
    </r>
  </si>
  <si>
    <r>
      <t>SNR</t>
    </r>
    <r>
      <rPr>
        <b/>
        <vertAlign val="superscript"/>
        <sz val="10"/>
        <rFont val="Arial"/>
        <family val="2"/>
      </rPr>
      <t>2</t>
    </r>
    <r>
      <rPr>
        <b/>
        <sz val="10"/>
        <rFont val="Arial"/>
        <family val="2"/>
      </rPr>
      <t>/mAs</t>
    </r>
  </si>
  <si>
    <r>
      <t xml:space="preserve">≈ </t>
    </r>
    <r>
      <rPr>
        <sz val="10"/>
        <rFont val="Arial"/>
        <family val="2"/>
      </rPr>
      <t>11</t>
    </r>
  </si>
  <si>
    <t>≈ 26</t>
  </si>
  <si>
    <t>≈ 22</t>
  </si>
  <si>
    <t>≈ 18</t>
  </si>
  <si>
    <r>
      <t xml:space="preserve">≈ </t>
    </r>
    <r>
      <rPr>
        <sz val="10"/>
        <rFont val="Arial"/>
        <family val="2"/>
      </rPr>
      <t>14</t>
    </r>
  </si>
  <si>
    <r>
      <t>Rel std. dev. of SNR</t>
    </r>
    <r>
      <rPr>
        <vertAlign val="superscript"/>
        <sz val="10"/>
        <rFont val="Arial"/>
        <family val="2"/>
      </rPr>
      <t>2</t>
    </r>
    <r>
      <rPr>
        <sz val="10"/>
        <rFont val="Arial"/>
        <family val="2"/>
      </rPr>
      <t>/mAs:</t>
    </r>
  </si>
  <si>
    <r>
      <t>SNR</t>
    </r>
    <r>
      <rPr>
        <vertAlign val="superscript"/>
        <sz val="10"/>
        <rFont val="Arial"/>
        <family val="2"/>
      </rPr>
      <t>2</t>
    </r>
    <r>
      <rPr>
        <sz val="10"/>
        <rFont val="Arial"/>
        <family val="2"/>
      </rPr>
      <t xml:space="preserve"> - mAs correlation, R</t>
    </r>
    <r>
      <rPr>
        <vertAlign val="superscript"/>
        <sz val="10"/>
        <rFont val="Arial"/>
        <family val="2"/>
      </rPr>
      <t>2</t>
    </r>
    <r>
      <rPr>
        <sz val="10"/>
        <rFont val="Arial"/>
        <family val="2"/>
      </rPr>
      <t>:</t>
    </r>
  </si>
  <si>
    <t>Minimum CNR rel. 5 cm PMMA</t>
  </si>
  <si>
    <t>Abs. target CNR values</t>
  </si>
  <si>
    <t>Rel. dev. from target</t>
  </si>
  <si>
    <t>Fill out below (yellow fields):</t>
  </si>
  <si>
    <t>PMMA thickness (mm):</t>
  </si>
  <si>
    <t>HVL (mm Al):</t>
  </si>
  <si>
    <t>ESAK/mAs (at 45 mm):</t>
  </si>
  <si>
    <t>mAs:</t>
  </si>
  <si>
    <t>Breast thickness (mm):</t>
  </si>
  <si>
    <t>g-factor:</t>
  </si>
  <si>
    <t>c-factor:</t>
  </si>
  <si>
    <t>s-factor:</t>
  </si>
  <si>
    <t>height factor:</t>
  </si>
  <si>
    <t>AGD (mGy):</t>
  </si>
  <si>
    <r>
      <t xml:space="preserve">All data from </t>
    </r>
    <r>
      <rPr>
        <i/>
        <sz val="8"/>
        <rFont val="Arial"/>
        <family val="2"/>
      </rPr>
      <t>Addendum on Digital Mammography to Chapter 3 of the European Guidelines for Quality Assurance in Mammography Screening,</t>
    </r>
    <r>
      <rPr>
        <sz val="8"/>
        <rFont val="Arial"/>
        <family val="2"/>
      </rPr>
      <t xml:space="preserve"> version 1.0, Nov. 2003</t>
    </r>
  </si>
  <si>
    <t>g-factors</t>
  </si>
  <si>
    <t>PMMA thickness (mm)</t>
  </si>
  <si>
    <t>HVL</t>
  </si>
  <si>
    <t>(mm Al)</t>
  </si>
  <si>
    <t>c-factors</t>
  </si>
  <si>
    <t>PMMA (mm)</t>
  </si>
  <si>
    <t>Breast (mm)</t>
  </si>
  <si>
    <t>AGD (mGy)</t>
  </si>
  <si>
    <t>Max dose (achievable) (mGy)</t>
  </si>
  <si>
    <t>Dose rel. achievable level</t>
  </si>
  <si>
    <t>Optional</t>
  </si>
  <si>
    <t>Test data and results:</t>
  </si>
  <si>
    <t>Dose rel. achievable level (maximum):</t>
  </si>
  <si>
    <r>
      <t xml:space="preserve">For each thickness, AGD shall be less than the </t>
    </r>
    <r>
      <rPr>
        <i/>
        <sz val="10"/>
        <rFont val="Arial"/>
        <family val="2"/>
      </rPr>
      <t>achievable</t>
    </r>
    <r>
      <rPr>
        <sz val="10"/>
        <rFont val="Arial"/>
        <family val="2"/>
      </rPr>
      <t xml:space="preserve"> value and CNR shall be higher than the required min rel. 5 cm PMMA.</t>
    </r>
  </si>
  <si>
    <t>Follow instructions in QCP manual.</t>
  </si>
  <si>
    <t>• 0.1 mm or 0.2 mm thick aluminium filter.
• PMMA plates. Thickness should be possible to vary between 20 and 70 mm in increments of 10 mm.
(Note: If absolute CNR values are to be measured, the Al sheet must be a calibrated 0.1 mm filter.</t>
  </si>
  <si>
    <r>
      <t>Threshold thickness (</t>
    </r>
    <r>
      <rPr>
        <b/>
        <sz val="10"/>
        <rFont val="Symbol"/>
        <family val="1"/>
        <charset val="2"/>
      </rPr>
      <t>m</t>
    </r>
    <r>
      <rPr>
        <b/>
        <sz val="10"/>
        <rFont val="Arial"/>
        <family val="2"/>
      </rPr>
      <t>m)</t>
    </r>
  </si>
  <si>
    <t>Dose level:</t>
  </si>
  <si>
    <t>Pass/Fail</t>
  </si>
  <si>
    <r>
      <t>Thickest disc not seen (</t>
    </r>
    <r>
      <rPr>
        <b/>
        <sz val="10"/>
        <rFont val="Symbol"/>
        <family val="1"/>
        <charset val="2"/>
      </rPr>
      <t>m</t>
    </r>
    <r>
      <rPr>
        <b/>
        <sz val="10"/>
        <rFont val="Arial"/>
        <family val="2"/>
      </rPr>
      <t>m)</t>
    </r>
  </si>
  <si>
    <t>For at least 5 of the 6 diameters (4/5 for C70 dose level), the observed lowest thickness must be lower than the thickness threshold.</t>
  </si>
  <si>
    <t>• Contrast detail phantom CDMAM 3.4 including a total of 4 cm PMMA base.
• Diagnostic workstation with calibrated 5 mega pixel monitors located in a room with clinical reading conditions.</t>
  </si>
  <si>
    <t>Follow instructrions in QCP manual.</t>
  </si>
  <si>
    <t>kV:</t>
  </si>
  <si>
    <t>AGD:</t>
  </si>
  <si>
    <t>Alternative evaluation using the Cdcom program</t>
  </si>
  <si>
    <r>
      <t xml:space="preserve">Test data and result: </t>
    </r>
    <r>
      <rPr>
        <b/>
        <i/>
        <sz val="10"/>
        <rFont val="Arial"/>
        <family val="2"/>
      </rPr>
      <t>(fill in exposure parameters above)</t>
    </r>
  </si>
  <si>
    <t>For C70:</t>
  </si>
  <si>
    <t>For C100:</t>
  </si>
  <si>
    <t>For C120:</t>
  </si>
  <si>
    <t xml:space="preserve">IQI (0.16-1.0 mm disks) shall be greater than 15 </t>
  </si>
  <si>
    <t xml:space="preserve">IQI (0.10-1.0 mm disks) shall be greater than 17.5 </t>
  </si>
  <si>
    <t>IQI (0.10-1.0 mm disks) shall be greater than 20</t>
  </si>
  <si>
    <t>D
(mm)</t>
  </si>
  <si>
    <r>
      <t>T</t>
    </r>
    <r>
      <rPr>
        <b/>
        <vertAlign val="subscript"/>
        <sz val="10"/>
        <rFont val="Arial"/>
        <family val="2"/>
      </rPr>
      <t>thres</t>
    </r>
    <r>
      <rPr>
        <b/>
        <sz val="10"/>
        <rFont val="Arial"/>
        <family val="2"/>
      </rPr>
      <t xml:space="preserve">
(mm)</t>
    </r>
  </si>
  <si>
    <r>
      <t>D*T</t>
    </r>
    <r>
      <rPr>
        <b/>
        <vertAlign val="subscript"/>
        <sz val="10"/>
        <rFont val="Arial"/>
        <family val="2"/>
      </rPr>
      <t>thres</t>
    </r>
  </si>
  <si>
    <t>IQI:</t>
  </si>
  <si>
    <r>
      <t>Figure 1:</t>
    </r>
    <r>
      <rPr>
        <sz val="10"/>
        <rFont val="Arial"/>
        <family val="2"/>
      </rPr>
      <t xml:space="preserve"> Correct image rotation.</t>
    </r>
  </si>
  <si>
    <t>Tool for visual evaluation of CDMAM 3.4 images</t>
  </si>
  <si>
    <t>D=2.00</t>
  </si>
  <si>
    <t>D=1.60</t>
  </si>
  <si>
    <t>D=1.25</t>
  </si>
  <si>
    <t>D=1.00</t>
  </si>
  <si>
    <t>D=0.8</t>
  </si>
  <si>
    <t>D=0.63</t>
  </si>
  <si>
    <t>D=0.50</t>
  </si>
  <si>
    <t>D=0.40</t>
  </si>
  <si>
    <t>D=0.31</t>
  </si>
  <si>
    <t>D=0.25</t>
  </si>
  <si>
    <t>D=0.20</t>
  </si>
  <si>
    <t>D=0.16</t>
  </si>
  <si>
    <t>D=0.13</t>
  </si>
  <si>
    <t>D=0.10</t>
  </si>
  <si>
    <t>D=0.08</t>
  </si>
  <si>
    <t>D=0.06</t>
  </si>
  <si>
    <t>U</t>
  </si>
  <si>
    <t>L</t>
  </si>
  <si>
    <t>D</t>
  </si>
  <si>
    <t>R</t>
  </si>
  <si>
    <r>
      <t>T (</t>
    </r>
    <r>
      <rPr>
        <b/>
        <sz val="10"/>
        <rFont val="Symbol"/>
        <family val="1"/>
        <charset val="2"/>
      </rPr>
      <t>m</t>
    </r>
    <r>
      <rPr>
        <b/>
        <sz val="10"/>
        <rFont val="Arial"/>
        <family val="2"/>
      </rPr>
      <t>m)</t>
    </r>
  </si>
  <si>
    <t>D=0.80</t>
  </si>
  <si>
    <t>Fill out table below:</t>
  </si>
  <si>
    <t>Results:</t>
  </si>
  <si>
    <t>1 = true, 0 = false</t>
  </si>
  <si>
    <r>
      <t>Mean D*T</t>
    </r>
    <r>
      <rPr>
        <vertAlign val="subscript"/>
        <sz val="10"/>
        <rFont val="Arial"/>
        <family val="2"/>
      </rPr>
      <t>thres</t>
    </r>
    <r>
      <rPr>
        <sz val="10"/>
        <rFont val="Arial"/>
        <family val="2"/>
      </rPr>
      <t>:</t>
    </r>
  </si>
  <si>
    <t>Force measurement tool</t>
  </si>
  <si>
    <t>Maximal compression force</t>
  </si>
  <si>
    <t>ID of used equipment</t>
  </si>
  <si>
    <t>Yellow tabs</t>
  </si>
  <si>
    <t>Beige cells</t>
  </si>
  <si>
    <t>Red tabs</t>
  </si>
  <si>
    <t>Blue tabs</t>
  </si>
  <si>
    <t>contain data used for calculations. Do not edit!</t>
  </si>
  <si>
    <t>use output data from Xi dose meter (this is optional).</t>
  </si>
  <si>
    <t>use Xi data that is automatically written to the protocol.</t>
  </si>
  <si>
    <t>are auxiliary tabs that are helpful but not necessary to use.</t>
  </si>
  <si>
    <r>
      <t xml:space="preserve">(Type </t>
    </r>
    <r>
      <rPr>
        <b/>
        <sz val="10"/>
        <rFont val="Arial"/>
        <family val="2"/>
      </rPr>
      <t>x</t>
    </r>
    <r>
      <rPr>
        <sz val="10"/>
        <rFont val="Arial"/>
        <family val="2"/>
      </rPr>
      <t xml:space="preserve"> in appropriate cells or NA if not applicable)</t>
    </r>
  </si>
  <si>
    <t>Indicated thickness on display (mm)</t>
  </si>
  <si>
    <t>≤ 5 mm</t>
  </si>
  <si>
    <t>Expected result</t>
  </si>
  <si>
    <t>Actual result</t>
  </si>
  <si>
    <t>Rear edge [mm]:</t>
  </si>
  <si>
    <t>Between 0 and 5 mm</t>
  </si>
  <si>
    <r>
      <t xml:space="preserve">Diff. between real image field and edge of phantom (+ means that real image field is outside)
</t>
    </r>
    <r>
      <rPr>
        <b/>
        <sz val="10"/>
        <color indexed="8"/>
        <rFont val="Arial"/>
        <family val="2"/>
      </rPr>
      <t>Read this in image.</t>
    </r>
  </si>
  <si>
    <r>
      <t xml:space="preserve">Diff. between indicated image field and edge of phantom (+ means indicated field is larger)
</t>
    </r>
    <r>
      <rPr>
        <b/>
        <sz val="10"/>
        <color indexed="8"/>
        <rFont val="Arial"/>
        <family val="2"/>
      </rPr>
      <t>Read this from breast support.</t>
    </r>
  </si>
  <si>
    <t>Diff. between indicated and real image field.
(+ means indicated field is larger)</t>
  </si>
  <si>
    <t>Do NOT fill out here but to the right</t>
  </si>
  <si>
    <t>Stairs</t>
  </si>
  <si>
    <t>Difference</t>
  </si>
  <si>
    <t>between</t>
  </si>
  <si>
    <t>indicated</t>
  </si>
  <si>
    <t>image</t>
  </si>
  <si>
    <t>field</t>
  </si>
  <si>
    <t>Missad tissue at chest wall [mm]:</t>
  </si>
  <si>
    <t xml:space="preserve"> + means that indicated field is outside phantom</t>
  </si>
  <si>
    <t xml:space="preserve"> + means that real field is outside phantom</t>
  </si>
  <si>
    <t>Phantom</t>
  </si>
  <si>
    <t>Difference between real and phantom</t>
  </si>
  <si>
    <t>Difference between indicated and phantom</t>
  </si>
  <si>
    <t>1011954 Image Field Phantom</t>
  </si>
  <si>
    <t>X-ray fluorescent paper</t>
  </si>
  <si>
    <t>Part A: Agreement between real and indicated image field</t>
  </si>
  <si>
    <t>Outcome of Part A:</t>
  </si>
  <si>
    <t>Part B: Agreement between real image field and radiation field</t>
  </si>
  <si>
    <r>
      <t xml:space="preserve">Place image field phantom on patient support.
Check that the phantom is aligned with the four corners (see Fig. 1).
Acquire an image using image type Phantom.
Read the 8 values in the displayed image (indiecated by </t>
    </r>
    <r>
      <rPr>
        <b/>
        <sz val="12"/>
        <color indexed="12"/>
        <rFont val="Arial"/>
        <family val="2"/>
      </rPr>
      <t>A</t>
    </r>
    <r>
      <rPr>
        <sz val="10"/>
        <rFont val="Arial"/>
        <family val="2"/>
      </rPr>
      <t xml:space="preserve"> to the right)</t>
    </r>
    <r>
      <rPr>
        <sz val="10"/>
        <rFont val="Arial"/>
        <family val="2"/>
      </rPr>
      <t xml:space="preserve">. Round off to nearest 0.5 mm.
For the stairs, give the lowest value for which you can still see the edge.
Measure how much the painted image field differs from the phantom (indicated by </t>
    </r>
    <r>
      <rPr>
        <b/>
        <sz val="11"/>
        <color indexed="12"/>
        <rFont val="Arial"/>
        <family val="2"/>
      </rPr>
      <t>B</t>
    </r>
    <r>
      <rPr>
        <sz val="10"/>
        <rFont val="Arial"/>
        <family val="2"/>
      </rPr>
      <t>). Use 0.5 mm precision.</t>
    </r>
  </si>
  <si>
    <t>Figure 1</t>
  </si>
  <si>
    <r>
      <t xml:space="preserve">Place the pieces of x-ray fluorescent paper parallel to the side and rear edges of the </t>
    </r>
    <r>
      <rPr>
        <b/>
        <u/>
        <sz val="10"/>
        <rFont val="Arial"/>
        <family val="2"/>
      </rPr>
      <t>real</t>
    </r>
    <r>
      <rPr>
        <sz val="10"/>
        <rFont val="Arial"/>
        <family val="2"/>
      </rPr>
      <t xml:space="preserve"> image field edge (just measured in Part A)
and 5 mm outward from the edge (see Fig. 2).
Put a small strip of the intensifying screen in the middle of the field. (The strip in the center serves as a comparison source during exposure.)
Turn off room lights.
Select manual parameters of 35 kV and the maximal mAs.
Make an exposure and observe the fluorescent material during the scan.
Re-position the intensifying screen at the chest wall edge (see Fig. 3).
Make a manual exposure at 35 kVp and the maximum mAs and observe the intensifying screen during the scan</t>
    </r>
  </si>
  <si>
    <t>Left:</t>
  </si>
  <si>
    <t>Right:</t>
  </si>
  <si>
    <t>Rear:</t>
  </si>
  <si>
    <t>Outcome of Part B:</t>
  </si>
  <si>
    <t>Does the screen glow? (yes / no)</t>
  </si>
  <si>
    <t>Spec low</t>
  </si>
  <si>
    <t>Spec high</t>
  </si>
  <si>
    <t>First measurement after tube exchange?</t>
  </si>
  <si>
    <t>For all kV, measured HVL at tube exchange shall be within system specification, with an additional 0.02 mm measurement error included.</t>
  </si>
  <si>
    <t>Outcome of test</t>
  </si>
  <si>
    <t>State the overall outcome of the test here (PASS/FAIL):</t>
  </si>
  <si>
    <t>Write Pass/Fail here:</t>
  </si>
  <si>
    <t>Expected result, first measurement after tube exchange:</t>
  </si>
  <si>
    <r>
      <t>Note:</t>
    </r>
    <r>
      <rPr>
        <sz val="11"/>
        <rFont val="Arial"/>
        <family val="2"/>
      </rPr>
      <t xml:space="preserve"> If Unfors Xi dose meter is used for this test, data can be automatically written to this protocol (Xi Data sheet). In that case </t>
    </r>
    <r>
      <rPr>
        <i/>
        <sz val="11"/>
        <rFont val="Arial"/>
        <family val="2"/>
      </rPr>
      <t>Air kerma reproducibility</t>
    </r>
    <r>
      <rPr>
        <sz val="11"/>
        <rFont val="Arial"/>
        <family val="2"/>
      </rPr>
      <t xml:space="preserve">, and </t>
    </r>
    <r>
      <rPr>
        <i/>
        <sz val="11"/>
        <rFont val="Arial"/>
        <family val="2"/>
      </rPr>
      <t>Half value layer</t>
    </r>
    <r>
      <rPr>
        <sz val="11"/>
        <rFont val="Arial"/>
        <family val="2"/>
      </rPr>
      <t xml:space="preserve"> are automatically filled out as well.</t>
    </r>
  </si>
  <si>
    <r>
      <t>Note:</t>
    </r>
    <r>
      <rPr>
        <sz val="11"/>
        <rFont val="Arial"/>
        <family val="2"/>
      </rPr>
      <t xml:space="preserve"> If Unfors Xi dose meter is used for this test, data can be automatically written to this protocol (Xi Data sheet).</t>
    </r>
  </si>
  <si>
    <t>The use of Unfirs Xi is optional.</t>
  </si>
  <si>
    <r>
      <t xml:space="preserve">Position the Xi detector 6 cm from the chest wall and laterally centered using the positioning jigg. 
Place the </t>
    </r>
    <r>
      <rPr>
        <b/>
        <sz val="10"/>
        <rFont val="Arial"/>
        <family val="2"/>
      </rPr>
      <t>Unfors Al filter</t>
    </r>
    <r>
      <rPr>
        <sz val="10"/>
        <rFont val="Arial"/>
        <family val="2"/>
      </rPr>
      <t xml:space="preserve"> on the compresson paddle. For the exposures below, ensure that Al filter covers the detector area of the Unfors Xi, see Figure 1 and Figure 2.</t>
    </r>
  </si>
  <si>
    <t>Measured kV:</t>
  </si>
  <si>
    <t>Background: m</t>
  </si>
  <si>
    <t>Background: s</t>
  </si>
  <si>
    <r>
      <t>The squared correlation coefficient between mAs and SNR</t>
    </r>
    <r>
      <rPr>
        <vertAlign val="superscript"/>
        <sz val="10"/>
        <rFont val="Arial"/>
        <family val="2"/>
      </rPr>
      <t>2</t>
    </r>
    <r>
      <rPr>
        <sz val="10"/>
        <rFont val="Arial"/>
        <family val="2"/>
      </rPr>
      <t xml:space="preserve"> shall be at least 0.99</t>
    </r>
  </si>
  <si>
    <r>
      <t xml:space="preserve">NOTE: </t>
    </r>
    <r>
      <rPr>
        <sz val="12"/>
        <rFont val="Arial"/>
        <family val="2"/>
      </rPr>
      <t>When making many exposures in a row; wait 1 min between successive scans.</t>
    </r>
  </si>
  <si>
    <r>
      <t>Press select when "</t>
    </r>
    <r>
      <rPr>
        <b/>
        <sz val="12"/>
        <rFont val="Arial"/>
        <family val="2"/>
      </rPr>
      <t>Mammography"</t>
    </r>
    <r>
      <rPr>
        <sz val="12"/>
        <rFont val="Arial"/>
        <family val="2"/>
      </rPr>
      <t xml:space="preserve"> is displayed</t>
    </r>
  </si>
  <si>
    <t>N/A</t>
  </si>
  <si>
    <r>
      <t xml:space="preserve">NOTE: </t>
    </r>
    <r>
      <rPr>
        <sz val="12"/>
        <rFont val="Arial"/>
        <family val="2"/>
      </rPr>
      <t>When making many exposures in a row; wait 1 min between successive scans.</t>
    </r>
  </si>
  <si>
    <r>
      <t>Press select when "</t>
    </r>
    <r>
      <rPr>
        <b/>
        <sz val="12"/>
        <rFont val="Arial"/>
        <family val="2"/>
      </rPr>
      <t>Mammography"</t>
    </r>
    <r>
      <rPr>
        <sz val="12"/>
        <rFont val="Arial"/>
        <family val="2"/>
      </rPr>
      <t xml:space="preserve"> is displayed</t>
    </r>
  </si>
  <si>
    <t>Dose detector</t>
  </si>
  <si>
    <t>AGD calculator for Philips MicroDose L30</t>
  </si>
  <si>
    <r>
      <t xml:space="preserve">Press select when </t>
    </r>
    <r>
      <rPr>
        <b/>
        <sz val="12"/>
        <rFont val="Arial"/>
        <family val="2"/>
      </rPr>
      <t>"W/Al"</t>
    </r>
    <r>
      <rPr>
        <sz val="12"/>
        <rFont val="Arial"/>
        <family val="2"/>
      </rPr>
      <t xml:space="preserve"> is displayed</t>
    </r>
  </si>
  <si>
    <r>
      <t xml:space="preserve">Press select when </t>
    </r>
    <r>
      <rPr>
        <b/>
        <sz val="12"/>
        <rFont val="Arial"/>
        <family val="2"/>
      </rPr>
      <t>"W/Al"</t>
    </r>
    <r>
      <rPr>
        <sz val="12"/>
        <rFont val="Arial"/>
        <family val="2"/>
      </rPr>
      <t xml:space="preserve"> is displayed</t>
    </r>
  </si>
  <si>
    <r>
      <t xml:space="preserve">Use </t>
    </r>
    <r>
      <rPr>
        <b/>
        <sz val="10"/>
        <rFont val="Arial"/>
        <family val="2"/>
      </rPr>
      <t>26 kV</t>
    </r>
    <r>
      <rPr>
        <sz val="10"/>
        <rFont val="Arial"/>
        <family val="2"/>
      </rPr>
      <t xml:space="preserve"> and measure the air kerma three times with different mAs.</t>
    </r>
  </si>
  <si>
    <r>
      <t xml:space="preserve">Use </t>
    </r>
    <r>
      <rPr>
        <b/>
        <sz val="10"/>
        <rFont val="Arial"/>
        <family val="2"/>
      </rPr>
      <t>29 kV</t>
    </r>
    <r>
      <rPr>
        <sz val="10"/>
        <rFont val="Arial"/>
        <family val="2"/>
      </rPr>
      <t xml:space="preserve"> and measure the air kerma three times with different mAs.</t>
    </r>
  </si>
  <si>
    <r>
      <t>Use</t>
    </r>
    <r>
      <rPr>
        <b/>
        <sz val="10"/>
        <rFont val="Arial"/>
        <family val="2"/>
      </rPr>
      <t xml:space="preserve"> 35 kV</t>
    </r>
    <r>
      <rPr>
        <sz val="10"/>
        <rFont val="Arial"/>
        <family val="2"/>
      </rPr>
      <t xml:space="preserve"> and measure the air kerma threetimes with different mAs.</t>
    </r>
  </si>
  <si>
    <t>20–30mm</t>
  </si>
  <si>
    <t>- Compression paddle shall always be positioned at least 9 cm above the patient support.</t>
  </si>
  <si>
    <t>Is there radiation visible beyond the chest wall edge of the patient support? (yes / no)</t>
  </si>
  <si>
    <t>(3, 4) All five keys on all four keypads</t>
  </si>
  <si>
    <t>(15) Exposure buttons on AW-table working</t>
  </si>
  <si>
    <t>Philips MicroDose L50</t>
  </si>
  <si>
    <t xml:space="preserve">
</t>
  </si>
  <si>
    <t>This Excel record template is to be used together with the Quality Control Procedures - Philips MicroDose Mammography SI, Model L50, Software 9.0 (This document is based on version DOC-LANN-8V7GB6-3.0).</t>
  </si>
  <si>
    <t>Spatial resolution (5.2)</t>
  </si>
  <si>
    <t>Low collimator</t>
  </si>
  <si>
    <t>High collimator</t>
  </si>
  <si>
    <t xml:space="preserve">In both directions for both of the collimators, the visible line density should be at least 6 lp/mm. </t>
  </si>
  <si>
    <t>Contrast-to-noise ratio (5.3)</t>
  </si>
  <si>
    <t>Daily quality phantom (Part No. 1010909).</t>
  </si>
  <si>
    <t>(10) Collimators (low and high)</t>
  </si>
  <si>
    <t>Visual Check (5.4)</t>
  </si>
  <si>
    <t>Thickness indication (6.1)</t>
  </si>
  <si>
    <t>Compression force (6.2)</t>
  </si>
  <si>
    <t>X-ray tube output (6.3)</t>
  </si>
  <si>
    <t>Air kerma reproducibility (6.4)</t>
  </si>
  <si>
    <t>AEC system: Breast thickness and exposure (6.5)</t>
  </si>
  <si>
    <t>Tube voltage (7.2)</t>
  </si>
  <si>
    <t>Image field and X-ray field agreement (7.6 &amp; 7.7)</t>
  </si>
  <si>
    <t>Detector linearity (7.5)</t>
  </si>
  <si>
    <t>Contrast-detail resolution (7.4)</t>
  </si>
  <si>
    <t>Change to low collimator</t>
  </si>
  <si>
    <t>Change to high collimator</t>
  </si>
  <si>
    <t xml:space="preserve">The tube output at 32 kV shall be at least 0.11 mGy/mAs. </t>
  </si>
  <si>
    <t>The measured values shall not differ by more than ±15% from the values estimated by the system.</t>
  </si>
  <si>
    <t>Measured tube
output
(mGy/mAs):</t>
  </si>
  <si>
    <r>
      <t>Use 32</t>
    </r>
    <r>
      <rPr>
        <b/>
        <sz val="10"/>
        <rFont val="Arial"/>
        <family val="2"/>
      </rPr>
      <t xml:space="preserve"> kV</t>
    </r>
    <r>
      <rPr>
        <sz val="10"/>
        <rFont val="Arial"/>
        <family val="2"/>
      </rPr>
      <t xml:space="preserve"> and measure the air kerma three times with different mAs.</t>
    </r>
  </si>
  <si>
    <r>
      <t xml:space="preserve">Verify that the choosen column and row is </t>
    </r>
    <r>
      <rPr>
        <b/>
        <sz val="12"/>
        <rFont val="Arial"/>
        <family val="2"/>
      </rPr>
      <t>B</t>
    </r>
    <r>
      <rPr>
        <sz val="12"/>
        <rFont val="Arial"/>
        <family val="2"/>
      </rPr>
      <t xml:space="preserve"> and </t>
    </r>
    <r>
      <rPr>
        <b/>
        <sz val="12"/>
        <rFont val="Arial"/>
        <family val="2"/>
      </rPr>
      <t xml:space="preserve">2 </t>
    </r>
    <r>
      <rPr>
        <sz val="12"/>
        <rFont val="Arial"/>
        <family val="2"/>
      </rPr>
      <t>respectively when you start, see (C) in Figure 3.</t>
    </r>
  </si>
  <si>
    <t>Test case</t>
  </si>
  <si>
    <t>ESAK rate</t>
  </si>
  <si>
    <t>Exp. Time</t>
  </si>
  <si>
    <t>Output</t>
  </si>
  <si>
    <t>Linearity</t>
  </si>
  <si>
    <t>Reproducibility</t>
  </si>
  <si>
    <t>low mAs, 32 kV</t>
  </si>
  <si>
    <t>high mAs, 32 kV</t>
  </si>
  <si>
    <t>intermed. mAs, 32 kV</t>
  </si>
  <si>
    <t>y</t>
  </si>
  <si>
    <t>Half value layer for high collimator (7.3b)</t>
  </si>
  <si>
    <t>Half value layer for low collimator (7.3a)</t>
  </si>
  <si>
    <r>
      <t xml:space="preserve">Use </t>
    </r>
    <r>
      <rPr>
        <b/>
        <sz val="10"/>
        <rFont val="Arial"/>
        <family val="2"/>
      </rPr>
      <t>26 kV</t>
    </r>
    <r>
      <rPr>
        <sz val="10"/>
        <rFont val="Arial"/>
        <family val="2"/>
      </rPr>
      <t xml:space="preserve">. Make three exposures at </t>
    </r>
    <r>
      <rPr>
        <b/>
        <sz val="10"/>
        <rFont val="Arial"/>
        <family val="2"/>
      </rPr>
      <t>about 12 mAs</t>
    </r>
    <r>
      <rPr>
        <sz val="10"/>
        <rFont val="Arial"/>
        <family val="2"/>
      </rPr>
      <t>.</t>
    </r>
  </si>
  <si>
    <r>
      <t xml:space="preserve">Use </t>
    </r>
    <r>
      <rPr>
        <b/>
        <sz val="10"/>
        <rFont val="Arial"/>
        <family val="2"/>
      </rPr>
      <t>29 kV</t>
    </r>
    <r>
      <rPr>
        <sz val="10"/>
        <rFont val="Arial"/>
        <family val="2"/>
      </rPr>
      <t xml:space="preserve">. Make three exposures at about </t>
    </r>
    <r>
      <rPr>
        <b/>
        <sz val="10"/>
        <rFont val="Arial"/>
        <family val="2"/>
      </rPr>
      <t>12 mAs</t>
    </r>
    <r>
      <rPr>
        <sz val="10"/>
        <rFont val="Arial"/>
        <family val="2"/>
      </rPr>
      <t>.</t>
    </r>
  </si>
  <si>
    <r>
      <t xml:space="preserve">Use </t>
    </r>
    <r>
      <rPr>
        <b/>
        <sz val="10"/>
        <rFont val="Arial"/>
        <family val="2"/>
      </rPr>
      <t>32 kV</t>
    </r>
    <r>
      <rPr>
        <sz val="10"/>
        <rFont val="Arial"/>
        <family val="2"/>
      </rPr>
      <t xml:space="preserve">. Make </t>
    </r>
    <r>
      <rPr>
        <b/>
        <sz val="10"/>
        <rFont val="Arial"/>
        <family val="2"/>
      </rPr>
      <t>six</t>
    </r>
    <r>
      <rPr>
        <sz val="10"/>
        <rFont val="Arial"/>
        <family val="2"/>
      </rPr>
      <t xml:space="preserve"> exposures at about </t>
    </r>
    <r>
      <rPr>
        <b/>
        <sz val="10"/>
        <rFont val="Arial"/>
        <family val="2"/>
      </rPr>
      <t>12 mAs</t>
    </r>
    <r>
      <rPr>
        <sz val="10"/>
        <rFont val="Arial"/>
        <family val="2"/>
      </rPr>
      <t>.</t>
    </r>
  </si>
  <si>
    <r>
      <t xml:space="preserve">Use </t>
    </r>
    <r>
      <rPr>
        <b/>
        <sz val="10"/>
        <rFont val="Arial"/>
        <family val="2"/>
      </rPr>
      <t>35 kV</t>
    </r>
    <r>
      <rPr>
        <sz val="10"/>
        <rFont val="Arial"/>
        <family val="2"/>
      </rPr>
      <t xml:space="preserve">. Make three exposures at about </t>
    </r>
    <r>
      <rPr>
        <b/>
        <sz val="10"/>
        <rFont val="Arial"/>
        <family val="2"/>
      </rPr>
      <t>12 mAs</t>
    </r>
    <r>
      <rPr>
        <sz val="10"/>
        <rFont val="Arial"/>
        <family val="2"/>
      </rPr>
      <t>.</t>
    </r>
  </si>
  <si>
    <r>
      <t xml:space="preserve">Use </t>
    </r>
    <r>
      <rPr>
        <b/>
        <sz val="10"/>
        <rFont val="Arial"/>
        <family val="2"/>
      </rPr>
      <t>38 kV</t>
    </r>
    <r>
      <rPr>
        <sz val="10"/>
        <rFont val="Arial"/>
        <family val="2"/>
      </rPr>
      <t xml:space="preserve">. Make three exposures at about </t>
    </r>
    <r>
      <rPr>
        <b/>
        <sz val="10"/>
        <rFont val="Arial"/>
        <family val="2"/>
      </rPr>
      <t>12 mAs</t>
    </r>
    <r>
      <rPr>
        <sz val="10"/>
        <rFont val="Arial"/>
        <family val="2"/>
      </rPr>
      <t>.</t>
    </r>
  </si>
  <si>
    <r>
      <t xml:space="preserve">Verify that the choosen column and row is </t>
    </r>
    <r>
      <rPr>
        <b/>
        <sz val="12"/>
        <rFont val="Arial"/>
        <family val="2"/>
      </rPr>
      <t>B</t>
    </r>
    <r>
      <rPr>
        <sz val="12"/>
        <rFont val="Arial"/>
        <family val="2"/>
      </rPr>
      <t xml:space="preserve"> and </t>
    </r>
    <r>
      <rPr>
        <b/>
        <sz val="12"/>
        <rFont val="Arial"/>
        <family val="2"/>
      </rPr>
      <t>45</t>
    </r>
    <r>
      <rPr>
        <sz val="12"/>
        <rFont val="Arial"/>
        <family val="2"/>
      </rPr>
      <t xml:space="preserve"> respectively when you start, see (C) in Figure 3.</t>
    </r>
  </si>
  <si>
    <t>accuracy</t>
  </si>
  <si>
    <t>reproducibility</t>
  </si>
  <si>
    <t>80 / 102</t>
  </si>
  <si>
    <t>85 / 109</t>
  </si>
  <si>
    <t>na</t>
  </si>
  <si>
    <t>AEC system - Density compensation (7.1)</t>
  </si>
  <si>
    <t>A</t>
  </si>
  <si>
    <t>dark circle</t>
  </si>
  <si>
    <t>light circle</t>
  </si>
  <si>
    <t>CNR Correction Factors</t>
  </si>
  <si>
    <t>Correction factor if kV used</t>
  </si>
  <si>
    <t>Ref CNR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</si>
</sst>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
    <numFmt numFmtId="167" formatCode="0.0000"/>
  </numFmts>
  <fonts count="87">
    <font>
      <sz val="10"/>
      <name val="Arial"/>
    </font>
    <font>
      <sz val="10"/>
      <name val="Arial"/>
      <family val="2"/>
    </font>
    <font>
      <b/>
      <sz val="10"/>
      <name val="Arial"/>
      <family val="2"/>
    </font>
    <font>
      <sz val="10"/>
      <name val="Arial"/>
      <family val="2"/>
    </font>
    <font>
      <b/>
      <sz val="12"/>
      <name val="Eurostile"/>
    </font>
    <font>
      <b/>
      <i/>
      <sz val="10"/>
      <name val="Arial"/>
      <family val="2"/>
    </font>
    <font>
      <b/>
      <sz val="8"/>
      <name val="Arial"/>
      <family val="2"/>
    </font>
    <font>
      <sz val="8"/>
      <name val="Arial"/>
      <family val="2"/>
    </font>
    <font>
      <sz val="10"/>
      <color indexed="12"/>
      <name val="Arial"/>
      <family val="2"/>
    </font>
    <font>
      <b/>
      <sz val="14"/>
      <name val="Eurostile"/>
    </font>
    <font>
      <sz val="12"/>
      <color indexed="10"/>
      <name val="Arial"/>
      <family val="2"/>
    </font>
    <font>
      <sz val="10"/>
      <name val="Times New Roman"/>
      <family val="1"/>
    </font>
    <font>
      <b/>
      <sz val="10"/>
      <color indexed="12"/>
      <name val="Arial"/>
      <family val="2"/>
    </font>
    <font>
      <b/>
      <sz val="18"/>
      <name val="Eurostile"/>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6"/>
      <name val="Arial"/>
      <family val="2"/>
    </font>
    <font>
      <b/>
      <sz val="16"/>
      <name val="Arial"/>
      <family val="2"/>
    </font>
    <font>
      <b/>
      <i/>
      <sz val="16"/>
      <name val="Arial"/>
      <family val="2"/>
    </font>
    <font>
      <b/>
      <sz val="14"/>
      <name val="Arial"/>
      <family val="2"/>
    </font>
    <font>
      <sz val="12"/>
      <name val="Arial"/>
      <family val="2"/>
    </font>
    <font>
      <sz val="10"/>
      <color indexed="9"/>
      <name val="Arial"/>
      <family val="2"/>
    </font>
    <font>
      <b/>
      <sz val="11"/>
      <name val="Arial"/>
      <family val="2"/>
    </font>
    <font>
      <sz val="11"/>
      <name val="Arial"/>
      <family val="2"/>
    </font>
    <font>
      <b/>
      <sz val="11"/>
      <color indexed="10"/>
      <name val="Arial"/>
      <family val="2"/>
    </font>
    <font>
      <sz val="11"/>
      <color indexed="12"/>
      <name val="Arial"/>
      <family val="2"/>
    </font>
    <font>
      <b/>
      <sz val="10"/>
      <color indexed="10"/>
      <name val="Arial"/>
      <family val="2"/>
    </font>
    <font>
      <b/>
      <sz val="10"/>
      <color indexed="17"/>
      <name val="Arial"/>
      <family val="2"/>
    </font>
    <font>
      <sz val="14"/>
      <name val="Arial"/>
      <family val="2"/>
    </font>
    <font>
      <b/>
      <sz val="12"/>
      <name val="Arial"/>
      <family val="2"/>
    </font>
    <font>
      <b/>
      <sz val="10"/>
      <color indexed="9"/>
      <name val="Arial"/>
      <family val="2"/>
    </font>
    <font>
      <b/>
      <i/>
      <sz val="11"/>
      <name val="Arial"/>
      <family val="2"/>
    </font>
    <font>
      <sz val="11"/>
      <name val="Arial"/>
      <family val="2"/>
    </font>
    <font>
      <b/>
      <sz val="11"/>
      <name val="Arial"/>
      <family val="2"/>
    </font>
    <font>
      <i/>
      <sz val="11"/>
      <name val="Arial"/>
      <family val="2"/>
    </font>
    <font>
      <sz val="10"/>
      <color indexed="12"/>
      <name val="Arial"/>
      <family val="2"/>
    </font>
    <font>
      <b/>
      <sz val="11"/>
      <color indexed="12"/>
      <name val="Arial"/>
      <family val="2"/>
    </font>
    <font>
      <sz val="10"/>
      <color indexed="10"/>
      <name val="Arial"/>
      <family val="2"/>
    </font>
    <font>
      <i/>
      <sz val="10"/>
      <name val="Arial"/>
      <family val="2"/>
    </font>
    <font>
      <b/>
      <i/>
      <sz val="14"/>
      <name val="Arial"/>
      <family val="2"/>
    </font>
    <font>
      <b/>
      <sz val="10"/>
      <color indexed="8"/>
      <name val="Arial"/>
      <family val="2"/>
    </font>
    <font>
      <sz val="10"/>
      <color indexed="8"/>
      <name val="Arial"/>
      <family val="2"/>
    </font>
    <font>
      <b/>
      <sz val="12"/>
      <color indexed="12"/>
      <name val="Arial"/>
      <family val="2"/>
    </font>
    <font>
      <i/>
      <sz val="10"/>
      <color indexed="9"/>
      <name val="Arial"/>
      <family val="2"/>
    </font>
    <font>
      <sz val="12"/>
      <color indexed="9"/>
      <name val="Arial"/>
      <family val="2"/>
    </font>
    <font>
      <sz val="10"/>
      <name val="Arial"/>
      <family val="2"/>
    </font>
    <font>
      <b/>
      <sz val="16"/>
      <name val="Eurostile"/>
    </font>
    <font>
      <b/>
      <sz val="11"/>
      <name val="Eurostile"/>
    </font>
    <font>
      <sz val="10"/>
      <color indexed="17"/>
      <name val="Arial"/>
      <family val="2"/>
    </font>
    <font>
      <b/>
      <u/>
      <sz val="10"/>
      <name val="Arial"/>
      <family val="2"/>
    </font>
    <font>
      <b/>
      <vertAlign val="superscript"/>
      <sz val="10"/>
      <name val="Arial"/>
      <family val="2"/>
    </font>
    <font>
      <vertAlign val="superscript"/>
      <sz val="10"/>
      <name val="Arial"/>
      <family val="2"/>
    </font>
    <font>
      <i/>
      <sz val="8"/>
      <name val="Arial"/>
      <family val="2"/>
    </font>
    <font>
      <sz val="10"/>
      <color indexed="10"/>
      <name val="Arial"/>
      <family val="2"/>
    </font>
    <font>
      <b/>
      <sz val="10"/>
      <name val="Arial"/>
      <family val="2"/>
    </font>
    <font>
      <b/>
      <sz val="10"/>
      <name val="Symbol"/>
      <family val="1"/>
      <charset val="2"/>
    </font>
    <font>
      <b/>
      <vertAlign val="subscript"/>
      <sz val="10"/>
      <name val="Arial"/>
      <family val="2"/>
    </font>
    <font>
      <b/>
      <sz val="12"/>
      <color indexed="10"/>
      <name val="Arial"/>
      <family val="2"/>
    </font>
    <font>
      <sz val="10"/>
      <color indexed="18"/>
      <name val="Arial"/>
      <family val="2"/>
    </font>
    <font>
      <vertAlign val="subscript"/>
      <sz val="10"/>
      <name val="Arial"/>
      <family val="2"/>
    </font>
    <font>
      <sz val="9"/>
      <name val="Arial"/>
      <family val="2"/>
    </font>
    <font>
      <sz val="9"/>
      <color indexed="9"/>
      <name val="Arial"/>
      <family val="2"/>
    </font>
    <font>
      <sz val="11"/>
      <name val="Arial"/>
      <family val="2"/>
      <charset val="1"/>
    </font>
    <font>
      <sz val="10"/>
      <name val="Arial Rounded MT Bold"/>
      <family val="2"/>
    </font>
    <font>
      <sz val="12"/>
      <name val="Eurostile"/>
    </font>
    <font>
      <b/>
      <u/>
      <sz val="12"/>
      <name val="Arial"/>
      <family val="2"/>
    </font>
    <font>
      <sz val="12"/>
      <name val="Arial"/>
      <family val="2"/>
    </font>
    <font>
      <b/>
      <u/>
      <sz val="12"/>
      <name val="Arial"/>
      <family val="2"/>
    </font>
    <font>
      <b/>
      <sz val="12"/>
      <name val="Arial"/>
      <family val="2"/>
    </font>
    <font>
      <b/>
      <sz val="12"/>
      <color theme="0"/>
      <name val="Arial"/>
      <family val="2"/>
    </font>
    <font>
      <sz val="12"/>
      <color theme="0"/>
      <name val="Arial"/>
      <family val="2"/>
    </font>
    <font>
      <b/>
      <sz val="10"/>
      <color rgb="FF7030A0"/>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1"/>
        <bgColor indexed="64"/>
      </patternFill>
    </fill>
    <fill>
      <patternFill patternType="solid">
        <fgColor indexed="16"/>
        <bgColor indexed="64"/>
      </patternFill>
    </fill>
    <fill>
      <patternFill patternType="solid">
        <fgColor indexed="43"/>
        <bgColor indexed="64"/>
      </patternFill>
    </fill>
    <fill>
      <patternFill patternType="lightUp">
        <fgColor indexed="43"/>
        <bgColor indexed="9"/>
      </patternFill>
    </fill>
    <fill>
      <patternFill patternType="solid">
        <fgColor indexed="8"/>
        <bgColor indexed="64"/>
      </patternFill>
    </fill>
    <fill>
      <patternFill patternType="solid">
        <fgColor indexed="31"/>
        <bgColor indexed="64"/>
      </patternFill>
    </fill>
    <fill>
      <patternFill patternType="solid">
        <fgColor indexed="26"/>
        <bgColor indexed="64"/>
      </patternFill>
    </fill>
    <fill>
      <patternFill patternType="solid">
        <fgColor indexed="13"/>
        <bgColor indexed="64"/>
      </patternFill>
    </fill>
    <fill>
      <patternFill patternType="solid">
        <fgColor indexed="18"/>
        <bgColor indexed="64"/>
      </patternFill>
    </fill>
    <fill>
      <patternFill patternType="lightUp">
        <fgColor indexed="43"/>
        <bgColor indexed="43"/>
      </patternFill>
    </fill>
    <fill>
      <patternFill patternType="solid">
        <fgColor indexed="9"/>
        <bgColor indexed="26"/>
      </patternFill>
    </fill>
    <fill>
      <patternFill patternType="solid">
        <fgColor indexed="22"/>
        <bgColor indexed="31"/>
      </patternFill>
    </fill>
    <fill>
      <patternFill patternType="solid">
        <fgColor indexed="23"/>
        <bgColor indexed="26"/>
      </patternFill>
    </fill>
    <fill>
      <patternFill patternType="solid">
        <fgColor indexed="47"/>
        <bgColor indexed="58"/>
      </patternFill>
    </fill>
    <fill>
      <patternFill patternType="solid">
        <fgColor indexed="47"/>
        <bgColor indexed="26"/>
      </patternFill>
    </fill>
    <fill>
      <patternFill patternType="solid">
        <fgColor indexed="47"/>
        <bgColor indexed="64"/>
      </patternFill>
    </fill>
    <fill>
      <patternFill patternType="solid">
        <fgColor indexed="41"/>
        <bgColor indexed="26"/>
      </patternFill>
    </fill>
    <fill>
      <patternFill patternType="solid">
        <fgColor indexed="26"/>
        <bgColor indexed="26"/>
      </patternFill>
    </fill>
    <fill>
      <patternFill patternType="solid">
        <fgColor indexed="13"/>
        <bgColor indexed="26"/>
      </patternFill>
    </fill>
    <fill>
      <patternFill patternType="solid">
        <fgColor indexed="13"/>
        <bgColor indexed="58"/>
      </patternFill>
    </fill>
    <fill>
      <patternFill patternType="solid">
        <fgColor theme="9" tint="-0.2499465926084170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7030A0"/>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medium">
        <color indexed="8"/>
      </top>
      <bottom/>
      <diagonal/>
    </border>
    <border>
      <left style="thin">
        <color indexed="8"/>
      </left>
      <right style="thin">
        <color indexed="64"/>
      </right>
      <top/>
      <bottom style="thin">
        <color indexed="8"/>
      </bottom>
      <diagonal/>
    </border>
    <border>
      <left style="thin">
        <color indexed="8"/>
      </left>
      <right style="thin">
        <color indexed="64"/>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style="thin">
        <color indexed="8"/>
      </left>
      <right style="thin">
        <color indexed="8"/>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bottom style="medium">
        <color indexed="8"/>
      </bottom>
      <diagonal/>
    </border>
    <border>
      <left/>
      <right style="thin">
        <color indexed="8"/>
      </right>
      <top style="medium">
        <color indexed="8"/>
      </top>
      <bottom style="medium">
        <color indexed="8"/>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8"/>
      </right>
      <top/>
      <bottom style="thin">
        <color indexed="8"/>
      </bottom>
      <diagonal/>
    </border>
    <border>
      <left/>
      <right style="thin">
        <color indexed="64"/>
      </right>
      <top/>
      <bottom style="thin">
        <color indexed="8"/>
      </bottom>
      <diagonal/>
    </border>
    <border>
      <left style="thin">
        <color indexed="64"/>
      </left>
      <right style="thin">
        <color indexed="8"/>
      </right>
      <top/>
      <bottom style="thin">
        <color indexed="64"/>
      </bottom>
      <diagonal/>
    </border>
    <border>
      <left/>
      <right style="thin">
        <color indexed="64"/>
      </right>
      <top style="thin">
        <color indexed="8"/>
      </top>
      <bottom style="thin">
        <color indexed="8"/>
      </bottom>
      <diagonal/>
    </border>
    <border>
      <left/>
      <right style="thin">
        <color indexed="8"/>
      </right>
      <top/>
      <bottom style="medium">
        <color indexed="64"/>
      </bottom>
      <diagonal/>
    </border>
    <border>
      <left style="thin">
        <color indexed="8"/>
      </left>
      <right style="thin">
        <color indexed="64"/>
      </right>
      <top style="thin">
        <color indexed="8"/>
      </top>
      <bottom style="medium">
        <color indexed="64"/>
      </bottom>
      <diagonal/>
    </border>
    <border>
      <left/>
      <right/>
      <top/>
      <bottom style="thin">
        <color indexed="8"/>
      </bottom>
      <diagonal/>
    </border>
    <border>
      <left/>
      <right style="thin">
        <color indexed="64"/>
      </right>
      <top style="thin">
        <color indexed="8"/>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8"/>
      </top>
      <bottom/>
      <diagonal/>
    </border>
    <border>
      <left/>
      <right style="thin">
        <color indexed="8"/>
      </right>
      <top style="thin">
        <color indexed="8"/>
      </top>
      <bottom style="hair">
        <color indexed="8"/>
      </bottom>
      <diagonal/>
    </border>
    <border>
      <left style="thin">
        <color indexed="64"/>
      </left>
      <right/>
      <top style="medium">
        <color indexed="8"/>
      </top>
      <bottom/>
      <diagonal/>
    </border>
    <border>
      <left/>
      <right/>
      <top style="thin">
        <color indexed="8"/>
      </top>
      <bottom style="medium">
        <color indexed="8"/>
      </bottom>
      <diagonal/>
    </border>
    <border>
      <left/>
      <right/>
      <top style="medium">
        <color indexed="8"/>
      </top>
      <bottom/>
      <diagonal/>
    </border>
  </borders>
  <cellStyleXfs count="44">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18" fillId="21" borderId="2" applyNumberFormat="0" applyAlignment="0" applyProtection="0"/>
    <xf numFmtId="0" fontId="19" fillId="0" borderId="0" applyNumberFormat="0" applyFill="0" applyBorder="0" applyAlignment="0" applyProtection="0"/>
    <xf numFmtId="0" fontId="48" fillId="22" borderId="0"/>
    <xf numFmtId="0" fontId="20" fillId="4"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7" borderId="1" applyNumberFormat="0" applyAlignment="0" applyProtection="0"/>
    <xf numFmtId="0" fontId="25" fillId="0" borderId="6" applyNumberFormat="0" applyFill="0" applyAlignment="0" applyProtection="0"/>
    <xf numFmtId="0" fontId="26" fillId="23" borderId="0" applyNumberFormat="0" applyBorder="0" applyAlignment="0" applyProtection="0"/>
    <xf numFmtId="0" fontId="3" fillId="0" borderId="0"/>
    <xf numFmtId="0" fontId="3" fillId="24"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cellStyleXfs>
  <cellXfs count="821">
    <xf numFmtId="0" fontId="0" fillId="0" borderId="0" xfId="0"/>
    <xf numFmtId="0" fontId="0" fillId="22" borderId="0" xfId="0" applyFill="1"/>
    <xf numFmtId="0" fontId="2" fillId="22" borderId="0" xfId="0" applyFont="1" applyFill="1"/>
    <xf numFmtId="0" fontId="0" fillId="22" borderId="0" xfId="0" applyFill="1" applyBorder="1"/>
    <xf numFmtId="0" fontId="0" fillId="0" borderId="0" xfId="0" applyFill="1"/>
    <xf numFmtId="0" fontId="0" fillId="22" borderId="10" xfId="0" applyFill="1" applyBorder="1"/>
    <xf numFmtId="0" fontId="2" fillId="25" borderId="11" xfId="0" applyFont="1" applyFill="1" applyBorder="1" applyAlignment="1">
      <alignment vertical="top" wrapText="1"/>
    </xf>
    <xf numFmtId="0" fontId="10" fillId="0" borderId="0" xfId="0" applyFont="1" applyFill="1"/>
    <xf numFmtId="0" fontId="0" fillId="0" borderId="0" xfId="0" applyFill="1" applyAlignment="1"/>
    <xf numFmtId="0" fontId="2" fillId="0" borderId="0" xfId="0" applyFont="1" applyFill="1"/>
    <xf numFmtId="0" fontId="0" fillId="0" borderId="0" xfId="0" applyFill="1" applyBorder="1"/>
    <xf numFmtId="0" fontId="0" fillId="0" borderId="0" xfId="0" applyAlignment="1"/>
    <xf numFmtId="0" fontId="9" fillId="0" borderId="0" xfId="0" applyFont="1" applyFill="1"/>
    <xf numFmtId="0" fontId="0" fillId="0" borderId="0" xfId="0" applyFill="1" applyAlignment="1">
      <alignment horizontal="right"/>
    </xf>
    <xf numFmtId="0" fontId="11" fillId="0" borderId="0" xfId="0" applyFont="1" applyFill="1"/>
    <xf numFmtId="0" fontId="11" fillId="0" borderId="0" xfId="0" applyFont="1" applyFill="1" applyBorder="1"/>
    <xf numFmtId="0" fontId="5" fillId="0" borderId="0" xfId="0" applyFont="1" applyFill="1"/>
    <xf numFmtId="0" fontId="0" fillId="0" borderId="0" xfId="0" applyFill="1" applyAlignment="1">
      <alignment horizontal="center"/>
    </xf>
    <xf numFmtId="0" fontId="0" fillId="0" borderId="0" xfId="0" applyFill="1" applyBorder="1" applyAlignment="1">
      <alignment horizontal="center"/>
    </xf>
    <xf numFmtId="0" fontId="11" fillId="0" borderId="0" xfId="0" applyFont="1" applyFill="1" applyAlignment="1">
      <alignment wrapText="1"/>
    </xf>
    <xf numFmtId="0" fontId="2" fillId="0" borderId="0" xfId="0" applyFont="1"/>
    <xf numFmtId="0" fontId="5" fillId="22" borderId="0" xfId="0" applyFont="1" applyFill="1"/>
    <xf numFmtId="0" fontId="2" fillId="22" borderId="0" xfId="0" applyFont="1" applyFill="1" applyAlignment="1">
      <alignment horizontal="center"/>
    </xf>
    <xf numFmtId="2" fontId="0" fillId="0" borderId="0" xfId="0" applyNumberFormat="1"/>
    <xf numFmtId="164" fontId="0" fillId="0" borderId="0" xfId="0" applyNumberFormat="1"/>
    <xf numFmtId="0" fontId="0" fillId="0" borderId="0" xfId="0" applyBorder="1"/>
    <xf numFmtId="0" fontId="1" fillId="0" borderId="0" xfId="0" applyFont="1" applyFill="1" applyBorder="1" applyAlignment="1">
      <alignment vertical="center"/>
    </xf>
    <xf numFmtId="0" fontId="5" fillId="0" borderId="0" xfId="0" applyFont="1" applyFill="1" applyBorder="1"/>
    <xf numFmtId="0" fontId="13" fillId="0" borderId="0" xfId="0" applyFont="1" applyFill="1"/>
    <xf numFmtId="0" fontId="3" fillId="0" borderId="0" xfId="0" applyFont="1" applyFill="1"/>
    <xf numFmtId="0" fontId="3" fillId="0" borderId="0" xfId="0" applyFont="1" applyFill="1" applyBorder="1"/>
    <xf numFmtId="0" fontId="2" fillId="0" borderId="0" xfId="0" applyFont="1" applyFill="1" applyBorder="1" applyAlignment="1">
      <alignment horizontal="center"/>
    </xf>
    <xf numFmtId="0" fontId="3" fillId="0" borderId="0" xfId="0" applyFont="1"/>
    <xf numFmtId="0" fontId="31" fillId="22" borderId="0" xfId="0" applyFont="1" applyFill="1"/>
    <xf numFmtId="0" fontId="32" fillId="22" borderId="0" xfId="0" applyFont="1" applyFill="1" applyAlignment="1"/>
    <xf numFmtId="0" fontId="31" fillId="0" borderId="0" xfId="0" applyFont="1"/>
    <xf numFmtId="0" fontId="33" fillId="22" borderId="0" xfId="0" applyFont="1" applyFill="1"/>
    <xf numFmtId="0" fontId="0" fillId="22" borderId="0" xfId="0" applyFill="1" applyBorder="1" applyAlignment="1">
      <alignment wrapText="1"/>
    </xf>
    <xf numFmtId="0" fontId="3" fillId="22" borderId="0" xfId="0" applyFont="1" applyFill="1" applyBorder="1" applyAlignment="1">
      <alignment vertical="center" wrapText="1"/>
    </xf>
    <xf numFmtId="0" fontId="2" fillId="22" borderId="0" xfId="0" applyFont="1" applyFill="1" applyBorder="1"/>
    <xf numFmtId="0" fontId="34" fillId="22" borderId="0" xfId="0" applyFont="1" applyFill="1"/>
    <xf numFmtId="0" fontId="2" fillId="22" borderId="0" xfId="0" applyFont="1" applyFill="1" applyBorder="1" applyAlignment="1">
      <alignment wrapText="1"/>
    </xf>
    <xf numFmtId="0" fontId="3" fillId="22" borderId="0" xfId="0" applyFont="1" applyFill="1" applyBorder="1" applyAlignment="1">
      <alignment wrapText="1"/>
    </xf>
    <xf numFmtId="0" fontId="3" fillId="22" borderId="0" xfId="0" applyFont="1" applyFill="1" applyBorder="1" applyAlignment="1"/>
    <xf numFmtId="0" fontId="3" fillId="22" borderId="0" xfId="0" applyFont="1" applyFill="1"/>
    <xf numFmtId="0" fontId="3" fillId="22" borderId="0" xfId="0" applyFont="1" applyFill="1" applyBorder="1"/>
    <xf numFmtId="0" fontId="36" fillId="22" borderId="0" xfId="0" applyFont="1" applyFill="1"/>
    <xf numFmtId="0" fontId="37" fillId="22" borderId="0" xfId="0" applyFont="1" applyFill="1"/>
    <xf numFmtId="0" fontId="37" fillId="0" borderId="0" xfId="0" applyFont="1"/>
    <xf numFmtId="0" fontId="37" fillId="22" borderId="0" xfId="0" applyFont="1" applyFill="1" applyBorder="1" applyAlignment="1">
      <alignment horizontal="center" wrapText="1"/>
    </xf>
    <xf numFmtId="0" fontId="38" fillId="22" borderId="0" xfId="0" applyFont="1" applyFill="1" applyBorder="1" applyAlignment="1"/>
    <xf numFmtId="0" fontId="0" fillId="0" borderId="0" xfId="0" applyAlignment="1">
      <alignment horizontal="center"/>
    </xf>
    <xf numFmtId="0" fontId="42" fillId="0" borderId="0" xfId="0" applyFont="1" applyFill="1" applyBorder="1" applyAlignment="1">
      <alignment horizontal="center" vertical="center"/>
    </xf>
    <xf numFmtId="0" fontId="42" fillId="0" borderId="0" xfId="0" applyFont="1" applyFill="1" applyBorder="1" applyAlignment="1">
      <alignment horizontal="center"/>
    </xf>
    <xf numFmtId="0" fontId="42" fillId="0" borderId="0" xfId="0" applyFont="1" applyFill="1" applyAlignment="1">
      <alignment horizontal="center"/>
    </xf>
    <xf numFmtId="165" fontId="2" fillId="22" borderId="0" xfId="0" applyNumberFormat="1" applyFont="1" applyFill="1" applyBorder="1" applyAlignment="1">
      <alignment horizontal="center"/>
    </xf>
    <xf numFmtId="10" fontId="2" fillId="22" borderId="0" xfId="0" applyNumberFormat="1" applyFont="1" applyFill="1" applyBorder="1" applyAlignment="1">
      <alignment horizontal="center"/>
    </xf>
    <xf numFmtId="2" fontId="2" fillId="22" borderId="0" xfId="0" applyNumberFormat="1" applyFont="1" applyFill="1" applyBorder="1" applyAlignment="1">
      <alignment horizontal="center"/>
    </xf>
    <xf numFmtId="1" fontId="2" fillId="22" borderId="0" xfId="0" applyNumberFormat="1" applyFont="1" applyFill="1" applyBorder="1" applyAlignment="1">
      <alignment horizontal="center"/>
    </xf>
    <xf numFmtId="0" fontId="2" fillId="22" borderId="0" xfId="0" applyFont="1" applyFill="1" applyBorder="1" applyAlignment="1">
      <alignment horizontal="center"/>
    </xf>
    <xf numFmtId="0" fontId="43" fillId="22" borderId="0" xfId="0" applyFont="1" applyFill="1"/>
    <xf numFmtId="0" fontId="43" fillId="0" borderId="0" xfId="0" applyFont="1"/>
    <xf numFmtId="0" fontId="35" fillId="22" borderId="0" xfId="0" applyFont="1" applyFill="1"/>
    <xf numFmtId="0" fontId="44" fillId="22" borderId="0" xfId="0" applyFont="1" applyFill="1"/>
    <xf numFmtId="0" fontId="35" fillId="0" borderId="0" xfId="0" applyFont="1"/>
    <xf numFmtId="0" fontId="0" fillId="22" borderId="0" xfId="0" applyFill="1" applyBorder="1" applyAlignment="1"/>
    <xf numFmtId="0" fontId="0" fillId="22" borderId="12" xfId="0" applyFill="1" applyBorder="1"/>
    <xf numFmtId="0" fontId="37" fillId="22" borderId="0" xfId="0" applyFont="1" applyFill="1" applyBorder="1" applyAlignment="1">
      <alignment horizontal="center"/>
    </xf>
    <xf numFmtId="2" fontId="3" fillId="0" borderId="11" xfId="0" applyNumberFormat="1" applyFont="1" applyBorder="1" applyAlignment="1">
      <alignment horizontal="center" vertical="center" wrapText="1"/>
    </xf>
    <xf numFmtId="0" fontId="43" fillId="0" borderId="0" xfId="0" applyFont="1" applyFill="1"/>
    <xf numFmtId="0" fontId="31" fillId="0" borderId="0" xfId="0" applyFont="1" applyFill="1"/>
    <xf numFmtId="0" fontId="2" fillId="22" borderId="0" xfId="0" applyFont="1" applyFill="1" applyBorder="1" applyAlignment="1">
      <alignment horizontal="center" wrapText="1"/>
    </xf>
    <xf numFmtId="0" fontId="50" fillId="22" borderId="0" xfId="0" applyFont="1" applyFill="1"/>
    <xf numFmtId="0" fontId="50" fillId="0" borderId="0" xfId="0" applyFont="1"/>
    <xf numFmtId="0" fontId="2" fillId="22" borderId="0" xfId="0" applyFont="1" applyFill="1" applyBorder="1" applyAlignment="1"/>
    <xf numFmtId="0" fontId="3" fillId="22" borderId="10" xfId="0" applyFont="1" applyFill="1" applyBorder="1"/>
    <xf numFmtId="0" fontId="3" fillId="22" borderId="0" xfId="0" applyFont="1" applyFill="1" applyBorder="1" applyAlignment="1">
      <alignment vertical="top" wrapText="1"/>
    </xf>
    <xf numFmtId="0" fontId="33" fillId="22" borderId="0" xfId="0" applyFont="1" applyFill="1" applyAlignment="1"/>
    <xf numFmtId="0" fontId="53" fillId="22" borderId="0" xfId="0" applyFont="1" applyFill="1"/>
    <xf numFmtId="49" fontId="35" fillId="22" borderId="0" xfId="0" applyNumberFormat="1" applyFont="1" applyFill="1" applyAlignment="1"/>
    <xf numFmtId="0" fontId="53" fillId="22" borderId="0" xfId="0" applyFont="1" applyFill="1" applyBorder="1"/>
    <xf numFmtId="0" fontId="0" fillId="22" borderId="0" xfId="0" applyFill="1" applyAlignment="1"/>
    <xf numFmtId="0" fontId="58" fillId="22" borderId="0" xfId="0" applyFont="1" applyFill="1"/>
    <xf numFmtId="49" fontId="35" fillId="22" borderId="0" xfId="0" applyNumberFormat="1" applyFont="1" applyFill="1"/>
    <xf numFmtId="0" fontId="59" fillId="22" borderId="0" xfId="0" applyFont="1" applyFill="1"/>
    <xf numFmtId="49" fontId="44" fillId="22" borderId="0" xfId="0" applyNumberFormat="1" applyFont="1" applyFill="1" applyAlignment="1"/>
    <xf numFmtId="0" fontId="2" fillId="22" borderId="0" xfId="0" applyFont="1" applyFill="1" applyBorder="1" applyAlignment="1">
      <alignment horizontal="center" vertical="top" wrapText="1"/>
    </xf>
    <xf numFmtId="0" fontId="36" fillId="0" borderId="0" xfId="0" applyFont="1" applyFill="1"/>
    <xf numFmtId="0" fontId="35" fillId="22" borderId="0" xfId="0" applyFont="1" applyFill="1" applyAlignment="1">
      <alignment horizontal="center"/>
    </xf>
    <xf numFmtId="0" fontId="0" fillId="22" borderId="0" xfId="0" quotePrefix="1" applyFill="1"/>
    <xf numFmtId="0" fontId="38" fillId="0" borderId="0" xfId="0" applyNumberFormat="1" applyFont="1" applyFill="1" applyBorder="1" applyAlignment="1" applyProtection="1">
      <alignment vertical="top" wrapText="1"/>
      <protection locked="0"/>
    </xf>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2" fillId="0" borderId="16" xfId="0" applyFont="1" applyFill="1" applyBorder="1" applyAlignment="1">
      <alignment horizontal="center" wrapText="1"/>
    </xf>
    <xf numFmtId="0" fontId="55" fillId="0" borderId="17" xfId="0" applyFont="1" applyFill="1" applyBorder="1" applyAlignment="1">
      <alignment horizontal="center" wrapText="1"/>
    </xf>
    <xf numFmtId="0" fontId="0" fillId="0" borderId="18" xfId="0" applyBorder="1"/>
    <xf numFmtId="0" fontId="2" fillId="0" borderId="19" xfId="0" applyFont="1" applyBorder="1" applyAlignment="1">
      <alignment horizontal="center" wrapText="1"/>
    </xf>
    <xf numFmtId="0" fontId="2" fillId="0" borderId="16" xfId="0" applyFont="1" applyBorder="1" applyAlignment="1">
      <alignment horizontal="center" wrapText="1"/>
    </xf>
    <xf numFmtId="0" fontId="6" fillId="0" borderId="20" xfId="0" applyFont="1" applyFill="1" applyBorder="1" applyAlignment="1">
      <alignment wrapText="1"/>
    </xf>
    <xf numFmtId="0" fontId="6" fillId="0" borderId="16" xfId="0" applyFont="1" applyFill="1" applyBorder="1" applyAlignment="1">
      <alignment wrapText="1"/>
    </xf>
    <xf numFmtId="0" fontId="33" fillId="0" borderId="0" xfId="0" applyFont="1" applyFill="1"/>
    <xf numFmtId="0" fontId="3" fillId="0" borderId="21" xfId="0" applyFont="1" applyBorder="1" applyAlignment="1">
      <alignment vertical="top" wrapText="1"/>
    </xf>
    <xf numFmtId="0" fontId="2" fillId="0" borderId="10" xfId="0" applyFont="1" applyFill="1" applyBorder="1" applyAlignment="1">
      <alignment horizontal="center"/>
    </xf>
    <xf numFmtId="0" fontId="3" fillId="22" borderId="22" xfId="0" applyFont="1" applyFill="1" applyBorder="1" applyAlignment="1"/>
    <xf numFmtId="0" fontId="3" fillId="22" borderId="23" xfId="0" applyFont="1" applyFill="1" applyBorder="1" applyAlignment="1"/>
    <xf numFmtId="0" fontId="3" fillId="22" borderId="22" xfId="0" applyFont="1" applyFill="1" applyBorder="1" applyAlignment="1">
      <alignment horizontal="center" vertical="center" wrapText="1"/>
    </xf>
    <xf numFmtId="0" fontId="3" fillId="22" borderId="0" xfId="0" applyFont="1" applyFill="1" applyBorder="1" applyAlignment="1">
      <alignment vertical="top"/>
    </xf>
    <xf numFmtId="0" fontId="3" fillId="22" borderId="24" xfId="0" applyFont="1" applyFill="1" applyBorder="1" applyAlignment="1"/>
    <xf numFmtId="0" fontId="1" fillId="22" borderId="0" xfId="0" applyFont="1" applyFill="1" applyBorder="1"/>
    <xf numFmtId="0" fontId="2" fillId="22" borderId="0" xfId="0" applyFont="1" applyFill="1" applyBorder="1" applyAlignment="1">
      <alignment horizontal="right"/>
    </xf>
    <xf numFmtId="0" fontId="61" fillId="0" borderId="0" xfId="0" applyFont="1" applyFill="1"/>
    <xf numFmtId="0" fontId="0" fillId="0" borderId="10" xfId="0" applyFill="1" applyBorder="1"/>
    <xf numFmtId="0" fontId="46" fillId="0" borderId="0" xfId="0" applyFont="1"/>
    <xf numFmtId="0" fontId="46" fillId="0" borderId="0" xfId="0" applyFont="1" applyFill="1"/>
    <xf numFmtId="0" fontId="50" fillId="0" borderId="0" xfId="0" applyFont="1" applyFill="1"/>
    <xf numFmtId="0" fontId="46" fillId="0" borderId="0" xfId="0" applyFont="1" applyFill="1" applyBorder="1"/>
    <xf numFmtId="0" fontId="0" fillId="0" borderId="10" xfId="0" applyBorder="1"/>
    <xf numFmtId="0" fontId="2" fillId="0" borderId="10" xfId="0" applyFont="1" applyFill="1" applyBorder="1"/>
    <xf numFmtId="0" fontId="11" fillId="0" borderId="10" xfId="0" applyFont="1" applyFill="1" applyBorder="1"/>
    <xf numFmtId="0" fontId="50" fillId="0" borderId="10" xfId="0" applyFont="1" applyFill="1" applyBorder="1" applyAlignment="1">
      <alignment horizontal="right"/>
    </xf>
    <xf numFmtId="0" fontId="42" fillId="0" borderId="10" xfId="0" applyFont="1" applyFill="1" applyBorder="1" applyAlignment="1">
      <alignment horizontal="center" vertical="center"/>
    </xf>
    <xf numFmtId="0" fontId="57" fillId="26" borderId="25" xfId="0" applyFont="1" applyFill="1" applyBorder="1" applyAlignment="1">
      <alignment horizontal="center"/>
    </xf>
    <xf numFmtId="0" fontId="46" fillId="22" borderId="0" xfId="0" applyFont="1" applyFill="1"/>
    <xf numFmtId="0" fontId="2" fillId="22" borderId="10" xfId="0" applyFont="1" applyFill="1" applyBorder="1"/>
    <xf numFmtId="0" fontId="11" fillId="22" borderId="0" xfId="0" applyFont="1" applyFill="1"/>
    <xf numFmtId="0" fontId="11" fillId="22" borderId="10" xfId="0" applyFont="1" applyFill="1" applyBorder="1"/>
    <xf numFmtId="0" fontId="12" fillId="22" borderId="0" xfId="0" applyFont="1" applyFill="1" applyBorder="1" applyAlignment="1">
      <alignment horizontal="center" vertical="center"/>
    </xf>
    <xf numFmtId="0" fontId="50" fillId="22" borderId="10" xfId="0" applyFont="1" applyFill="1" applyBorder="1" applyAlignment="1">
      <alignment horizontal="right"/>
    </xf>
    <xf numFmtId="0" fontId="42" fillId="22" borderId="10" xfId="0" applyFont="1" applyFill="1" applyBorder="1" applyAlignment="1">
      <alignment horizontal="center" vertical="center"/>
    </xf>
    <xf numFmtId="0" fontId="42" fillId="22" borderId="0" xfId="0" applyFont="1" applyFill="1" applyBorder="1" applyAlignment="1">
      <alignment horizontal="center"/>
    </xf>
    <xf numFmtId="0" fontId="46" fillId="22" borderId="0" xfId="0" applyFont="1" applyFill="1" applyBorder="1"/>
    <xf numFmtId="0" fontId="5" fillId="22" borderId="0" xfId="0" applyFont="1" applyFill="1" applyBorder="1"/>
    <xf numFmtId="2" fontId="12" fillId="26" borderId="11" xfId="0" applyNumberFormat="1" applyFont="1" applyFill="1" applyBorder="1" applyAlignment="1">
      <alignment horizontal="center"/>
    </xf>
    <xf numFmtId="2" fontId="2" fillId="22" borderId="0" xfId="0" applyNumberFormat="1" applyFont="1" applyFill="1" applyAlignment="1">
      <alignment horizontal="right"/>
    </xf>
    <xf numFmtId="165" fontId="3" fillId="26" borderId="11" xfId="0" applyNumberFormat="1" applyFont="1" applyFill="1" applyBorder="1" applyAlignment="1">
      <alignment horizontal="right"/>
    </xf>
    <xf numFmtId="2" fontId="2" fillId="26" borderId="11" xfId="0" applyNumberFormat="1" applyFont="1" applyFill="1" applyBorder="1" applyAlignment="1">
      <alignment horizontal="right"/>
    </xf>
    <xf numFmtId="0" fontId="0" fillId="22" borderId="22" xfId="0" applyFill="1" applyBorder="1"/>
    <xf numFmtId="10" fontId="3" fillId="26" borderId="26" xfId="0" applyNumberFormat="1" applyFont="1" applyFill="1" applyBorder="1" applyAlignment="1">
      <alignment horizontal="right"/>
    </xf>
    <xf numFmtId="2" fontId="3" fillId="26" borderId="27" xfId="0" applyNumberFormat="1" applyFont="1" applyFill="1" applyBorder="1" applyAlignment="1">
      <alignment horizontal="right"/>
    </xf>
    <xf numFmtId="166" fontId="12" fillId="26" borderId="11" xfId="0" applyNumberFormat="1" applyFont="1" applyFill="1" applyBorder="1" applyAlignment="1">
      <alignment horizontal="center"/>
    </xf>
    <xf numFmtId="0" fontId="3" fillId="22" borderId="28" xfId="0" applyFont="1" applyFill="1" applyBorder="1" applyAlignment="1"/>
    <xf numFmtId="0" fontId="3" fillId="22" borderId="29" xfId="0" applyFont="1" applyFill="1" applyBorder="1" applyAlignment="1"/>
    <xf numFmtId="0" fontId="46" fillId="22" borderId="13" xfId="0" applyFont="1" applyFill="1" applyBorder="1"/>
    <xf numFmtId="0" fontId="0" fillId="0" borderId="13" xfId="0" applyFill="1" applyBorder="1"/>
    <xf numFmtId="0" fontId="0" fillId="22" borderId="0" xfId="0" applyFill="1" applyAlignment="1">
      <alignment horizontal="right"/>
    </xf>
    <xf numFmtId="165" fontId="12" fillId="26" borderId="11" xfId="0" applyNumberFormat="1" applyFont="1" applyFill="1" applyBorder="1" applyAlignment="1">
      <alignment horizontal="center"/>
    </xf>
    <xf numFmtId="0" fontId="12" fillId="26" borderId="11" xfId="0" applyFont="1" applyFill="1" applyBorder="1" applyAlignment="1">
      <alignment horizontal="center"/>
    </xf>
    <xf numFmtId="0" fontId="2" fillId="0" borderId="11" xfId="0" applyFont="1" applyFill="1" applyBorder="1" applyAlignment="1">
      <alignment horizontal="center" wrapText="1"/>
    </xf>
    <xf numFmtId="0" fontId="2" fillId="0" borderId="30" xfId="0" applyFont="1" applyFill="1" applyBorder="1" applyAlignment="1">
      <alignment horizontal="center" wrapText="1"/>
    </xf>
    <xf numFmtId="0" fontId="12" fillId="26" borderId="31" xfId="0" applyFont="1" applyFill="1" applyBorder="1" applyAlignment="1">
      <alignment horizontal="center"/>
    </xf>
    <xf numFmtId="0" fontId="12" fillId="26" borderId="32" xfId="0" applyFont="1" applyFill="1" applyBorder="1" applyAlignment="1">
      <alignment horizontal="center"/>
    </xf>
    <xf numFmtId="0" fontId="12" fillId="26" borderId="33" xfId="0" applyFont="1" applyFill="1" applyBorder="1" applyAlignment="1">
      <alignment horizontal="center"/>
    </xf>
    <xf numFmtId="0" fontId="50" fillId="26" borderId="31" xfId="0" applyFont="1" applyFill="1" applyBorder="1" applyAlignment="1">
      <alignment horizontal="center"/>
    </xf>
    <xf numFmtId="0" fontId="50" fillId="26" borderId="32" xfId="0" applyFont="1" applyFill="1" applyBorder="1" applyAlignment="1">
      <alignment horizontal="center"/>
    </xf>
    <xf numFmtId="0" fontId="50" fillId="26" borderId="33" xfId="0" applyFont="1" applyFill="1" applyBorder="1" applyAlignment="1">
      <alignment horizontal="center"/>
    </xf>
    <xf numFmtId="0" fontId="2" fillId="0" borderId="34" xfId="0" applyFont="1" applyFill="1" applyBorder="1" applyAlignment="1">
      <alignment horizontal="center" wrapText="1"/>
    </xf>
    <xf numFmtId="0" fontId="54" fillId="0" borderId="0" xfId="0" applyFont="1" applyFill="1"/>
    <xf numFmtId="1" fontId="12" fillId="26" borderId="11" xfId="0" applyNumberFormat="1" applyFont="1" applyFill="1" applyBorder="1" applyAlignment="1">
      <alignment horizontal="center"/>
    </xf>
    <xf numFmtId="0" fontId="3" fillId="0" borderId="0" xfId="0" applyFont="1" applyAlignment="1">
      <alignment horizontal="right"/>
    </xf>
    <xf numFmtId="0" fontId="12" fillId="26" borderId="11" xfId="0" applyFont="1" applyFill="1" applyBorder="1" applyAlignment="1">
      <alignment horizontal="center" vertical="center"/>
    </xf>
    <xf numFmtId="0" fontId="3" fillId="26" borderId="11" xfId="0" applyFont="1" applyFill="1" applyBorder="1" applyAlignment="1">
      <alignment horizontal="center"/>
    </xf>
    <xf numFmtId="0" fontId="36" fillId="27" borderId="11" xfId="0" applyFont="1" applyFill="1" applyBorder="1" applyAlignment="1">
      <alignment horizontal="center"/>
    </xf>
    <xf numFmtId="49" fontId="9" fillId="22" borderId="0" xfId="0" applyNumberFormat="1" applyFont="1" applyFill="1" applyAlignment="1"/>
    <xf numFmtId="0" fontId="53" fillId="22" borderId="0" xfId="0" applyFont="1" applyFill="1" applyAlignment="1"/>
    <xf numFmtId="0" fontId="64" fillId="22" borderId="0" xfId="0" applyFont="1" applyFill="1"/>
    <xf numFmtId="0" fontId="3" fillId="22" borderId="35" xfId="0" applyFont="1" applyFill="1" applyBorder="1" applyAlignment="1">
      <alignment wrapText="1"/>
    </xf>
    <xf numFmtId="0" fontId="50" fillId="22" borderId="0" xfId="0" applyFont="1" applyFill="1" applyBorder="1" applyAlignment="1">
      <alignment horizontal="center"/>
    </xf>
    <xf numFmtId="0" fontId="3" fillId="22" borderId="0" xfId="0" applyFont="1" applyFill="1" applyBorder="1" applyAlignment="1">
      <alignment horizontal="right"/>
    </xf>
    <xf numFmtId="0" fontId="12" fillId="22" borderId="0" xfId="0" applyFont="1" applyFill="1" applyBorder="1" applyAlignment="1">
      <alignment wrapText="1"/>
    </xf>
    <xf numFmtId="164" fontId="50" fillId="22" borderId="22" xfId="0" applyNumberFormat="1" applyFont="1" applyFill="1" applyBorder="1" applyAlignment="1">
      <alignment horizontal="center" wrapText="1"/>
    </xf>
    <xf numFmtId="0" fontId="3" fillId="22" borderId="36" xfId="0" applyFont="1" applyFill="1" applyBorder="1" applyAlignment="1">
      <alignment horizontal="right"/>
    </xf>
    <xf numFmtId="165" fontId="3" fillId="22" borderId="22" xfId="0" applyNumberFormat="1" applyFont="1" applyFill="1" applyBorder="1" applyAlignment="1"/>
    <xf numFmtId="164" fontId="50" fillId="22" borderId="37" xfId="0" applyNumberFormat="1" applyFont="1" applyFill="1" applyBorder="1" applyAlignment="1">
      <alignment horizontal="center" wrapText="1"/>
    </xf>
    <xf numFmtId="165" fontId="3" fillId="22" borderId="23" xfId="0" applyNumberFormat="1" applyFont="1" applyFill="1" applyBorder="1" applyAlignment="1"/>
    <xf numFmtId="2" fontId="12" fillId="26" borderId="26" xfId="0" applyNumberFormat="1" applyFont="1" applyFill="1" applyBorder="1" applyAlignment="1">
      <alignment horizontal="center" vertical="center"/>
    </xf>
    <xf numFmtId="164" fontId="3" fillId="22" borderId="27" xfId="0" applyNumberFormat="1" applyFont="1" applyFill="1" applyBorder="1" applyAlignment="1">
      <alignment horizontal="center" wrapText="1"/>
    </xf>
    <xf numFmtId="164" fontId="3" fillId="22" borderId="11" xfId="0" applyNumberFormat="1" applyFont="1" applyFill="1" applyBorder="1" applyAlignment="1">
      <alignment horizontal="center" wrapText="1"/>
    </xf>
    <xf numFmtId="164" fontId="12" fillId="26" borderId="11" xfId="0" applyNumberFormat="1" applyFont="1" applyFill="1" applyBorder="1" applyAlignment="1">
      <alignment horizontal="right" wrapText="1"/>
    </xf>
    <xf numFmtId="0" fontId="2" fillId="0" borderId="11" xfId="0" applyFont="1" applyBorder="1" applyAlignment="1">
      <alignment wrapText="1"/>
    </xf>
    <xf numFmtId="0" fontId="50" fillId="22" borderId="0" xfId="0" applyFont="1" applyFill="1" applyBorder="1" applyAlignment="1">
      <alignment horizontal="center" vertical="center"/>
    </xf>
    <xf numFmtId="0" fontId="50" fillId="22" borderId="0" xfId="0" applyFont="1" applyFill="1" applyBorder="1" applyAlignment="1">
      <alignment wrapText="1"/>
    </xf>
    <xf numFmtId="164" fontId="50" fillId="26" borderId="27" xfId="0" applyNumberFormat="1" applyFont="1" applyFill="1" applyBorder="1" applyAlignment="1">
      <alignment horizontal="right" wrapText="1"/>
    </xf>
    <xf numFmtId="0" fontId="2" fillId="22" borderId="11" xfId="0" applyFont="1" applyFill="1" applyBorder="1" applyAlignment="1">
      <alignment horizontal="center" wrapText="1"/>
    </xf>
    <xf numFmtId="164" fontId="36" fillId="27" borderId="27" xfId="0" applyNumberFormat="1" applyFont="1" applyFill="1" applyBorder="1" applyAlignment="1">
      <alignment horizontal="right" wrapText="1"/>
    </xf>
    <xf numFmtId="0" fontId="3" fillId="0" borderId="0" xfId="0" applyFont="1" applyBorder="1" applyAlignment="1">
      <alignment wrapText="1"/>
    </xf>
    <xf numFmtId="0" fontId="36" fillId="22" borderId="0" xfId="0" applyFont="1" applyFill="1" applyBorder="1" applyAlignment="1">
      <alignment wrapText="1"/>
    </xf>
    <xf numFmtId="49" fontId="2" fillId="22" borderId="0" xfId="0" applyNumberFormat="1" applyFont="1" applyFill="1" applyBorder="1" applyAlignment="1">
      <alignment horizontal="center" wrapText="1"/>
    </xf>
    <xf numFmtId="165" fontId="50" fillId="22" borderId="36" xfId="0" applyNumberFormat="1" applyFont="1" applyFill="1" applyBorder="1" applyAlignment="1">
      <alignment horizontal="center"/>
    </xf>
    <xf numFmtId="0" fontId="3" fillId="22" borderId="23" xfId="0" applyFont="1" applyFill="1" applyBorder="1" applyAlignment="1">
      <alignment horizontal="right"/>
    </xf>
    <xf numFmtId="165" fontId="50" fillId="0" borderId="23" xfId="0" applyNumberFormat="1" applyFont="1" applyFill="1" applyBorder="1" applyAlignment="1">
      <alignment horizontal="center"/>
    </xf>
    <xf numFmtId="164" fontId="12" fillId="26" borderId="27" xfId="0" applyNumberFormat="1" applyFont="1" applyFill="1" applyBorder="1" applyAlignment="1">
      <alignment horizontal="right" wrapText="1"/>
    </xf>
    <xf numFmtId="164" fontId="3" fillId="22" borderId="26" xfId="0" applyNumberFormat="1" applyFont="1" applyFill="1" applyBorder="1" applyAlignment="1">
      <alignment horizontal="center" wrapText="1"/>
    </xf>
    <xf numFmtId="164" fontId="50" fillId="26" borderId="26" xfId="0" applyNumberFormat="1" applyFont="1" applyFill="1" applyBorder="1" applyAlignment="1">
      <alignment horizontal="right" wrapText="1"/>
    </xf>
    <xf numFmtId="164" fontId="12" fillId="26" borderId="26" xfId="0" applyNumberFormat="1" applyFont="1" applyFill="1" applyBorder="1" applyAlignment="1">
      <alignment horizontal="right" wrapText="1"/>
    </xf>
    <xf numFmtId="164" fontId="3" fillId="22" borderId="16" xfId="0" applyNumberFormat="1" applyFont="1" applyFill="1" applyBorder="1" applyAlignment="1">
      <alignment horizontal="center" wrapText="1"/>
    </xf>
    <xf numFmtId="164" fontId="50" fillId="26" borderId="16" xfId="0" applyNumberFormat="1" applyFont="1" applyFill="1" applyBorder="1" applyAlignment="1">
      <alignment horizontal="right" wrapText="1"/>
    </xf>
    <xf numFmtId="164" fontId="12" fillId="26" borderId="16" xfId="0" applyNumberFormat="1" applyFont="1" applyFill="1" applyBorder="1" applyAlignment="1">
      <alignment horizontal="right" wrapText="1"/>
    </xf>
    <xf numFmtId="165" fontId="50" fillId="22" borderId="22" xfId="0" applyNumberFormat="1" applyFont="1" applyFill="1" applyBorder="1" applyAlignment="1">
      <alignment horizontal="center" wrapText="1"/>
    </xf>
    <xf numFmtId="0" fontId="2" fillId="22" borderId="12" xfId="0" applyFont="1" applyFill="1" applyBorder="1" applyAlignment="1">
      <alignment horizontal="center" wrapText="1"/>
    </xf>
    <xf numFmtId="10" fontId="50" fillId="22" borderId="12" xfId="0" applyNumberFormat="1" applyFont="1" applyFill="1" applyBorder="1" applyAlignment="1">
      <alignment horizontal="center" wrapText="1"/>
    </xf>
    <xf numFmtId="0" fontId="50" fillId="22" borderId="38" xfId="0" applyFont="1" applyFill="1" applyBorder="1" applyAlignment="1">
      <alignment wrapText="1"/>
    </xf>
    <xf numFmtId="0" fontId="2" fillId="22" borderId="12" xfId="0" applyFont="1" applyFill="1" applyBorder="1" applyAlignment="1">
      <alignment horizontal="center" vertical="top" wrapText="1"/>
    </xf>
    <xf numFmtId="0" fontId="2" fillId="22" borderId="38" xfId="0" applyFont="1" applyFill="1" applyBorder="1" applyAlignment="1">
      <alignment horizontal="center" vertical="top" wrapText="1"/>
    </xf>
    <xf numFmtId="0" fontId="2" fillId="0" borderId="12" xfId="0" applyFont="1" applyFill="1" applyBorder="1" applyAlignment="1">
      <alignment horizontal="center" wrapText="1"/>
    </xf>
    <xf numFmtId="164" fontId="12" fillId="22" borderId="38" xfId="0" applyNumberFormat="1" applyFont="1" applyFill="1" applyBorder="1" applyAlignment="1">
      <alignment horizontal="center" wrapText="1"/>
    </xf>
    <xf numFmtId="0" fontId="3" fillId="22" borderId="29" xfId="0" applyFont="1" applyFill="1" applyBorder="1" applyAlignment="1">
      <alignment horizontal="center" wrapText="1"/>
    </xf>
    <xf numFmtId="0" fontId="3" fillId="22" borderId="29" xfId="0" applyFont="1" applyFill="1" applyBorder="1" applyAlignment="1">
      <alignment horizontal="center" vertical="center" wrapText="1"/>
    </xf>
    <xf numFmtId="0" fontId="3" fillId="22" borderId="24" xfId="0" applyFont="1" applyFill="1" applyBorder="1" applyAlignment="1">
      <alignment horizontal="center" vertical="center" wrapText="1"/>
    </xf>
    <xf numFmtId="0" fontId="2" fillId="22" borderId="38" xfId="0" applyFont="1" applyFill="1" applyBorder="1" applyAlignment="1">
      <alignment wrapText="1"/>
    </xf>
    <xf numFmtId="0" fontId="2" fillId="22" borderId="12" xfId="0" applyFont="1" applyFill="1" applyBorder="1"/>
    <xf numFmtId="0" fontId="0" fillId="22" borderId="16" xfId="0" applyFill="1" applyBorder="1" applyAlignment="1">
      <alignment horizontal="center" vertical="top"/>
    </xf>
    <xf numFmtId="0" fontId="0" fillId="22" borderId="30" xfId="0" applyFill="1" applyBorder="1"/>
    <xf numFmtId="0" fontId="0" fillId="22" borderId="39" xfId="0" applyFill="1" applyBorder="1"/>
    <xf numFmtId="0" fontId="0" fillId="22" borderId="40" xfId="0" applyFill="1" applyBorder="1"/>
    <xf numFmtId="0" fontId="2" fillId="22" borderId="0" xfId="0" applyFont="1" applyFill="1" applyAlignment="1">
      <alignment horizontal="right"/>
    </xf>
    <xf numFmtId="166" fontId="12" fillId="26" borderId="11" xfId="0" applyNumberFormat="1" applyFont="1" applyFill="1" applyBorder="1"/>
    <xf numFmtId="164" fontId="50" fillId="22" borderId="0" xfId="0" applyNumberFormat="1" applyFont="1" applyFill="1" applyBorder="1" applyAlignment="1">
      <alignment horizontal="right" wrapText="1"/>
    </xf>
    <xf numFmtId="164" fontId="3" fillId="22" borderId="0" xfId="0" applyNumberFormat="1" applyFont="1" applyFill="1" applyBorder="1" applyAlignment="1">
      <alignment horizontal="center" wrapText="1"/>
    </xf>
    <xf numFmtId="165" fontId="50" fillId="22" borderId="0" xfId="0" applyNumberFormat="1" applyFont="1" applyFill="1" applyBorder="1" applyAlignment="1">
      <alignment horizontal="right" wrapText="1"/>
    </xf>
    <xf numFmtId="164" fontId="36" fillId="22" borderId="0" xfId="0" applyNumberFormat="1" applyFont="1" applyFill="1" applyBorder="1" applyAlignment="1">
      <alignment horizontal="right" wrapText="1"/>
    </xf>
    <xf numFmtId="166" fontId="12" fillId="22" borderId="0" xfId="0" applyNumberFormat="1" applyFont="1" applyFill="1" applyBorder="1"/>
    <xf numFmtId="164" fontId="50" fillId="26" borderId="11" xfId="0" applyNumberFormat="1" applyFont="1" applyFill="1" applyBorder="1" applyAlignment="1">
      <alignment horizontal="right" wrapText="1"/>
    </xf>
    <xf numFmtId="2" fontId="0" fillId="0" borderId="10" xfId="0" applyNumberFormat="1" applyBorder="1"/>
    <xf numFmtId="164" fontId="0" fillId="0" borderId="10" xfId="0" applyNumberFormat="1" applyBorder="1"/>
    <xf numFmtId="2" fontId="0" fillId="0" borderId="14" xfId="0" applyNumberFormat="1" applyBorder="1"/>
    <xf numFmtId="0" fontId="0" fillId="0" borderId="14" xfId="0" applyBorder="1"/>
    <xf numFmtId="164" fontId="0" fillId="0" borderId="14" xfId="0" applyNumberFormat="1" applyBorder="1"/>
    <xf numFmtId="2" fontId="0" fillId="28" borderId="0" xfId="0" applyNumberFormat="1" applyFill="1"/>
    <xf numFmtId="0" fontId="0" fillId="28" borderId="0" xfId="0" applyFill="1"/>
    <xf numFmtId="164" fontId="0" fillId="28" borderId="0" xfId="0" applyNumberFormat="1" applyFill="1"/>
    <xf numFmtId="2" fontId="0" fillId="28" borderId="10" xfId="0" applyNumberFormat="1" applyFill="1" applyBorder="1"/>
    <xf numFmtId="0" fontId="0" fillId="28" borderId="10" xfId="0" applyFill="1" applyBorder="1"/>
    <xf numFmtId="164" fontId="0" fillId="28" borderId="10" xfId="0" applyNumberFormat="1" applyFill="1" applyBorder="1"/>
    <xf numFmtId="0" fontId="11" fillId="22" borderId="0" xfId="0" applyFont="1" applyFill="1" applyBorder="1"/>
    <xf numFmtId="166" fontId="2" fillId="22" borderId="0" xfId="0" applyNumberFormat="1" applyFont="1" applyFill="1" applyBorder="1"/>
    <xf numFmtId="165" fontId="12" fillId="26" borderId="11" xfId="0" applyNumberFormat="1" applyFont="1" applyFill="1" applyBorder="1" applyAlignment="1">
      <alignment horizontal="right"/>
    </xf>
    <xf numFmtId="2" fontId="12" fillId="26" borderId="11" xfId="0" applyNumberFormat="1" applyFont="1" applyFill="1" applyBorder="1" applyAlignment="1">
      <alignment horizontal="right"/>
    </xf>
    <xf numFmtId="166" fontId="50" fillId="26" borderId="11" xfId="0" applyNumberFormat="1" applyFont="1" applyFill="1" applyBorder="1" applyAlignment="1">
      <alignment horizontal="right"/>
    </xf>
    <xf numFmtId="10" fontId="50" fillId="26" borderId="11" xfId="0" applyNumberFormat="1" applyFont="1" applyFill="1" applyBorder="1" applyAlignment="1">
      <alignment horizontal="right"/>
    </xf>
    <xf numFmtId="0" fontId="9" fillId="22" borderId="0" xfId="0" applyFont="1" applyFill="1" applyAlignment="1"/>
    <xf numFmtId="0" fontId="2" fillId="22" borderId="10" xfId="0" applyFont="1" applyFill="1" applyBorder="1" applyAlignment="1">
      <alignment horizontal="center" wrapText="1"/>
    </xf>
    <xf numFmtId="165" fontId="63" fillId="22" borderId="0" xfId="0" applyNumberFormat="1" applyFont="1" applyFill="1" applyBorder="1" applyAlignment="1">
      <alignment horizontal="center" vertical="top"/>
    </xf>
    <xf numFmtId="165" fontId="12" fillId="26" borderId="11" xfId="0" applyNumberFormat="1" applyFont="1" applyFill="1" applyBorder="1" applyAlignment="1">
      <alignment horizontal="center" vertical="top"/>
    </xf>
    <xf numFmtId="0" fontId="2" fillId="0" borderId="0" xfId="0" applyFont="1" applyFill="1" applyBorder="1" applyAlignment="1">
      <alignment wrapText="1"/>
    </xf>
    <xf numFmtId="0" fontId="45" fillId="0" borderId="0" xfId="0" applyFont="1" applyFill="1"/>
    <xf numFmtId="1" fontId="8" fillId="26" borderId="41" xfId="0" applyNumberFormat="1" applyFont="1" applyFill="1" applyBorder="1" applyAlignment="1">
      <alignment horizontal="center"/>
    </xf>
    <xf numFmtId="1" fontId="8" fillId="26" borderId="42" xfId="0" applyNumberFormat="1" applyFont="1" applyFill="1" applyBorder="1" applyAlignment="1">
      <alignment horizontal="center"/>
    </xf>
    <xf numFmtId="1" fontId="8" fillId="26" borderId="43" xfId="0" applyNumberFormat="1" applyFont="1" applyFill="1" applyBorder="1" applyAlignment="1">
      <alignment horizontal="center"/>
    </xf>
    <xf numFmtId="0" fontId="6" fillId="0" borderId="17" xfId="0" applyFont="1" applyFill="1" applyBorder="1" applyAlignment="1">
      <alignment wrapText="1"/>
    </xf>
    <xf numFmtId="0" fontId="9" fillId="22" borderId="0" xfId="0" applyFont="1" applyFill="1"/>
    <xf numFmtId="0" fontId="3" fillId="22" borderId="0" xfId="0" applyFont="1" applyFill="1" applyBorder="1" applyAlignment="1">
      <alignment horizontal="left" vertical="center"/>
    </xf>
    <xf numFmtId="0" fontId="3" fillId="0" borderId="11" xfId="0" applyFont="1" applyFill="1" applyBorder="1" applyAlignment="1">
      <alignment wrapText="1"/>
    </xf>
    <xf numFmtId="2" fontId="50" fillId="22" borderId="0" xfId="0" applyNumberFormat="1" applyFont="1" applyFill="1" applyBorder="1" applyAlignment="1">
      <alignment wrapText="1"/>
    </xf>
    <xf numFmtId="0" fontId="2" fillId="22" borderId="29" xfId="0" applyFont="1" applyFill="1" applyBorder="1" applyAlignment="1">
      <alignment horizontal="right" vertical="top" wrapText="1"/>
    </xf>
    <xf numFmtId="0" fontId="37" fillId="22" borderId="0" xfId="0" applyFont="1" applyFill="1" applyAlignment="1">
      <alignment horizontal="center"/>
    </xf>
    <xf numFmtId="0" fontId="1" fillId="22" borderId="0" xfId="0" applyFont="1" applyFill="1" applyBorder="1" applyAlignment="1">
      <alignment wrapText="1"/>
    </xf>
    <xf numFmtId="2" fontId="1" fillId="29" borderId="0" xfId="0" applyNumberFormat="1" applyFont="1" applyFill="1" applyBorder="1" applyAlignment="1">
      <alignment horizontal="center" vertical="center"/>
    </xf>
    <xf numFmtId="164" fontId="1" fillId="22" borderId="0" xfId="0" applyNumberFormat="1" applyFont="1" applyFill="1" applyBorder="1" applyAlignment="1" applyProtection="1">
      <alignment horizontal="right"/>
    </xf>
    <xf numFmtId="164" fontId="1" fillId="22" borderId="0" xfId="0" applyNumberFormat="1" applyFont="1" applyFill="1" applyBorder="1" applyAlignment="1">
      <alignment horizontal="center"/>
    </xf>
    <xf numFmtId="2" fontId="50" fillId="26" borderId="11" xfId="0" applyNumberFormat="1" applyFont="1" applyFill="1" applyBorder="1" applyAlignment="1">
      <alignment horizontal="right"/>
    </xf>
    <xf numFmtId="164" fontId="50" fillId="26" borderId="11" xfId="0" applyNumberFormat="1" applyFont="1" applyFill="1" applyBorder="1" applyAlignment="1">
      <alignment horizontal="right"/>
    </xf>
    <xf numFmtId="2" fontId="45" fillId="27" borderId="11" xfId="0" applyNumberFormat="1" applyFont="1" applyFill="1" applyBorder="1" applyAlignment="1">
      <alignment horizontal="center" wrapText="1"/>
    </xf>
    <xf numFmtId="0" fontId="3" fillId="0" borderId="27" xfId="0" applyFont="1" applyFill="1" applyBorder="1" applyAlignment="1">
      <alignment wrapText="1"/>
    </xf>
    <xf numFmtId="2" fontId="50" fillId="29" borderId="14" xfId="0" applyNumberFormat="1" applyFont="1" applyFill="1" applyBorder="1" applyAlignment="1">
      <alignment horizontal="right" vertical="center"/>
    </xf>
    <xf numFmtId="164" fontId="50" fillId="22" borderId="14" xfId="0" applyNumberFormat="1" applyFont="1" applyFill="1" applyBorder="1" applyAlignment="1" applyProtection="1">
      <alignment horizontal="right"/>
    </xf>
    <xf numFmtId="164" fontId="50" fillId="22" borderId="14" xfId="0" applyNumberFormat="1" applyFont="1" applyFill="1" applyBorder="1" applyAlignment="1">
      <alignment horizontal="right"/>
    </xf>
    <xf numFmtId="2" fontId="8" fillId="26" borderId="27" xfId="0" applyNumberFormat="1" applyFont="1" applyFill="1" applyBorder="1"/>
    <xf numFmtId="0" fontId="2" fillId="22" borderId="20" xfId="0" applyFont="1" applyFill="1" applyBorder="1"/>
    <xf numFmtId="0" fontId="2" fillId="22" borderId="16" xfId="0" applyFont="1" applyFill="1" applyBorder="1"/>
    <xf numFmtId="0" fontId="2" fillId="22" borderId="17" xfId="0" applyFont="1" applyFill="1" applyBorder="1"/>
    <xf numFmtId="0" fontId="0" fillId="22" borderId="44" xfId="0" applyFill="1" applyBorder="1"/>
    <xf numFmtId="0" fontId="8" fillId="26" borderId="43" xfId="0" applyFont="1" applyFill="1" applyBorder="1" applyAlignment="1">
      <alignment horizontal="center"/>
    </xf>
    <xf numFmtId="0" fontId="0" fillId="22" borderId="45" xfId="0" applyFill="1" applyBorder="1"/>
    <xf numFmtId="0" fontId="8" fillId="26" borderId="41" xfId="0" applyFont="1" applyFill="1" applyBorder="1" applyAlignment="1">
      <alignment horizontal="center"/>
    </xf>
    <xf numFmtId="0" fontId="3" fillId="22" borderId="46" xfId="0" applyFont="1" applyFill="1" applyBorder="1"/>
    <xf numFmtId="0" fontId="8" fillId="26" borderId="42" xfId="0" applyFont="1" applyFill="1" applyBorder="1" applyAlignment="1">
      <alignment horizontal="center"/>
    </xf>
    <xf numFmtId="1" fontId="40" fillId="22" borderId="0" xfId="0" applyNumberFormat="1" applyFont="1" applyFill="1" applyBorder="1" applyAlignment="1">
      <alignment horizontal="center" vertical="center"/>
    </xf>
    <xf numFmtId="2" fontId="40" fillId="22" borderId="0" xfId="0" applyNumberFormat="1" applyFont="1" applyFill="1" applyBorder="1" applyAlignment="1">
      <alignment horizontal="center" vertical="center"/>
    </xf>
    <xf numFmtId="0" fontId="37" fillId="0" borderId="0" xfId="0" applyFont="1" applyBorder="1"/>
    <xf numFmtId="0" fontId="37" fillId="0" borderId="0" xfId="0" applyFont="1" applyFill="1" applyBorder="1" applyAlignment="1"/>
    <xf numFmtId="0" fontId="39"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8" fillId="0" borderId="0" xfId="0" applyFont="1" applyFill="1" applyBorder="1" applyAlignment="1">
      <alignment vertical="top" wrapText="1"/>
    </xf>
    <xf numFmtId="0" fontId="38" fillId="0" borderId="0" xfId="0" applyFont="1" applyFill="1" applyBorder="1" applyAlignment="1">
      <alignment vertical="top"/>
    </xf>
    <xf numFmtId="0" fontId="0" fillId="0" borderId="0" xfId="0" applyFill="1" applyBorder="1" applyAlignment="1"/>
    <xf numFmtId="0" fontId="37" fillId="22" borderId="0" xfId="0" applyFont="1" applyFill="1" applyBorder="1" applyAlignment="1">
      <alignment wrapText="1"/>
    </xf>
    <xf numFmtId="0" fontId="3" fillId="22" borderId="11" xfId="0" applyFont="1" applyFill="1" applyBorder="1" applyAlignment="1">
      <alignment horizontal="right" vertical="center"/>
    </xf>
    <xf numFmtId="0" fontId="60" fillId="22" borderId="11" xfId="0" applyFont="1" applyFill="1" applyBorder="1" applyAlignment="1">
      <alignment horizontal="right" vertical="center"/>
    </xf>
    <xf numFmtId="166" fontId="12" fillId="22" borderId="0" xfId="0" applyNumberFormat="1" applyFont="1" applyFill="1" applyAlignment="1">
      <alignment horizontal="right"/>
    </xf>
    <xf numFmtId="167" fontId="12" fillId="22" borderId="0" xfId="0" applyNumberFormat="1" applyFont="1" applyFill="1" applyBorder="1" applyAlignment="1">
      <alignment horizontal="right" vertical="center"/>
    </xf>
    <xf numFmtId="1" fontId="50" fillId="26" borderId="11" xfId="0" applyNumberFormat="1" applyFont="1" applyFill="1" applyBorder="1" applyAlignment="1">
      <alignment horizontal="center" vertical="center"/>
    </xf>
    <xf numFmtId="165" fontId="50" fillId="26" borderId="11" xfId="0" applyNumberFormat="1" applyFont="1" applyFill="1" applyBorder="1" applyAlignment="1">
      <alignment horizontal="center" vertical="center"/>
    </xf>
    <xf numFmtId="0" fontId="3" fillId="22" borderId="11" xfId="0" applyFont="1" applyFill="1" applyBorder="1" applyAlignment="1">
      <alignment horizontal="center" vertical="center"/>
    </xf>
    <xf numFmtId="0" fontId="2" fillId="0" borderId="11" xfId="0" applyFont="1" applyBorder="1" applyAlignment="1">
      <alignment horizontal="left" wrapText="1"/>
    </xf>
    <xf numFmtId="0" fontId="2" fillId="22" borderId="11" xfId="0" applyFont="1" applyFill="1" applyBorder="1" applyAlignment="1">
      <alignment horizontal="left" wrapText="1"/>
    </xf>
    <xf numFmtId="0" fontId="2" fillId="22" borderId="0" xfId="0" applyFont="1" applyFill="1" applyBorder="1" applyAlignment="1">
      <alignment horizontal="left" wrapText="1"/>
    </xf>
    <xf numFmtId="0" fontId="3" fillId="22" borderId="0" xfId="0" applyFont="1" applyFill="1" applyAlignment="1">
      <alignment vertical="center"/>
    </xf>
    <xf numFmtId="166" fontId="12" fillId="26" borderId="11" xfId="0" applyNumberFormat="1" applyFont="1" applyFill="1" applyBorder="1" applyAlignment="1">
      <alignment horizontal="center" vertical="center"/>
    </xf>
    <xf numFmtId="0" fontId="52" fillId="22" borderId="0" xfId="0" applyFont="1" applyFill="1" applyBorder="1" applyAlignment="1">
      <alignment horizontal="center" vertical="center"/>
    </xf>
    <xf numFmtId="0" fontId="3" fillId="0" borderId="0" xfId="0" applyFont="1" applyAlignment="1">
      <alignment vertical="center"/>
    </xf>
    <xf numFmtId="9" fontId="12" fillId="26" borderId="11" xfId="0" applyNumberFormat="1" applyFont="1" applyFill="1" applyBorder="1" applyAlignment="1">
      <alignment horizontal="center" vertical="center"/>
    </xf>
    <xf numFmtId="0" fontId="12" fillId="30" borderId="11" xfId="0" applyFont="1" applyFill="1" applyBorder="1" applyAlignment="1">
      <alignment horizontal="center" vertical="center"/>
    </xf>
    <xf numFmtId="164" fontId="68" fillId="22" borderId="0" xfId="0" applyNumberFormat="1" applyFont="1" applyFill="1"/>
    <xf numFmtId="164" fontId="0" fillId="22" borderId="0" xfId="0" applyNumberFormat="1" applyFill="1"/>
    <xf numFmtId="0" fontId="0" fillId="22" borderId="0" xfId="0" applyFill="1" applyBorder="1" applyAlignment="1">
      <alignment horizontal="right"/>
    </xf>
    <xf numFmtId="2" fontId="12" fillId="31" borderId="25" xfId="0" applyNumberFormat="1" applyFont="1" applyFill="1" applyBorder="1" applyAlignment="1">
      <alignment horizontal="center"/>
    </xf>
    <xf numFmtId="0" fontId="34" fillId="0" borderId="0" xfId="0" applyFont="1"/>
    <xf numFmtId="0" fontId="68" fillId="0" borderId="0" xfId="0" applyFont="1"/>
    <xf numFmtId="0" fontId="68" fillId="0" borderId="10" xfId="0" applyFont="1" applyBorder="1"/>
    <xf numFmtId="2" fontId="68" fillId="0" borderId="12" xfId="0" applyNumberFormat="1" applyFont="1" applyBorder="1"/>
    <xf numFmtId="0" fontId="2" fillId="0" borderId="10" xfId="0" applyFont="1" applyBorder="1"/>
    <xf numFmtId="0" fontId="50" fillId="26" borderId="11" xfId="0" applyFont="1" applyFill="1" applyBorder="1" applyAlignment="1">
      <alignment horizontal="right"/>
    </xf>
    <xf numFmtId="164" fontId="8" fillId="26" borderId="11" xfId="0" applyNumberFormat="1" applyFont="1" applyFill="1" applyBorder="1" applyAlignment="1">
      <alignment horizontal="right"/>
    </xf>
    <xf numFmtId="2" fontId="8" fillId="26" borderId="11" xfId="0" applyNumberFormat="1" applyFont="1" applyFill="1" applyBorder="1" applyAlignment="1">
      <alignment horizontal="right"/>
    </xf>
    <xf numFmtId="0" fontId="2" fillId="22" borderId="48" xfId="0" applyFont="1" applyFill="1" applyBorder="1" applyAlignment="1">
      <alignment horizontal="left" wrapText="1"/>
    </xf>
    <xf numFmtId="0" fontId="3" fillId="0" borderId="11" xfId="0" applyFont="1" applyBorder="1" applyAlignment="1">
      <alignment horizontal="center" vertical="center" wrapText="1"/>
    </xf>
    <xf numFmtId="9" fontId="50" fillId="26" borderId="11" xfId="0" applyNumberFormat="1" applyFont="1" applyFill="1" applyBorder="1" applyAlignment="1">
      <alignment horizontal="center" vertical="center"/>
    </xf>
    <xf numFmtId="166" fontId="50" fillId="26" borderId="11" xfId="0" applyNumberFormat="1" applyFont="1" applyFill="1" applyBorder="1" applyAlignment="1">
      <alignment horizontal="center" vertical="center"/>
    </xf>
    <xf numFmtId="0" fontId="50" fillId="22" borderId="0" xfId="0" applyFont="1" applyFill="1" applyBorder="1" applyAlignment="1">
      <alignment horizontal="right"/>
    </xf>
    <xf numFmtId="0" fontId="42" fillId="22" borderId="0" xfId="0" applyFont="1" applyFill="1" applyBorder="1" applyAlignment="1">
      <alignment horizontal="center" vertical="center"/>
    </xf>
    <xf numFmtId="9" fontId="8" fillId="26" borderId="11" xfId="0" applyNumberFormat="1" applyFont="1" applyFill="1" applyBorder="1" applyAlignment="1">
      <alignment horizontal="center"/>
    </xf>
    <xf numFmtId="0" fontId="8" fillId="22" borderId="0" xfId="0" applyFont="1" applyFill="1"/>
    <xf numFmtId="164" fontId="12" fillId="26" borderId="11" xfId="0" applyNumberFormat="1" applyFont="1" applyFill="1" applyBorder="1" applyAlignment="1">
      <alignment horizontal="center" vertical="center"/>
    </xf>
    <xf numFmtId="2" fontId="3" fillId="0" borderId="27" xfId="0" applyNumberFormat="1" applyFont="1" applyBorder="1" applyAlignment="1">
      <alignment horizontal="center" vertical="center" wrapText="1"/>
    </xf>
    <xf numFmtId="164" fontId="3" fillId="0" borderId="27" xfId="0" applyNumberFormat="1" applyFont="1" applyBorder="1" applyAlignment="1">
      <alignment horizontal="center" vertical="center" wrapText="1"/>
    </xf>
    <xf numFmtId="164" fontId="12" fillId="26" borderId="27" xfId="0" applyNumberFormat="1" applyFont="1" applyFill="1" applyBorder="1" applyAlignment="1">
      <alignment horizontal="center" vertical="center"/>
    </xf>
    <xf numFmtId="0" fontId="12" fillId="26" borderId="27" xfId="0" applyFont="1" applyFill="1" applyBorder="1" applyAlignment="1">
      <alignment horizontal="center" vertical="center"/>
    </xf>
    <xf numFmtId="2" fontId="2" fillId="22" borderId="0" xfId="0" applyNumberFormat="1" applyFont="1" applyFill="1" applyBorder="1" applyAlignment="1">
      <alignment horizontal="left" vertical="center" wrapText="1"/>
    </xf>
    <xf numFmtId="2" fontId="2" fillId="0" borderId="0" xfId="0" applyNumberFormat="1" applyFont="1" applyBorder="1" applyAlignment="1">
      <alignment horizontal="left" vertical="center" wrapText="1"/>
    </xf>
    <xf numFmtId="2" fontId="3" fillId="0" borderId="11" xfId="0" applyNumberFormat="1" applyFont="1" applyBorder="1" applyAlignment="1">
      <alignment vertical="center"/>
    </xf>
    <xf numFmtId="0" fontId="3" fillId="22" borderId="0" xfId="0" applyFont="1" applyFill="1" applyBorder="1" applyAlignment="1">
      <alignment horizontal="center" vertical="center"/>
    </xf>
    <xf numFmtId="164" fontId="3" fillId="22" borderId="0" xfId="0" applyNumberFormat="1" applyFont="1" applyFill="1" applyBorder="1" applyAlignment="1">
      <alignment horizontal="center" vertical="center"/>
    </xf>
    <xf numFmtId="0" fontId="2" fillId="0" borderId="11" xfId="0" applyFont="1" applyFill="1" applyBorder="1" applyAlignment="1">
      <alignment horizontal="center" vertical="center" wrapText="1"/>
    </xf>
    <xf numFmtId="0" fontId="2" fillId="22" borderId="11" xfId="0" applyFont="1" applyFill="1" applyBorder="1" applyAlignment="1">
      <alignment horizontal="center" vertical="center"/>
    </xf>
    <xf numFmtId="164" fontId="50" fillId="26" borderId="11" xfId="0" applyNumberFormat="1" applyFont="1" applyFill="1" applyBorder="1" applyAlignment="1">
      <alignment horizontal="center" vertical="center"/>
    </xf>
    <xf numFmtId="165" fontId="12" fillId="26" borderId="11" xfId="0" applyNumberFormat="1" applyFont="1" applyFill="1" applyBorder="1" applyAlignment="1">
      <alignment horizontal="center" vertical="center"/>
    </xf>
    <xf numFmtId="0" fontId="3" fillId="22" borderId="0" xfId="0" applyFont="1" applyFill="1" applyBorder="1" applyAlignment="1">
      <alignment horizontal="right" vertical="center"/>
    </xf>
    <xf numFmtId="165" fontId="3" fillId="22" borderId="0" xfId="0" applyNumberFormat="1" applyFont="1" applyFill="1" applyBorder="1"/>
    <xf numFmtId="14" fontId="3" fillId="22" borderId="0" xfId="0" applyNumberFormat="1" applyFont="1" applyFill="1" applyBorder="1"/>
    <xf numFmtId="0" fontId="0" fillId="0" borderId="0" xfId="0" applyNumberFormat="1" applyBorder="1"/>
    <xf numFmtId="0" fontId="72" fillId="0" borderId="0" xfId="0" applyFont="1"/>
    <xf numFmtId="0" fontId="44" fillId="0" borderId="0" xfId="0" applyFont="1"/>
    <xf numFmtId="0" fontId="44" fillId="0" borderId="0" xfId="0" applyNumberFormat="1" applyFont="1" applyBorder="1"/>
    <xf numFmtId="0" fontId="2" fillId="0" borderId="0" xfId="0" applyNumberFormat="1" applyFont="1" applyBorder="1"/>
    <xf numFmtId="0" fontId="2" fillId="25" borderId="48" xfId="0" applyFont="1" applyFill="1" applyBorder="1"/>
    <xf numFmtId="0" fontId="2" fillId="32" borderId="13" xfId="0" applyFont="1" applyFill="1" applyBorder="1"/>
    <xf numFmtId="0" fontId="2" fillId="32" borderId="49" xfId="0" applyFont="1" applyFill="1" applyBorder="1"/>
    <xf numFmtId="2" fontId="2" fillId="25" borderId="48" xfId="0" applyNumberFormat="1" applyFont="1" applyFill="1" applyBorder="1"/>
    <xf numFmtId="0" fontId="73" fillId="30" borderId="13" xfId="0" applyFont="1" applyFill="1" applyBorder="1" applyAlignment="1" applyProtection="1">
      <alignment horizontal="center"/>
      <protection hidden="1"/>
    </xf>
    <xf numFmtId="0" fontId="73" fillId="0" borderId="13" xfId="0" applyFont="1" applyFill="1" applyBorder="1" applyAlignment="1" applyProtection="1">
      <alignment horizontal="center"/>
      <protection hidden="1"/>
    </xf>
    <xf numFmtId="0" fontId="0" fillId="0" borderId="13" xfId="0" applyFill="1" applyBorder="1" applyAlignment="1" applyProtection="1">
      <alignment horizontal="center"/>
      <protection hidden="1"/>
    </xf>
    <xf numFmtId="0" fontId="73" fillId="30" borderId="10" xfId="0" applyFont="1" applyFill="1" applyBorder="1" applyAlignment="1" applyProtection="1">
      <alignment horizontal="center"/>
      <protection hidden="1"/>
    </xf>
    <xf numFmtId="2" fontId="2" fillId="25" borderId="50" xfId="0" applyNumberFormat="1" applyFont="1" applyFill="1" applyBorder="1"/>
    <xf numFmtId="0" fontId="73" fillId="30" borderId="0" xfId="0" applyFont="1" applyFill="1" applyBorder="1" applyAlignment="1" applyProtection="1">
      <alignment horizontal="center"/>
      <protection hidden="1"/>
    </xf>
    <xf numFmtId="0" fontId="73" fillId="0" borderId="0" xfId="0" applyFont="1" applyFill="1" applyBorder="1" applyAlignment="1" applyProtection="1">
      <alignment horizontal="center"/>
      <protection hidden="1"/>
    </xf>
    <xf numFmtId="0" fontId="0" fillId="0" borderId="12" xfId="0" applyFill="1" applyBorder="1" applyAlignment="1" applyProtection="1">
      <alignment horizontal="center"/>
      <protection hidden="1"/>
    </xf>
    <xf numFmtId="0" fontId="73" fillId="0" borderId="0" xfId="0" applyFont="1" applyBorder="1" applyAlignment="1" applyProtection="1">
      <alignment horizontal="center"/>
      <protection hidden="1"/>
    </xf>
    <xf numFmtId="0" fontId="73" fillId="0" borderId="0" xfId="0" applyFont="1" applyBorder="1" applyAlignment="1" applyProtection="1">
      <alignment horizontal="center"/>
    </xf>
    <xf numFmtId="0" fontId="73" fillId="0" borderId="10" xfId="0" applyFont="1" applyFill="1" applyBorder="1" applyAlignment="1" applyProtection="1">
      <alignment horizontal="center"/>
      <protection hidden="1"/>
    </xf>
    <xf numFmtId="2" fontId="2" fillId="25" borderId="27" xfId="0" applyNumberFormat="1" applyFont="1" applyFill="1" applyBorder="1"/>
    <xf numFmtId="0" fontId="0" fillId="22" borderId="37" xfId="0" applyFill="1" applyBorder="1"/>
    <xf numFmtId="0" fontId="2" fillId="32" borderId="48" xfId="0" applyFont="1" applyFill="1" applyBorder="1"/>
    <xf numFmtId="0" fontId="12" fillId="30" borderId="11" xfId="0" applyFont="1" applyFill="1" applyBorder="1" applyAlignment="1" applyProtection="1">
      <alignment horizontal="center"/>
      <protection hidden="1"/>
    </xf>
    <xf numFmtId="0" fontId="12" fillId="26" borderId="11" xfId="0" applyFont="1" applyFill="1" applyBorder="1" applyAlignment="1" applyProtection="1">
      <alignment horizontal="center"/>
      <protection hidden="1"/>
    </xf>
    <xf numFmtId="0" fontId="12" fillId="26" borderId="11" xfId="0" applyFont="1" applyFill="1" applyBorder="1" applyAlignment="1" applyProtection="1">
      <alignment horizontal="center"/>
    </xf>
    <xf numFmtId="0" fontId="8" fillId="22" borderId="11" xfId="0" applyFont="1" applyFill="1" applyBorder="1" applyAlignment="1">
      <alignment horizontal="right"/>
    </xf>
    <xf numFmtId="0" fontId="3" fillId="22" borderId="0" xfId="0" applyFont="1" applyFill="1" applyAlignment="1">
      <alignment horizontal="right"/>
    </xf>
    <xf numFmtId="0" fontId="73" fillId="0" borderId="11" xfId="0" applyFont="1" applyBorder="1" applyAlignment="1" applyProtection="1">
      <alignment horizontal="center"/>
      <protection locked="0"/>
    </xf>
    <xf numFmtId="0" fontId="73" fillId="0" borderId="11" xfId="0" applyFont="1" applyFill="1" applyBorder="1" applyAlignment="1" applyProtection="1">
      <alignment horizontal="center"/>
      <protection locked="0"/>
    </xf>
    <xf numFmtId="0" fontId="73" fillId="30" borderId="11" xfId="0" applyFont="1" applyFill="1" applyBorder="1" applyAlignment="1" applyProtection="1">
      <alignment horizontal="center"/>
      <protection locked="0"/>
    </xf>
    <xf numFmtId="0" fontId="0" fillId="0" borderId="11" xfId="0" applyFill="1" applyBorder="1" applyAlignment="1" applyProtection="1">
      <alignment horizontal="center"/>
      <protection locked="0"/>
    </xf>
    <xf numFmtId="0" fontId="8" fillId="28" borderId="11" xfId="0" applyFont="1" applyFill="1" applyBorder="1" applyAlignment="1" applyProtection="1">
      <alignment horizontal="right"/>
      <protection locked="0"/>
    </xf>
    <xf numFmtId="0" fontId="2" fillId="0" borderId="26" xfId="0" applyFont="1" applyBorder="1" applyAlignment="1">
      <alignment horizontal="center"/>
    </xf>
    <xf numFmtId="0" fontId="4" fillId="0" borderId="0" xfId="0" applyFont="1" applyFill="1" applyAlignment="1">
      <alignment vertical="center"/>
    </xf>
    <xf numFmtId="0" fontId="0" fillId="0" borderId="0" xfId="0" applyFill="1" applyAlignment="1">
      <alignment vertical="center"/>
    </xf>
    <xf numFmtId="0" fontId="0" fillId="0" borderId="0" xfId="0" applyAlignment="1">
      <alignment vertical="center"/>
    </xf>
    <xf numFmtId="0" fontId="11" fillId="0" borderId="22" xfId="0" applyFont="1" applyFill="1" applyBorder="1" applyAlignment="1">
      <alignment wrapText="1"/>
    </xf>
    <xf numFmtId="0" fontId="62" fillId="0" borderId="22" xfId="0" applyFont="1" applyFill="1" applyBorder="1"/>
    <xf numFmtId="0" fontId="47" fillId="0" borderId="22" xfId="0" applyFont="1" applyFill="1" applyBorder="1"/>
    <xf numFmtId="0" fontId="62" fillId="0" borderId="0" xfId="0" applyFont="1" applyFill="1" applyBorder="1"/>
    <xf numFmtId="0" fontId="3" fillId="32" borderId="11" xfId="0" applyFont="1" applyFill="1" applyBorder="1" applyAlignment="1" applyProtection="1">
      <alignment horizontal="left" vertical="top" wrapText="1"/>
      <protection locked="0"/>
    </xf>
    <xf numFmtId="0" fontId="47" fillId="0" borderId="0" xfId="0" applyFont="1" applyFill="1" applyBorder="1"/>
    <xf numFmtId="0" fontId="62" fillId="0" borderId="0" xfId="0" applyFont="1" applyFill="1" applyBorder="1" applyAlignment="1">
      <alignment horizontal="right"/>
    </xf>
    <xf numFmtId="14" fontId="47" fillId="0" borderId="0" xfId="0" applyNumberFormat="1" applyFont="1" applyFill="1" applyBorder="1" applyAlignment="1">
      <alignment horizontal="left"/>
    </xf>
    <xf numFmtId="0" fontId="61" fillId="0" borderId="22" xfId="0" applyFont="1" applyFill="1" applyBorder="1"/>
    <xf numFmtId="0" fontId="0" fillId="0" borderId="22" xfId="0" applyFill="1" applyBorder="1"/>
    <xf numFmtId="0" fontId="11" fillId="22" borderId="0" xfId="0" applyFont="1" applyFill="1" applyAlignment="1">
      <alignment wrapText="1"/>
    </xf>
    <xf numFmtId="0" fontId="36" fillId="22" borderId="10" xfId="0" applyFont="1" applyFill="1" applyBorder="1" applyAlignment="1">
      <alignment horizontal="center"/>
    </xf>
    <xf numFmtId="0" fontId="3" fillId="32" borderId="11" xfId="0" applyFont="1" applyFill="1" applyBorder="1" applyAlignment="1">
      <alignment horizontal="center"/>
    </xf>
    <xf numFmtId="0" fontId="76" fillId="27" borderId="11" xfId="0" applyFont="1" applyFill="1" applyBorder="1" applyAlignment="1">
      <alignment horizontal="center"/>
    </xf>
    <xf numFmtId="0" fontId="75" fillId="33" borderId="27" xfId="0" applyFont="1" applyFill="1" applyBorder="1" applyAlignment="1">
      <alignment horizontal="center"/>
    </xf>
    <xf numFmtId="0" fontId="76" fillId="34" borderId="11" xfId="0" applyFont="1" applyFill="1" applyBorder="1" applyAlignment="1">
      <alignment horizontal="center"/>
    </xf>
    <xf numFmtId="0" fontId="0" fillId="0" borderId="22" xfId="0" applyBorder="1"/>
    <xf numFmtId="0" fontId="0" fillId="0" borderId="50" xfId="0" applyBorder="1" applyAlignment="1">
      <alignment horizontal="right"/>
    </xf>
    <xf numFmtId="0" fontId="0" fillId="0" borderId="51" xfId="0" applyBorder="1" applyAlignment="1">
      <alignment horizontal="right"/>
    </xf>
    <xf numFmtId="0" fontId="5" fillId="0" borderId="0" xfId="0" applyFont="1" applyFill="1" applyProtection="1">
      <protection locked="0"/>
    </xf>
    <xf numFmtId="0" fontId="42" fillId="32" borderId="11" xfId="0" applyFont="1" applyFill="1" applyBorder="1" applyAlignment="1" applyProtection="1">
      <alignment horizontal="center" vertical="center"/>
      <protection locked="0"/>
    </xf>
    <xf numFmtId="0" fontId="63" fillId="32" borderId="44" xfId="0" applyFont="1" applyFill="1" applyBorder="1" applyAlignment="1" applyProtection="1">
      <alignment horizontal="center" vertical="center"/>
      <protection locked="0"/>
    </xf>
    <xf numFmtId="0" fontId="63" fillId="32" borderId="52" xfId="0" applyFont="1" applyFill="1" applyBorder="1" applyAlignment="1" applyProtection="1">
      <alignment horizontal="center" vertical="center"/>
      <protection locked="0"/>
    </xf>
    <xf numFmtId="0" fontId="63" fillId="32" borderId="45" xfId="0" applyFont="1" applyFill="1" applyBorder="1" applyAlignment="1" applyProtection="1">
      <alignment horizontal="center" vertical="center"/>
      <protection locked="0"/>
    </xf>
    <xf numFmtId="0" fontId="63" fillId="32" borderId="47" xfId="0" applyFont="1" applyFill="1" applyBorder="1" applyAlignment="1" applyProtection="1">
      <alignment horizontal="center" vertical="center"/>
      <protection locked="0"/>
    </xf>
    <xf numFmtId="0" fontId="63" fillId="32" borderId="46" xfId="0" applyFont="1" applyFill="1" applyBorder="1" applyAlignment="1" applyProtection="1">
      <alignment horizontal="center" vertical="center"/>
      <protection locked="0"/>
    </xf>
    <xf numFmtId="0" fontId="63" fillId="32" borderId="53" xfId="0" applyFont="1" applyFill="1" applyBorder="1" applyAlignment="1" applyProtection="1">
      <alignment horizontal="center" vertical="center"/>
      <protection locked="0"/>
    </xf>
    <xf numFmtId="0" fontId="63" fillId="32" borderId="27" xfId="0" applyFont="1" applyFill="1" applyBorder="1" applyAlignment="1" applyProtection="1">
      <alignment horizontal="center" vertical="center"/>
      <protection locked="0"/>
    </xf>
    <xf numFmtId="0" fontId="63" fillId="32" borderId="11" xfId="0" applyFont="1" applyFill="1" applyBorder="1" applyAlignment="1" applyProtection="1">
      <alignment horizontal="center" vertical="center"/>
      <protection locked="0"/>
    </xf>
    <xf numFmtId="0" fontId="63" fillId="32" borderId="26" xfId="0" applyFont="1" applyFill="1" applyBorder="1" applyAlignment="1" applyProtection="1">
      <alignment horizontal="center" vertical="center"/>
      <protection locked="0"/>
    </xf>
    <xf numFmtId="0" fontId="2" fillId="32" borderId="27" xfId="0" applyFont="1" applyFill="1" applyBorder="1" applyAlignment="1" applyProtection="1">
      <alignment horizontal="center"/>
      <protection locked="0"/>
    </xf>
    <xf numFmtId="0" fontId="2" fillId="32" borderId="11" xfId="0" applyFont="1" applyFill="1" applyBorder="1" applyAlignment="1" applyProtection="1">
      <alignment horizontal="center"/>
      <protection locked="0"/>
    </xf>
    <xf numFmtId="0" fontId="63" fillId="32" borderId="11" xfId="0" applyFont="1" applyFill="1" applyBorder="1" applyAlignment="1" applyProtection="1">
      <alignment horizontal="right" vertical="center"/>
      <protection locked="0"/>
    </xf>
    <xf numFmtId="0" fontId="63" fillId="32" borderId="27" xfId="0" applyFont="1" applyFill="1" applyBorder="1" applyAlignment="1" applyProtection="1">
      <alignment horizontal="right" vertical="center"/>
      <protection locked="0"/>
    </xf>
    <xf numFmtId="0" fontId="12" fillId="32" borderId="11" xfId="0" applyFont="1" applyFill="1" applyBorder="1" applyAlignment="1" applyProtection="1">
      <alignment horizontal="center" vertical="center"/>
      <protection locked="0"/>
    </xf>
    <xf numFmtId="0" fontId="1" fillId="32" borderId="11" xfId="0" applyFont="1" applyFill="1" applyBorder="1" applyAlignment="1" applyProtection="1">
      <alignment horizontal="right" vertical="center"/>
      <protection locked="0"/>
    </xf>
    <xf numFmtId="0" fontId="35" fillId="0" borderId="0" xfId="0" applyFont="1" applyFill="1"/>
    <xf numFmtId="0" fontId="53" fillId="0" borderId="0" xfId="0" applyFont="1" applyFill="1"/>
    <xf numFmtId="164" fontId="0" fillId="0" borderId="0" xfId="0" applyNumberFormat="1" applyFill="1"/>
    <xf numFmtId="2" fontId="0" fillId="0" borderId="0" xfId="0" applyNumberFormat="1" applyFill="1"/>
    <xf numFmtId="165" fontId="50" fillId="28" borderId="27" xfId="0" applyNumberFormat="1" applyFont="1" applyFill="1" applyBorder="1" applyAlignment="1" applyProtection="1">
      <alignment horizontal="right" wrapText="1"/>
      <protection locked="0"/>
    </xf>
    <xf numFmtId="165" fontId="50" fillId="28" borderId="26" xfId="0" applyNumberFormat="1" applyFont="1" applyFill="1" applyBorder="1" applyAlignment="1" applyProtection="1">
      <alignment horizontal="right" wrapText="1"/>
      <protection locked="0"/>
    </xf>
    <xf numFmtId="165" fontId="50" fillId="28" borderId="16" xfId="0" applyNumberFormat="1" applyFont="1" applyFill="1" applyBorder="1" applyAlignment="1" applyProtection="1">
      <alignment horizontal="right" wrapText="1"/>
      <protection locked="0"/>
    </xf>
    <xf numFmtId="0" fontId="50" fillId="28" borderId="11" xfId="0" applyFont="1" applyFill="1" applyBorder="1" applyAlignment="1" applyProtection="1">
      <alignment horizontal="center" vertical="center"/>
      <protection locked="0"/>
    </xf>
    <xf numFmtId="164" fontId="50" fillId="28" borderId="11" xfId="0" applyNumberFormat="1" applyFont="1" applyFill="1" applyBorder="1" applyAlignment="1" applyProtection="1">
      <alignment horizontal="center" wrapText="1"/>
      <protection locked="0"/>
    </xf>
    <xf numFmtId="0" fontId="12" fillId="28" borderId="11" xfId="0" applyFont="1" applyFill="1" applyBorder="1" applyAlignment="1" applyProtection="1">
      <alignment horizontal="center"/>
      <protection locked="0"/>
    </xf>
    <xf numFmtId="2" fontId="50" fillId="35" borderId="11" xfId="0" applyNumberFormat="1" applyFont="1" applyFill="1" applyBorder="1" applyAlignment="1" applyProtection="1">
      <alignment horizontal="right" vertical="center"/>
      <protection locked="0"/>
    </xf>
    <xf numFmtId="164" fontId="50" fillId="28" borderId="11" xfId="0" applyNumberFormat="1" applyFont="1" applyFill="1" applyBorder="1" applyAlignment="1" applyProtection="1">
      <alignment horizontal="right"/>
      <protection locked="0"/>
    </xf>
    <xf numFmtId="0" fontId="8" fillId="28" borderId="27" xfId="0" applyFont="1" applyFill="1" applyBorder="1" applyProtection="1">
      <protection locked="0"/>
    </xf>
    <xf numFmtId="0" fontId="8" fillId="28" borderId="11" xfId="0" applyFont="1" applyFill="1" applyBorder="1" applyProtection="1">
      <protection locked="0"/>
    </xf>
    <xf numFmtId="0" fontId="8" fillId="28" borderId="26" xfId="0" applyFont="1" applyFill="1" applyBorder="1" applyProtection="1">
      <protection locked="0"/>
    </xf>
    <xf numFmtId="1" fontId="50" fillId="28" borderId="21" xfId="0" applyNumberFormat="1" applyFont="1" applyFill="1" applyBorder="1" applyAlignment="1" applyProtection="1">
      <alignment horizontal="center" vertical="center"/>
      <protection locked="0"/>
    </xf>
    <xf numFmtId="165" fontId="50" fillId="28" borderId="11" xfId="0" applyNumberFormat="1" applyFont="1" applyFill="1" applyBorder="1" applyAlignment="1" applyProtection="1">
      <alignment horizontal="center" vertical="center"/>
      <protection locked="0"/>
    </xf>
    <xf numFmtId="2" fontId="50" fillId="28" borderId="11" xfId="0" applyNumberFormat="1" applyFont="1" applyFill="1" applyBorder="1" applyAlignment="1" applyProtection="1">
      <alignment horizontal="center" vertical="center"/>
      <protection locked="0"/>
    </xf>
    <xf numFmtId="2" fontId="50" fillId="0" borderId="0" xfId="0" applyNumberFormat="1" applyFont="1" applyFill="1" applyBorder="1" applyAlignment="1">
      <alignment vertical="top"/>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wrapText="1"/>
    </xf>
    <xf numFmtId="165" fontId="63" fillId="28" borderId="11" xfId="0" applyNumberFormat="1" applyFont="1" applyFill="1" applyBorder="1" applyAlignment="1" applyProtection="1">
      <alignment horizontal="center" vertical="top"/>
      <protection locked="0"/>
    </xf>
    <xf numFmtId="165" fontId="63" fillId="28" borderId="27" xfId="0" applyNumberFormat="1" applyFont="1" applyFill="1" applyBorder="1" applyAlignment="1" applyProtection="1">
      <alignment horizontal="center" vertical="top"/>
      <protection locked="0"/>
    </xf>
    <xf numFmtId="0" fontId="50" fillId="28" borderId="27" xfId="0" applyFont="1" applyFill="1" applyBorder="1" applyAlignment="1" applyProtection="1">
      <alignment horizontal="center" vertical="center"/>
      <protection locked="0"/>
    </xf>
    <xf numFmtId="164" fontId="50" fillId="28" borderId="11" xfId="0" applyNumberFormat="1" applyFont="1" applyFill="1" applyBorder="1" applyAlignment="1" applyProtection="1">
      <alignment horizontal="center" vertical="center"/>
      <protection locked="0"/>
    </xf>
    <xf numFmtId="0" fontId="0" fillId="36" borderId="0" xfId="0" applyFill="1"/>
    <xf numFmtId="0" fontId="0" fillId="36" borderId="0" xfId="0" applyFill="1" applyBorder="1"/>
    <xf numFmtId="0" fontId="37" fillId="36" borderId="0" xfId="0" applyFont="1" applyFill="1"/>
    <xf numFmtId="0" fontId="37" fillId="37" borderId="54" xfId="0" applyFont="1" applyFill="1" applyBorder="1" applyAlignment="1">
      <alignment wrapText="1"/>
    </xf>
    <xf numFmtId="0" fontId="37" fillId="37" borderId="54" xfId="0" applyFont="1" applyFill="1" applyBorder="1" applyAlignment="1"/>
    <xf numFmtId="0" fontId="37" fillId="37" borderId="55" xfId="0" applyFont="1" applyFill="1" applyBorder="1" applyAlignment="1"/>
    <xf numFmtId="0" fontId="41" fillId="36" borderId="56" xfId="0" applyFont="1" applyFill="1" applyBorder="1" applyAlignment="1">
      <alignment horizontal="center" vertical="center"/>
    </xf>
    <xf numFmtId="0" fontId="41" fillId="36" borderId="27" xfId="0" applyFont="1" applyFill="1" applyBorder="1" applyAlignment="1">
      <alignment horizontal="center" vertical="center"/>
    </xf>
    <xf numFmtId="0" fontId="41" fillId="36" borderId="57" xfId="0" applyFont="1" applyFill="1" applyBorder="1" applyAlignment="1">
      <alignment horizontal="center" vertical="center"/>
    </xf>
    <xf numFmtId="0" fontId="41" fillId="36" borderId="58" xfId="0" applyFont="1" applyFill="1" applyBorder="1" applyAlignment="1">
      <alignment horizontal="center" vertical="center"/>
    </xf>
    <xf numFmtId="0" fontId="38" fillId="0" borderId="59" xfId="0" applyFont="1" applyFill="1" applyBorder="1" applyAlignment="1">
      <alignment horizontal="right" vertical="center" wrapText="1"/>
    </xf>
    <xf numFmtId="0" fontId="50" fillId="36" borderId="60" xfId="0" applyFont="1" applyFill="1" applyBorder="1" applyAlignment="1">
      <alignment horizontal="center" vertical="center"/>
    </xf>
    <xf numFmtId="0" fontId="12" fillId="36" borderId="61" xfId="0" applyFont="1" applyFill="1" applyBorder="1" applyAlignment="1">
      <alignment horizontal="center" vertical="center"/>
    </xf>
    <xf numFmtId="0" fontId="12" fillId="36" borderId="62" xfId="0" applyFont="1" applyFill="1" applyBorder="1" applyAlignment="1">
      <alignment horizontal="center" vertical="center"/>
    </xf>
    <xf numFmtId="0" fontId="41" fillId="36" borderId="63" xfId="0" applyFont="1" applyFill="1" applyBorder="1" applyAlignment="1">
      <alignment horizontal="center" vertical="center"/>
    </xf>
    <xf numFmtId="0" fontId="2" fillId="36" borderId="64" xfId="0" applyFont="1" applyFill="1" applyBorder="1" applyAlignment="1">
      <alignment wrapText="1"/>
    </xf>
    <xf numFmtId="0" fontId="12" fillId="38" borderId="65" xfId="38" applyFont="1" applyFill="1" applyBorder="1" applyAlignment="1">
      <alignment horizontal="center"/>
    </xf>
    <xf numFmtId="0" fontId="12" fillId="38" borderId="23" xfId="38" applyFont="1" applyFill="1" applyBorder="1" applyAlignment="1">
      <alignment horizontal="center"/>
    </xf>
    <xf numFmtId="0" fontId="12" fillId="38" borderId="66" xfId="38" applyFont="1" applyFill="1" applyBorder="1" applyAlignment="1">
      <alignment horizontal="center"/>
    </xf>
    <xf numFmtId="0" fontId="12" fillId="38" borderId="15" xfId="38" applyFont="1" applyFill="1" applyBorder="1" applyAlignment="1">
      <alignment horizontal="center"/>
    </xf>
    <xf numFmtId="0" fontId="12" fillId="39" borderId="67" xfId="38" applyFont="1" applyFill="1" applyBorder="1" applyAlignment="1">
      <alignment horizontal="center"/>
    </xf>
    <xf numFmtId="0" fontId="12" fillId="39" borderId="13" xfId="38" applyFont="1" applyFill="1" applyBorder="1" applyAlignment="1">
      <alignment horizontal="center"/>
    </xf>
    <xf numFmtId="0" fontId="12" fillId="39" borderId="49" xfId="38" applyFont="1" applyFill="1" applyBorder="1" applyAlignment="1">
      <alignment horizontal="center"/>
    </xf>
    <xf numFmtId="0" fontId="12" fillId="38" borderId="68" xfId="38" applyFont="1" applyFill="1" applyBorder="1" applyAlignment="1">
      <alignment horizontal="center"/>
    </xf>
    <xf numFmtId="0" fontId="12" fillId="39" borderId="29" xfId="38" applyFont="1" applyFill="1" applyBorder="1" applyAlignment="1">
      <alignment horizontal="center"/>
    </xf>
    <xf numFmtId="0" fontId="12" fillId="39" borderId="0" xfId="38" applyFont="1" applyFill="1" applyBorder="1" applyAlignment="1">
      <alignment horizontal="center"/>
    </xf>
    <xf numFmtId="0" fontId="12" fillId="39" borderId="12" xfId="38" applyFont="1" applyFill="1" applyBorder="1" applyAlignment="1">
      <alignment horizontal="center"/>
    </xf>
    <xf numFmtId="0" fontId="44" fillId="39" borderId="0" xfId="38" applyFont="1" applyFill="1" applyBorder="1" applyAlignment="1">
      <alignment horizontal="center"/>
    </xf>
    <xf numFmtId="0" fontId="78" fillId="38" borderId="15" xfId="38" applyFont="1" applyFill="1" applyBorder="1" applyAlignment="1">
      <alignment horizontal="center"/>
    </xf>
    <xf numFmtId="0" fontId="2" fillId="39" borderId="0" xfId="38" applyFont="1" applyFill="1" applyBorder="1" applyAlignment="1">
      <alignment horizontal="center"/>
    </xf>
    <xf numFmtId="0" fontId="12" fillId="40" borderId="0" xfId="38" applyFont="1" applyFill="1" applyBorder="1" applyAlignment="1">
      <alignment horizontal="center"/>
    </xf>
    <xf numFmtId="0" fontId="50" fillId="38" borderId="18" xfId="38" applyFont="1" applyFill="1" applyBorder="1" applyAlignment="1">
      <alignment horizontal="center" vertical="center" wrapText="1"/>
    </xf>
    <xf numFmtId="0" fontId="50" fillId="40" borderId="24" xfId="38" applyFont="1" applyFill="1" applyBorder="1" applyAlignment="1">
      <alignment horizontal="center" vertical="center" wrapText="1"/>
    </xf>
    <xf numFmtId="0" fontId="50" fillId="40" borderId="22" xfId="38" applyFont="1" applyFill="1" applyBorder="1" applyAlignment="1">
      <alignment horizontal="center"/>
    </xf>
    <xf numFmtId="0" fontId="50" fillId="40" borderId="22" xfId="38" applyFont="1" applyFill="1" applyBorder="1" applyAlignment="1">
      <alignment horizontal="center" vertical="center" wrapText="1"/>
    </xf>
    <xf numFmtId="0" fontId="50" fillId="40" borderId="38" xfId="38" applyFont="1" applyFill="1" applyBorder="1" applyAlignment="1">
      <alignment horizontal="center" vertical="center" wrapText="1"/>
    </xf>
    <xf numFmtId="0" fontId="50" fillId="38" borderId="69" xfId="38" applyFont="1" applyFill="1" applyBorder="1" applyAlignment="1">
      <alignment horizontal="center" vertical="center" wrapText="1"/>
    </xf>
    <xf numFmtId="0" fontId="50" fillId="22" borderId="0" xfId="0" applyFont="1" applyFill="1" applyAlignment="1">
      <alignment horizontal="center"/>
    </xf>
    <xf numFmtId="0" fontId="50" fillId="41" borderId="52" xfId="0" applyFont="1" applyFill="1" applyBorder="1" applyAlignment="1">
      <alignment horizontal="center"/>
    </xf>
    <xf numFmtId="0" fontId="12" fillId="41" borderId="10" xfId="0" applyFont="1" applyFill="1" applyBorder="1" applyAlignment="1">
      <alignment horizontal="center"/>
    </xf>
    <xf numFmtId="0" fontId="12" fillId="41" borderId="70" xfId="0" applyFont="1" applyFill="1" applyBorder="1" applyAlignment="1">
      <alignment horizontal="center"/>
    </xf>
    <xf numFmtId="2" fontId="50" fillId="42" borderId="71" xfId="0" applyNumberFormat="1" applyFont="1" applyFill="1" applyBorder="1" applyAlignment="1">
      <alignment horizontal="center" vertical="center"/>
    </xf>
    <xf numFmtId="2" fontId="50" fillId="42" borderId="72" xfId="0" applyNumberFormat="1" applyFont="1" applyFill="1" applyBorder="1" applyAlignment="1">
      <alignment horizontal="center" vertical="center"/>
    </xf>
    <xf numFmtId="2" fontId="12" fillId="26" borderId="73" xfId="0" applyNumberFormat="1" applyFont="1" applyFill="1" applyBorder="1" applyAlignment="1">
      <alignment horizontal="center" vertical="center"/>
    </xf>
    <xf numFmtId="2" fontId="50" fillId="42" borderId="74" xfId="0" applyNumberFormat="1" applyFont="1" applyFill="1" applyBorder="1" applyAlignment="1">
      <alignment horizontal="center" vertical="center"/>
    </xf>
    <xf numFmtId="2" fontId="50" fillId="26" borderId="12" xfId="0" applyNumberFormat="1" applyFont="1" applyFill="1" applyBorder="1" applyAlignment="1">
      <alignment horizontal="center" vertical="center"/>
    </xf>
    <xf numFmtId="2" fontId="50" fillId="42" borderId="75" xfId="0" applyNumberFormat="1" applyFont="1" applyFill="1" applyBorder="1" applyAlignment="1">
      <alignment horizontal="center" vertical="center"/>
    </xf>
    <xf numFmtId="2" fontId="50" fillId="42" borderId="76" xfId="0" applyNumberFormat="1" applyFont="1" applyFill="1" applyBorder="1" applyAlignment="1">
      <alignment horizontal="center" vertical="center"/>
    </xf>
    <xf numFmtId="0" fontId="34" fillId="0" borderId="77" xfId="0" applyFont="1" applyBorder="1" applyAlignment="1"/>
    <xf numFmtId="0" fontId="38" fillId="0" borderId="72" xfId="0" applyFont="1" applyFill="1" applyBorder="1" applyAlignment="1">
      <alignment horizontal="right" vertical="top" wrapText="1"/>
    </xf>
    <xf numFmtId="0" fontId="38" fillId="36" borderId="78" xfId="0" applyFont="1" applyFill="1" applyBorder="1" applyAlignment="1">
      <alignment horizontal="right" vertical="top" wrapText="1"/>
    </xf>
    <xf numFmtId="0" fontId="77" fillId="36" borderId="59" xfId="0" applyFont="1" applyFill="1" applyBorder="1" applyAlignment="1">
      <alignment horizontal="center" vertical="center" wrapText="1"/>
    </xf>
    <xf numFmtId="0" fontId="38" fillId="36" borderId="11" xfId="0" applyFont="1" applyFill="1" applyBorder="1" applyAlignment="1">
      <alignment horizontal="center" vertical="center" wrapText="1"/>
    </xf>
    <xf numFmtId="0" fontId="38" fillId="36" borderId="26" xfId="0" applyFont="1" applyFill="1" applyBorder="1" applyAlignment="1">
      <alignment horizontal="center" vertical="center" wrapText="1"/>
    </xf>
    <xf numFmtId="0" fontId="57" fillId="26" borderId="17" xfId="0" applyFont="1" applyFill="1" applyBorder="1" applyAlignment="1">
      <alignment horizontal="center" vertical="center" wrapText="1"/>
    </xf>
    <xf numFmtId="0" fontId="41" fillId="36" borderId="50" xfId="0" applyFont="1" applyFill="1" applyBorder="1" applyAlignment="1">
      <alignment horizontal="center" vertical="center"/>
    </xf>
    <xf numFmtId="0" fontId="45" fillId="38" borderId="15" xfId="38" applyFont="1" applyFill="1" applyBorder="1" applyAlignment="1">
      <alignment horizontal="center"/>
    </xf>
    <xf numFmtId="49" fontId="2" fillId="40" borderId="0" xfId="38" applyNumberFormat="1" applyFont="1" applyFill="1" applyBorder="1" applyAlignment="1">
      <alignment horizontal="left"/>
    </xf>
    <xf numFmtId="49" fontId="2" fillId="38" borderId="79" xfId="38" applyNumberFormat="1" applyFont="1" applyFill="1" applyBorder="1" applyAlignment="1">
      <alignment horizontal="left"/>
    </xf>
    <xf numFmtId="0" fontId="3" fillId="22" borderId="22" xfId="0" applyFont="1" applyFill="1" applyBorder="1"/>
    <xf numFmtId="0" fontId="37" fillId="22" borderId="0" xfId="0" applyFont="1" applyFill="1" applyAlignment="1">
      <alignment vertical="top"/>
    </xf>
    <xf numFmtId="0" fontId="12" fillId="43" borderId="80" xfId="38" applyFont="1" applyFill="1" applyBorder="1" applyAlignment="1" applyProtection="1">
      <alignment horizontal="center"/>
      <protection locked="0"/>
    </xf>
    <xf numFmtId="0" fontId="12" fillId="44" borderId="11" xfId="38" applyFont="1" applyFill="1" applyBorder="1" applyAlignment="1" applyProtection="1">
      <alignment horizontal="center"/>
      <protection locked="0"/>
    </xf>
    <xf numFmtId="0" fontId="2" fillId="43" borderId="45" xfId="38" applyFont="1" applyFill="1" applyBorder="1" applyAlignment="1" applyProtection="1">
      <alignment horizontal="center"/>
      <protection locked="0"/>
    </xf>
    <xf numFmtId="0" fontId="12" fillId="43" borderId="81" xfId="38" applyFont="1" applyFill="1" applyBorder="1" applyAlignment="1" applyProtection="1">
      <alignment horizontal="center"/>
      <protection locked="0"/>
    </xf>
    <xf numFmtId="0" fontId="12" fillId="32" borderId="27" xfId="0" applyFont="1" applyFill="1" applyBorder="1" applyAlignment="1" applyProtection="1">
      <alignment horizontal="center"/>
      <protection locked="0"/>
    </xf>
    <xf numFmtId="0" fontId="12" fillId="45" borderId="26" xfId="38" applyFont="1" applyFill="1" applyBorder="1" applyAlignment="1" applyProtection="1">
      <alignment horizontal="center"/>
      <protection locked="0"/>
    </xf>
    <xf numFmtId="165" fontId="12" fillId="44" borderId="11" xfId="38" applyNumberFormat="1" applyFont="1" applyFill="1" applyBorder="1" applyAlignment="1" applyProtection="1">
      <alignment horizontal="center"/>
      <protection locked="0"/>
    </xf>
    <xf numFmtId="0" fontId="12" fillId="43" borderId="82" xfId="38" applyFont="1" applyFill="1" applyBorder="1" applyAlignment="1" applyProtection="1">
      <alignment horizontal="center"/>
      <protection locked="0"/>
    </xf>
    <xf numFmtId="0" fontId="4" fillId="0" borderId="0" xfId="0" applyFont="1" applyFill="1" applyBorder="1" applyAlignment="1">
      <alignment vertical="top" wrapText="1"/>
    </xf>
    <xf numFmtId="0" fontId="79" fillId="0" borderId="0" xfId="0" applyFont="1" applyFill="1" applyBorder="1" applyAlignment="1">
      <alignment horizontal="center" vertical="top" wrapText="1"/>
    </xf>
    <xf numFmtId="0" fontId="12" fillId="32" borderId="11" xfId="0" applyFont="1" applyFill="1" applyBorder="1" applyAlignment="1" applyProtection="1">
      <alignment horizontal="center" vertical="top" wrapText="1"/>
      <protection locked="0"/>
    </xf>
    <xf numFmtId="0" fontId="2" fillId="0" borderId="0" xfId="0" applyFont="1" applyFill="1" applyAlignment="1">
      <alignment horizontal="right"/>
    </xf>
    <xf numFmtId="15"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2" fillId="22" borderId="16" xfId="0" applyFont="1" applyFill="1" applyBorder="1" applyProtection="1"/>
    <xf numFmtId="0" fontId="1" fillId="0" borderId="27" xfId="0" applyFont="1" applyFill="1" applyBorder="1" applyProtection="1"/>
    <xf numFmtId="0" fontId="1" fillId="0" borderId="11" xfId="0" applyFont="1" applyFill="1" applyBorder="1" applyProtection="1"/>
    <xf numFmtId="0" fontId="1" fillId="0" borderId="26" xfId="0" applyFont="1" applyFill="1" applyBorder="1" applyProtection="1"/>
    <xf numFmtId="2" fontId="0" fillId="28" borderId="13" xfId="0" applyNumberFormat="1" applyFill="1" applyBorder="1"/>
    <xf numFmtId="0" fontId="0" fillId="28" borderId="13" xfId="0" applyFill="1" applyBorder="1"/>
    <xf numFmtId="164" fontId="0" fillId="28" borderId="13" xfId="0" applyNumberFormat="1" applyFill="1" applyBorder="1"/>
    <xf numFmtId="2" fontId="0" fillId="28" borderId="0" xfId="0" applyNumberFormat="1" applyFill="1" applyBorder="1"/>
    <xf numFmtId="0" fontId="0" fillId="28" borderId="0" xfId="0" applyFill="1" applyBorder="1"/>
    <xf numFmtId="164" fontId="0" fillId="28" borderId="0" xfId="0" applyNumberFormat="1" applyFill="1" applyBorder="1"/>
    <xf numFmtId="49" fontId="38" fillId="22" borderId="0" xfId="0" applyNumberFormat="1" applyFont="1" applyFill="1" applyBorder="1" applyAlignment="1">
      <alignment wrapText="1"/>
    </xf>
    <xf numFmtId="49" fontId="37" fillId="22" borderId="0" xfId="0" applyNumberFormat="1" applyFont="1" applyFill="1" applyBorder="1" applyAlignment="1"/>
    <xf numFmtId="49" fontId="9" fillId="22" borderId="10" xfId="0" applyNumberFormat="1" applyFont="1" applyFill="1" applyBorder="1" applyAlignment="1"/>
    <xf numFmtId="0" fontId="0" fillId="22" borderId="10" xfId="0" applyFill="1" applyBorder="1" applyAlignment="1"/>
    <xf numFmtId="49" fontId="35" fillId="22" borderId="10" xfId="0" applyNumberFormat="1" applyFont="1" applyFill="1" applyBorder="1"/>
    <xf numFmtId="0" fontId="59" fillId="22" borderId="10" xfId="0" applyFont="1" applyFill="1" applyBorder="1"/>
    <xf numFmtId="49" fontId="9" fillId="22" borderId="0" xfId="0" applyNumberFormat="1" applyFont="1" applyFill="1" applyBorder="1" applyAlignment="1"/>
    <xf numFmtId="49" fontId="35" fillId="22" borderId="0" xfId="0" applyNumberFormat="1" applyFont="1" applyFill="1" applyBorder="1"/>
    <xf numFmtId="0" fontId="59" fillId="22" borderId="0" xfId="0" applyFont="1" applyFill="1" applyBorder="1"/>
    <xf numFmtId="0" fontId="38" fillId="22" borderId="0" xfId="0" applyFont="1" applyFill="1"/>
    <xf numFmtId="0" fontId="35" fillId="22" borderId="10" xfId="0" applyFont="1" applyFill="1" applyBorder="1"/>
    <xf numFmtId="0" fontId="60" fillId="22" borderId="0" xfId="0" applyFont="1" applyFill="1"/>
    <xf numFmtId="49" fontId="2" fillId="25" borderId="48" xfId="0" applyNumberFormat="1" applyFont="1" applyFill="1" applyBorder="1" applyAlignment="1">
      <alignment horizontal="center" wrapText="1"/>
    </xf>
    <xf numFmtId="0" fontId="0" fillId="22" borderId="67" xfId="0" applyFill="1" applyBorder="1"/>
    <xf numFmtId="0" fontId="0" fillId="22" borderId="13" xfId="0" applyFill="1" applyBorder="1"/>
    <xf numFmtId="0" fontId="0" fillId="22" borderId="49" xfId="0" applyFill="1" applyBorder="1"/>
    <xf numFmtId="0" fontId="0" fillId="22" borderId="29" xfId="0" applyFill="1" applyBorder="1"/>
    <xf numFmtId="0" fontId="0" fillId="22" borderId="52" xfId="0" applyFill="1" applyBorder="1"/>
    <xf numFmtId="0" fontId="0" fillId="22" borderId="70" xfId="0" applyFill="1" applyBorder="1"/>
    <xf numFmtId="0" fontId="0" fillId="0" borderId="0" xfId="0" applyBorder="1" applyAlignment="1"/>
    <xf numFmtId="2" fontId="36" fillId="27" borderId="27" xfId="0" applyNumberFormat="1" applyFont="1" applyFill="1" applyBorder="1" applyAlignment="1">
      <alignment horizontal="right" wrapText="1"/>
    </xf>
    <xf numFmtId="0" fontId="2" fillId="22" borderId="14" xfId="0" applyFont="1" applyFill="1" applyBorder="1" applyAlignment="1">
      <alignment horizontal="center" wrapText="1"/>
    </xf>
    <xf numFmtId="0" fontId="0" fillId="22" borderId="0" xfId="0" applyFill="1" applyBorder="1" applyAlignment="1">
      <alignment horizontal="center"/>
    </xf>
    <xf numFmtId="0" fontId="2" fillId="0" borderId="0" xfId="0" applyFont="1" applyBorder="1"/>
    <xf numFmtId="2" fontId="0" fillId="0" borderId="0" xfId="0" applyNumberFormat="1" applyFill="1" applyBorder="1"/>
    <xf numFmtId="0" fontId="0" fillId="22" borderId="0" xfId="0" applyFill="1" applyAlignment="1">
      <alignment wrapText="1"/>
    </xf>
    <xf numFmtId="0" fontId="80" fillId="22" borderId="0" xfId="0" applyFont="1" applyFill="1"/>
    <xf numFmtId="0" fontId="35" fillId="22" borderId="0" xfId="0" applyFont="1" applyFill="1" applyBorder="1" applyAlignment="1"/>
    <xf numFmtId="0" fontId="35" fillId="22" borderId="0" xfId="0" applyFont="1" applyFill="1" applyBorder="1" applyAlignment="1">
      <alignment wrapText="1"/>
    </xf>
    <xf numFmtId="0" fontId="35" fillId="22" borderId="0" xfId="0" applyFont="1" applyFill="1" applyBorder="1" applyAlignment="1">
      <alignment horizontal="left"/>
    </xf>
    <xf numFmtId="0" fontId="44" fillId="22" borderId="0" xfId="0" applyFont="1" applyFill="1" applyBorder="1" applyAlignment="1"/>
    <xf numFmtId="0" fontId="0" fillId="22" borderId="39" xfId="0" applyFill="1" applyBorder="1" applyAlignment="1">
      <alignment vertical="center"/>
    </xf>
    <xf numFmtId="0" fontId="81" fillId="22" borderId="0" xfId="0" applyFont="1" applyFill="1"/>
    <xf numFmtId="0" fontId="82" fillId="22" borderId="0" xfId="0" applyFont="1" applyFill="1"/>
    <xf numFmtId="49" fontId="81" fillId="22" borderId="0" xfId="0" applyNumberFormat="1" applyFont="1" applyFill="1" applyAlignment="1"/>
    <xf numFmtId="49" fontId="83" fillId="22" borderId="0" xfId="0" applyNumberFormat="1" applyFont="1" applyFill="1" applyAlignment="1"/>
    <xf numFmtId="0" fontId="83" fillId="22" borderId="0" xfId="0" applyFont="1" applyFill="1" applyBorder="1" applyAlignment="1"/>
    <xf numFmtId="0" fontId="81" fillId="22" borderId="0" xfId="0" applyFont="1" applyFill="1" applyBorder="1" applyAlignment="1"/>
    <xf numFmtId="0" fontId="81" fillId="22" borderId="0" xfId="0" applyFont="1" applyFill="1" applyBorder="1" applyAlignment="1">
      <alignment horizontal="left"/>
    </xf>
    <xf numFmtId="0" fontId="81" fillId="22" borderId="0" xfId="0" applyFont="1" applyFill="1" applyBorder="1"/>
    <xf numFmtId="0" fontId="0" fillId="0" borderId="0" xfId="0" applyProtection="1">
      <protection locked="0"/>
    </xf>
    <xf numFmtId="0" fontId="0" fillId="0" borderId="0" xfId="0" applyFill="1" applyProtection="1">
      <protection locked="0"/>
    </xf>
    <xf numFmtId="0" fontId="11" fillId="0" borderId="0" xfId="0" applyFont="1" applyFill="1" applyProtection="1">
      <protection locked="0"/>
    </xf>
    <xf numFmtId="0" fontId="2" fillId="0" borderId="0" xfId="0" applyFont="1" applyFill="1" applyProtection="1">
      <protection locked="0"/>
    </xf>
    <xf numFmtId="0" fontId="0" fillId="22" borderId="0" xfId="0" applyFill="1" applyProtection="1">
      <protection locked="0"/>
    </xf>
    <xf numFmtId="0" fontId="35" fillId="22" borderId="0" xfId="0" applyFont="1" applyFill="1" applyProtection="1">
      <protection locked="0"/>
    </xf>
    <xf numFmtId="0" fontId="3" fillId="22" borderId="0" xfId="0" applyFont="1" applyFill="1" applyBorder="1" applyAlignment="1" applyProtection="1">
      <protection locked="0"/>
    </xf>
    <xf numFmtId="0" fontId="3" fillId="22" borderId="0" xfId="0" applyFont="1" applyFill="1" applyBorder="1" applyAlignment="1" applyProtection="1">
      <alignment wrapText="1"/>
      <protection locked="0"/>
    </xf>
    <xf numFmtId="0" fontId="0" fillId="22" borderId="0" xfId="0" applyFill="1" applyBorder="1" applyProtection="1">
      <protection locked="0"/>
    </xf>
    <xf numFmtId="0" fontId="0" fillId="0" borderId="0" xfId="0" applyBorder="1" applyProtection="1">
      <protection locked="0"/>
    </xf>
    <xf numFmtId="0" fontId="0" fillId="22" borderId="0" xfId="0" applyFill="1" applyAlignment="1" applyProtection="1">
      <alignment horizontal="center"/>
      <protection locked="0"/>
    </xf>
    <xf numFmtId="0" fontId="0" fillId="0" borderId="0" xfId="0" applyAlignment="1" applyProtection="1">
      <alignment horizontal="center"/>
      <protection locked="0"/>
    </xf>
    <xf numFmtId="0" fontId="0" fillId="22" borderId="0" xfId="0" applyFill="1" applyBorder="1" applyAlignment="1" applyProtection="1">
      <protection locked="0"/>
    </xf>
    <xf numFmtId="0" fontId="0" fillId="22" borderId="22" xfId="0" applyFill="1" applyBorder="1" applyProtection="1">
      <protection locked="0"/>
    </xf>
    <xf numFmtId="2" fontId="8" fillId="26" borderId="26" xfId="0" applyNumberFormat="1" applyFont="1" applyFill="1" applyBorder="1"/>
    <xf numFmtId="164" fontId="51" fillId="26" borderId="11" xfId="0" applyNumberFormat="1" applyFont="1" applyFill="1" applyBorder="1" applyAlignment="1"/>
    <xf numFmtId="166" fontId="40" fillId="26" borderId="11" xfId="0" applyNumberFormat="1" applyFont="1" applyFill="1" applyBorder="1" applyAlignment="1"/>
    <xf numFmtId="0" fontId="2" fillId="22" borderId="10" xfId="0" applyFont="1" applyFill="1" applyBorder="1" applyAlignment="1">
      <alignment horizontal="left" wrapText="1"/>
    </xf>
    <xf numFmtId="0" fontId="2" fillId="0" borderId="10" xfId="0" applyFont="1" applyBorder="1" applyAlignment="1">
      <alignment horizontal="left" wrapText="1"/>
    </xf>
    <xf numFmtId="0" fontId="37" fillId="0" borderId="0" xfId="0" applyFont="1" applyFill="1"/>
    <xf numFmtId="2" fontId="3" fillId="28" borderId="49" xfId="0" applyNumberFormat="1" applyFont="1" applyFill="1" applyBorder="1"/>
    <xf numFmtId="2" fontId="3" fillId="28" borderId="12" xfId="0" applyNumberFormat="1" applyFont="1" applyFill="1" applyBorder="1"/>
    <xf numFmtId="2" fontId="3" fillId="28" borderId="70" xfId="0" applyNumberFormat="1" applyFont="1" applyFill="1" applyBorder="1" applyAlignment="1">
      <alignment horizontal="right"/>
    </xf>
    <xf numFmtId="2" fontId="0" fillId="28" borderId="12" xfId="0" applyNumberFormat="1" applyFill="1" applyBorder="1"/>
    <xf numFmtId="2" fontId="0" fillId="28" borderId="49" xfId="0" applyNumberFormat="1" applyFill="1" applyBorder="1"/>
    <xf numFmtId="2" fontId="0" fillId="0" borderId="12" xfId="0" applyNumberFormat="1" applyBorder="1" applyAlignment="1">
      <alignment horizontal="right"/>
    </xf>
    <xf numFmtId="2" fontId="3" fillId="0" borderId="70" xfId="0" applyNumberFormat="1" applyFont="1" applyBorder="1" applyAlignment="1">
      <alignment horizontal="right"/>
    </xf>
    <xf numFmtId="2" fontId="0" fillId="28" borderId="12" xfId="0" applyNumberFormat="1" applyFill="1" applyBorder="1" applyAlignment="1">
      <alignment horizontal="right"/>
    </xf>
    <xf numFmtId="2" fontId="0" fillId="0" borderId="12" xfId="0" applyNumberFormat="1" applyFill="1" applyBorder="1" applyAlignment="1">
      <alignment horizontal="right"/>
    </xf>
    <xf numFmtId="2" fontId="86" fillId="28" borderId="12" xfId="0" applyNumberFormat="1" applyFont="1" applyFill="1" applyBorder="1"/>
    <xf numFmtId="2" fontId="3" fillId="28" borderId="12" xfId="0" applyNumberFormat="1" applyFont="1" applyFill="1" applyBorder="1" applyAlignment="1">
      <alignment horizontal="right"/>
    </xf>
    <xf numFmtId="2" fontId="3" fillId="0" borderId="21" xfId="0" applyNumberFormat="1" applyFont="1" applyBorder="1" applyAlignment="1">
      <alignment horizontal="right"/>
    </xf>
    <xf numFmtId="2" fontId="86" fillId="28" borderId="49" xfId="0" applyNumberFormat="1" applyFont="1" applyFill="1" applyBorder="1"/>
    <xf numFmtId="2" fontId="86" fillId="0" borderId="12" xfId="0" applyNumberFormat="1" applyFont="1" applyFill="1" applyBorder="1" applyAlignment="1">
      <alignment horizontal="right"/>
    </xf>
    <xf numFmtId="2" fontId="3" fillId="0" borderId="12" xfId="0" applyNumberFormat="1" applyFont="1" applyBorder="1" applyAlignment="1">
      <alignment horizontal="right"/>
    </xf>
    <xf numFmtId="2" fontId="0" fillId="28" borderId="49" xfId="0" applyNumberFormat="1" applyFill="1" applyBorder="1" applyAlignment="1">
      <alignment horizontal="right"/>
    </xf>
    <xf numFmtId="2" fontId="0" fillId="0" borderId="10" xfId="0" applyNumberFormat="1" applyFill="1" applyBorder="1"/>
    <xf numFmtId="2" fontId="2" fillId="0" borderId="10" xfId="0" applyNumberFormat="1" applyFont="1" applyBorder="1" applyAlignment="1"/>
    <xf numFmtId="2" fontId="0" fillId="28" borderId="0" xfId="0" applyNumberFormat="1" applyFill="1" applyAlignment="1"/>
    <xf numFmtId="2" fontId="0" fillId="28" borderId="10" xfId="0" applyNumberFormat="1" applyFill="1" applyBorder="1" applyAlignment="1"/>
    <xf numFmtId="2" fontId="0" fillId="0" borderId="0" xfId="0" applyNumberFormat="1" applyAlignment="1"/>
    <xf numFmtId="2" fontId="0" fillId="0" borderId="0" xfId="0" applyNumberFormat="1" applyFill="1" applyAlignment="1"/>
    <xf numFmtId="2" fontId="0" fillId="0" borderId="10" xfId="0" applyNumberFormat="1" applyBorder="1" applyAlignment="1"/>
    <xf numFmtId="2" fontId="0" fillId="0" borderId="14" xfId="0" applyNumberFormat="1" applyBorder="1" applyAlignment="1"/>
    <xf numFmtId="2" fontId="0" fillId="28" borderId="13" xfId="0" applyNumberFormat="1" applyFill="1" applyBorder="1" applyAlignment="1"/>
    <xf numFmtId="2" fontId="0" fillId="28" borderId="0" xfId="0" applyNumberFormat="1" applyFill="1" applyBorder="1" applyAlignment="1"/>
    <xf numFmtId="2" fontId="2" fillId="0" borderId="10" xfId="0" applyNumberFormat="1" applyFont="1" applyBorder="1" applyAlignment="1">
      <alignment horizontal="center"/>
    </xf>
    <xf numFmtId="164" fontId="2" fillId="0" borderId="10" xfId="0" applyNumberFormat="1" applyFont="1" applyBorder="1"/>
    <xf numFmtId="2" fontId="2" fillId="0" borderId="10" xfId="0" applyNumberFormat="1" applyFont="1" applyBorder="1"/>
    <xf numFmtId="2" fontId="0" fillId="47" borderId="12" xfId="0" applyNumberFormat="1" applyFill="1" applyBorder="1" applyAlignment="1">
      <alignment horizontal="right"/>
    </xf>
    <xf numFmtId="2" fontId="0" fillId="47" borderId="0" xfId="0" applyNumberFormat="1" applyFill="1" applyBorder="1"/>
    <xf numFmtId="0" fontId="0" fillId="47" borderId="0" xfId="0" applyFill="1"/>
    <xf numFmtId="2" fontId="0" fillId="47" borderId="0" xfId="0" applyNumberFormat="1" applyFill="1" applyAlignment="1"/>
    <xf numFmtId="164" fontId="0" fillId="47" borderId="0" xfId="0" applyNumberFormat="1" applyFill="1"/>
    <xf numFmtId="2" fontId="0" fillId="47" borderId="0" xfId="0" applyNumberFormat="1" applyFill="1"/>
    <xf numFmtId="0" fontId="0" fillId="47" borderId="12" xfId="0" applyFill="1" applyBorder="1"/>
    <xf numFmtId="2" fontId="0" fillId="47" borderId="10" xfId="0" applyNumberFormat="1" applyFill="1" applyBorder="1"/>
    <xf numFmtId="0" fontId="0" fillId="47" borderId="10" xfId="0" applyFill="1" applyBorder="1"/>
    <xf numFmtId="2" fontId="0" fillId="47" borderId="10" xfId="0" applyNumberFormat="1" applyFill="1" applyBorder="1" applyAlignment="1"/>
    <xf numFmtId="164" fontId="0" fillId="47" borderId="10" xfId="0" applyNumberFormat="1" applyFill="1" applyBorder="1"/>
    <xf numFmtId="2" fontId="3" fillId="47" borderId="12" xfId="0" applyNumberFormat="1" applyFont="1" applyFill="1" applyBorder="1" applyAlignment="1">
      <alignment horizontal="right"/>
    </xf>
    <xf numFmtId="2" fontId="3" fillId="47" borderId="70" xfId="0" applyNumberFormat="1" applyFont="1" applyFill="1" applyBorder="1" applyAlignment="1">
      <alignment horizontal="right"/>
    </xf>
    <xf numFmtId="2" fontId="3" fillId="47" borderId="49" xfId="0" applyNumberFormat="1" applyFont="1" applyFill="1" applyBorder="1" applyAlignment="1">
      <alignment horizontal="left"/>
    </xf>
    <xf numFmtId="2" fontId="3" fillId="47" borderId="12" xfId="0" applyNumberFormat="1" applyFont="1" applyFill="1" applyBorder="1" applyAlignment="1">
      <alignment horizontal="left"/>
    </xf>
    <xf numFmtId="2" fontId="3" fillId="0" borderId="70" xfId="0" applyNumberFormat="1" applyFont="1" applyFill="1" applyBorder="1" applyAlignment="1">
      <alignment horizontal="right"/>
    </xf>
    <xf numFmtId="0" fontId="3" fillId="47" borderId="70" xfId="0" applyFont="1" applyFill="1" applyBorder="1" applyAlignment="1">
      <alignment horizontal="right"/>
    </xf>
    <xf numFmtId="0" fontId="0" fillId="0" borderId="12" xfId="0" applyBorder="1" applyAlignment="1">
      <alignment horizontal="right"/>
    </xf>
    <xf numFmtId="0" fontId="3" fillId="0" borderId="12" xfId="0" applyFont="1" applyBorder="1" applyAlignment="1">
      <alignment horizontal="right"/>
    </xf>
    <xf numFmtId="0" fontId="0" fillId="47" borderId="12" xfId="0" applyFill="1" applyBorder="1" applyAlignment="1">
      <alignment horizontal="right"/>
    </xf>
    <xf numFmtId="9" fontId="3" fillId="48" borderId="47" xfId="0" applyNumberFormat="1" applyFont="1" applyFill="1" applyBorder="1" applyAlignment="1">
      <alignment horizontal="center" vertical="center"/>
    </xf>
    <xf numFmtId="9" fontId="3" fillId="48" borderId="27" xfId="0" applyNumberFormat="1" applyFont="1" applyFill="1" applyBorder="1" applyAlignment="1">
      <alignment horizontal="center" vertical="center" wrapText="1"/>
    </xf>
    <xf numFmtId="0" fontId="38" fillId="0" borderId="22" xfId="0" applyFont="1" applyFill="1" applyBorder="1"/>
    <xf numFmtId="0" fontId="0" fillId="32" borderId="11" xfId="0" applyFill="1" applyBorder="1" applyAlignment="1" applyProtection="1">
      <protection locked="0"/>
    </xf>
    <xf numFmtId="0" fontId="2" fillId="0" borderId="0" xfId="0" applyFont="1" applyFill="1" applyAlignment="1">
      <alignment horizontal="center"/>
    </xf>
    <xf numFmtId="0" fontId="0" fillId="0" borderId="0" xfId="0" applyBorder="1" applyAlignment="1">
      <alignment horizontal="center"/>
    </xf>
    <xf numFmtId="0" fontId="3" fillId="32" borderId="11" xfId="0" applyFont="1" applyFill="1" applyBorder="1" applyAlignment="1" applyProtection="1">
      <alignment horizontal="left" vertical="top" wrapText="1"/>
      <protection locked="0"/>
    </xf>
    <xf numFmtId="0" fontId="3" fillId="0" borderId="11" xfId="0" applyFont="1" applyBorder="1" applyAlignment="1" applyProtection="1">
      <protection locked="0"/>
    </xf>
    <xf numFmtId="0" fontId="4" fillId="0" borderId="0" xfId="0" applyFont="1" applyFill="1" applyBorder="1" applyAlignment="1">
      <alignment vertical="top" wrapText="1"/>
    </xf>
    <xf numFmtId="0" fontId="0" fillId="0" borderId="0" xfId="0" applyAlignment="1"/>
    <xf numFmtId="0" fontId="2" fillId="25" borderId="11" xfId="0" applyFont="1" applyFill="1" applyBorder="1" applyAlignment="1">
      <alignment vertical="top" wrapText="1"/>
    </xf>
    <xf numFmtId="0" fontId="0" fillId="0" borderId="11" xfId="0" applyBorder="1" applyAlignment="1"/>
    <xf numFmtId="0" fontId="3" fillId="0" borderId="11" xfId="0" applyFont="1" applyFill="1" applyBorder="1" applyAlignment="1">
      <alignment vertical="top" wrapText="1"/>
    </xf>
    <xf numFmtId="0" fontId="3" fillId="0" borderId="11" xfId="0" applyFont="1" applyBorder="1" applyAlignment="1"/>
    <xf numFmtId="0" fontId="3" fillId="32" borderId="11" xfId="0" applyFont="1" applyFill="1" applyBorder="1" applyAlignment="1" applyProtection="1">
      <alignment vertical="top" wrapText="1"/>
      <protection locked="0"/>
    </xf>
    <xf numFmtId="0" fontId="3" fillId="0" borderId="0" xfId="0" applyFont="1" applyFill="1" applyAlignment="1">
      <alignment wrapText="1"/>
    </xf>
    <xf numFmtId="0" fontId="4" fillId="0" borderId="0" xfId="0" applyFont="1" applyFill="1" applyAlignment="1">
      <alignment wrapText="1"/>
    </xf>
    <xf numFmtId="0" fontId="2" fillId="0" borderId="0" xfId="0" applyFont="1" applyFill="1" applyAlignment="1">
      <alignment wrapText="1"/>
    </xf>
    <xf numFmtId="0" fontId="0" fillId="0" borderId="0" xfId="0" applyAlignment="1">
      <alignment wrapText="1"/>
    </xf>
    <xf numFmtId="0" fontId="3" fillId="32" borderId="47" xfId="0" applyFont="1" applyFill="1" applyBorder="1" applyAlignment="1" applyProtection="1">
      <alignment vertical="top" wrapText="1"/>
      <protection locked="0"/>
    </xf>
    <xf numFmtId="0" fontId="3" fillId="32" borderId="21" xfId="0" applyFont="1" applyFill="1" applyBorder="1" applyAlignment="1" applyProtection="1">
      <alignment vertical="top" wrapText="1"/>
      <protection locked="0"/>
    </xf>
    <xf numFmtId="0" fontId="3" fillId="32" borderId="52" xfId="0" applyFont="1" applyFill="1" applyBorder="1" applyAlignment="1" applyProtection="1">
      <alignment horizontal="center" vertical="top" wrapText="1"/>
      <protection locked="0"/>
    </xf>
    <xf numFmtId="0" fontId="3" fillId="32" borderId="10" xfId="0" applyFont="1" applyFill="1" applyBorder="1" applyAlignment="1" applyProtection="1">
      <alignment horizontal="center" vertical="top" wrapText="1"/>
      <protection locked="0"/>
    </xf>
    <xf numFmtId="0" fontId="3" fillId="32" borderId="14" xfId="0" applyFont="1" applyFill="1" applyBorder="1" applyAlignment="1" applyProtection="1">
      <alignment horizontal="center" vertical="top" wrapText="1"/>
      <protection locked="0"/>
    </xf>
    <xf numFmtId="0" fontId="3" fillId="32" borderId="21" xfId="0" applyFont="1" applyFill="1" applyBorder="1" applyAlignment="1" applyProtection="1">
      <alignment horizontal="center" vertical="top" wrapText="1"/>
      <protection locked="0"/>
    </xf>
    <xf numFmtId="0" fontId="38" fillId="0" borderId="0" xfId="0" applyFont="1" applyFill="1" applyBorder="1" applyAlignment="1">
      <alignment horizontal="center" vertical="top" wrapText="1"/>
    </xf>
    <xf numFmtId="0" fontId="44" fillId="0" borderId="10" xfId="0" applyFont="1" applyFill="1" applyBorder="1" applyAlignment="1">
      <alignment vertical="top" wrapText="1"/>
    </xf>
    <xf numFmtId="0" fontId="35" fillId="0" borderId="10" xfId="0" applyFont="1" applyFill="1" applyBorder="1" applyAlignment="1"/>
    <xf numFmtId="0" fontId="2" fillId="22" borderId="0" xfId="0" applyFont="1" applyFill="1" applyAlignment="1">
      <alignment wrapText="1"/>
    </xf>
    <xf numFmtId="0" fontId="11" fillId="0" borderId="0" xfId="0" applyFont="1" applyFill="1" applyAlignment="1">
      <alignment wrapText="1"/>
    </xf>
    <xf numFmtId="0" fontId="3" fillId="0" borderId="80" xfId="0" applyFont="1" applyFill="1" applyBorder="1" applyAlignment="1">
      <alignment horizontal="center" vertical="top" wrapText="1"/>
    </xf>
    <xf numFmtId="0" fontId="3" fillId="0" borderId="50" xfId="0" applyFont="1" applyBorder="1" applyAlignment="1"/>
    <xf numFmtId="0" fontId="3" fillId="0" borderId="51" xfId="0" applyFont="1" applyBorder="1" applyAlignment="1"/>
    <xf numFmtId="0" fontId="3" fillId="0" borderId="28" xfId="0" applyFont="1" applyFill="1" applyBorder="1" applyAlignment="1">
      <alignment vertical="top" wrapText="1"/>
    </xf>
    <xf numFmtId="0" fontId="3" fillId="0" borderId="23" xfId="0" applyFont="1" applyBorder="1" applyAlignment="1"/>
    <xf numFmtId="0" fontId="3" fillId="0" borderId="35" xfId="0" applyFont="1" applyBorder="1" applyAlignment="1"/>
    <xf numFmtId="0" fontId="3" fillId="0" borderId="29" xfId="0" applyFont="1" applyBorder="1" applyAlignment="1"/>
    <xf numFmtId="0" fontId="3" fillId="0" borderId="0" xfId="0" applyFont="1" applyBorder="1" applyAlignment="1"/>
    <xf numFmtId="0" fontId="3" fillId="0" borderId="12" xfId="0" applyFont="1" applyBorder="1" applyAlignment="1"/>
    <xf numFmtId="0" fontId="3" fillId="0" borderId="24" xfId="0" applyFont="1" applyBorder="1" applyAlignment="1"/>
    <xf numFmtId="0" fontId="3" fillId="0" borderId="22" xfId="0" applyFont="1" applyBorder="1" applyAlignment="1"/>
    <xf numFmtId="0" fontId="3" fillId="0" borderId="38" xfId="0" applyFont="1" applyBorder="1" applyAlignment="1"/>
    <xf numFmtId="0" fontId="3" fillId="22" borderId="28" xfId="0" applyFont="1" applyFill="1" applyBorder="1" applyAlignment="1"/>
    <xf numFmtId="0" fontId="3" fillId="22" borderId="29" xfId="0" applyFont="1" applyFill="1" applyBorder="1" applyAlignment="1"/>
    <xf numFmtId="0" fontId="3" fillId="22" borderId="0" xfId="0" applyFont="1" applyFill="1" applyAlignment="1">
      <alignment wrapText="1"/>
    </xf>
    <xf numFmtId="0" fontId="44" fillId="22" borderId="0" xfId="0" applyFont="1" applyFill="1" applyAlignment="1">
      <alignment horizontal="center" wrapText="1"/>
    </xf>
    <xf numFmtId="0" fontId="44" fillId="0" borderId="0" xfId="0" applyFont="1" applyAlignment="1">
      <alignment horizontal="center" wrapText="1"/>
    </xf>
    <xf numFmtId="166" fontId="12" fillId="26" borderId="47" xfId="0" applyNumberFormat="1" applyFont="1" applyFill="1" applyBorder="1" applyAlignment="1"/>
    <xf numFmtId="0" fontId="0" fillId="0" borderId="21" xfId="0" applyBorder="1" applyAlignment="1"/>
    <xf numFmtId="164" fontId="51" fillId="26" borderId="11" xfId="0" applyNumberFormat="1" applyFont="1" applyFill="1" applyBorder="1" applyAlignment="1"/>
    <xf numFmtId="0" fontId="51" fillId="26" borderId="11" xfId="0" applyFont="1" applyFill="1" applyBorder="1" applyAlignment="1"/>
    <xf numFmtId="166" fontId="40" fillId="26" borderId="11" xfId="0" applyNumberFormat="1" applyFont="1" applyFill="1" applyBorder="1" applyAlignment="1"/>
    <xf numFmtId="0" fontId="3" fillId="22" borderId="29" xfId="0" applyFont="1" applyFill="1" applyBorder="1" applyAlignment="1">
      <alignment horizontal="right" wrapText="1"/>
    </xf>
    <xf numFmtId="0" fontId="3" fillId="22" borderId="0" xfId="0" applyFont="1" applyFill="1" applyBorder="1" applyAlignment="1">
      <alignment horizontal="right" wrapText="1"/>
    </xf>
    <xf numFmtId="0" fontId="2" fillId="22" borderId="12" xfId="0" applyFont="1" applyFill="1" applyBorder="1" applyAlignment="1">
      <alignment horizontal="center" wrapText="1"/>
    </xf>
    <xf numFmtId="0" fontId="3" fillId="22" borderId="28" xfId="0" applyFont="1" applyFill="1" applyBorder="1" applyAlignment="1">
      <alignment horizontal="right" vertical="center"/>
    </xf>
    <xf numFmtId="0" fontId="3" fillId="22" borderId="23" xfId="0" applyFont="1" applyFill="1" applyBorder="1" applyAlignment="1">
      <alignment horizontal="right" vertical="center"/>
    </xf>
    <xf numFmtId="0" fontId="3" fillId="22" borderId="29" xfId="0" applyFont="1" applyFill="1" applyBorder="1" applyAlignment="1">
      <alignment horizontal="right" vertical="center"/>
    </xf>
    <xf numFmtId="0" fontId="3" fillId="22" borderId="0" xfId="0" applyFont="1" applyFill="1" applyBorder="1" applyAlignment="1">
      <alignment horizontal="right" vertical="center"/>
    </xf>
    <xf numFmtId="0" fontId="3" fillId="0" borderId="12" xfId="0" applyFont="1" applyBorder="1" applyAlignment="1">
      <alignment horizontal="right" vertical="center"/>
    </xf>
    <xf numFmtId="0" fontId="0" fillId="22" borderId="39" xfId="0" applyFill="1" applyBorder="1" applyAlignment="1">
      <alignment wrapText="1"/>
    </xf>
    <xf numFmtId="0" fontId="0" fillId="22" borderId="40" xfId="0" applyFill="1" applyBorder="1" applyAlignment="1">
      <alignment wrapText="1"/>
    </xf>
    <xf numFmtId="0" fontId="2" fillId="22" borderId="10" xfId="0" applyFont="1" applyFill="1" applyBorder="1" applyAlignment="1">
      <alignment horizontal="left" wrapText="1"/>
    </xf>
    <xf numFmtId="0" fontId="2" fillId="0" borderId="10" xfId="0" applyFont="1" applyBorder="1" applyAlignment="1">
      <alignment horizontal="left" wrapText="1"/>
    </xf>
    <xf numFmtId="0" fontId="3" fillId="22" borderId="28" xfId="0" applyFont="1" applyFill="1" applyBorder="1" applyAlignment="1">
      <alignment vertical="top" wrapText="1"/>
    </xf>
    <xf numFmtId="0" fontId="3" fillId="22" borderId="23" xfId="0" applyFont="1" applyFill="1" applyBorder="1" applyAlignment="1">
      <alignment vertical="top" wrapText="1"/>
    </xf>
    <xf numFmtId="0" fontId="3" fillId="22" borderId="35" xfId="0" applyFont="1" applyFill="1" applyBorder="1" applyAlignment="1">
      <alignment vertical="top" wrapText="1"/>
    </xf>
    <xf numFmtId="0" fontId="3" fillId="22" borderId="29" xfId="0" applyFont="1" applyFill="1" applyBorder="1" applyAlignment="1">
      <alignment vertical="top" wrapText="1"/>
    </xf>
    <xf numFmtId="0" fontId="3" fillId="22" borderId="0" xfId="0" applyFont="1" applyFill="1" applyBorder="1" applyAlignment="1">
      <alignment vertical="top" wrapText="1"/>
    </xf>
    <xf numFmtId="0" fontId="3" fillId="22" borderId="12" xfId="0" applyFont="1" applyFill="1" applyBorder="1" applyAlignment="1">
      <alignment vertical="top" wrapText="1"/>
    </xf>
    <xf numFmtId="0" fontId="3" fillId="22" borderId="24" xfId="0" applyFont="1" applyFill="1" applyBorder="1" applyAlignment="1">
      <alignment vertical="top" wrapText="1"/>
    </xf>
    <xf numFmtId="0" fontId="3" fillId="22" borderId="22" xfId="0" applyFont="1" applyFill="1" applyBorder="1" applyAlignment="1">
      <alignment vertical="top" wrapText="1"/>
    </xf>
    <xf numFmtId="0" fontId="3" fillId="22" borderId="38" xfId="0" applyFont="1" applyFill="1" applyBorder="1" applyAlignment="1">
      <alignment vertical="top" wrapText="1"/>
    </xf>
    <xf numFmtId="49" fontId="84" fillId="46" borderId="47" xfId="0" applyNumberFormat="1" applyFont="1" applyFill="1" applyBorder="1" applyAlignment="1">
      <alignment horizontal="center" wrapText="1"/>
    </xf>
    <xf numFmtId="0" fontId="85" fillId="46" borderId="14" xfId="0" applyFont="1" applyFill="1" applyBorder="1" applyAlignment="1"/>
    <xf numFmtId="0" fontId="85" fillId="46" borderId="21" xfId="0" applyFont="1" applyFill="1" applyBorder="1" applyAlignment="1"/>
    <xf numFmtId="0" fontId="3" fillId="0" borderId="50" xfId="0" applyFont="1" applyFill="1" applyBorder="1" applyAlignment="1">
      <alignment horizontal="center" vertical="top" wrapText="1"/>
    </xf>
    <xf numFmtId="0" fontId="3" fillId="0" borderId="29" xfId="0" applyFont="1" applyFill="1" applyBorder="1" applyAlignment="1">
      <alignment vertical="top" wrapText="1"/>
    </xf>
    <xf numFmtId="0" fontId="3" fillId="0" borderId="0" xfId="0" applyFont="1" applyAlignment="1"/>
    <xf numFmtId="49" fontId="9" fillId="22" borderId="0" xfId="0" applyNumberFormat="1" applyFont="1" applyFill="1" applyAlignment="1"/>
    <xf numFmtId="0" fontId="0" fillId="22" borderId="0" xfId="0" applyFill="1" applyAlignment="1"/>
    <xf numFmtId="49" fontId="2" fillId="25" borderId="48" xfId="0" applyNumberFormat="1" applyFont="1" applyFill="1" applyBorder="1" applyAlignment="1"/>
    <xf numFmtId="49" fontId="3" fillId="0" borderId="48" xfId="0" applyNumberFormat="1" applyFont="1" applyBorder="1" applyAlignment="1"/>
    <xf numFmtId="0" fontId="3" fillId="22" borderId="24" xfId="0" applyFont="1" applyFill="1" applyBorder="1" applyAlignment="1">
      <alignment horizontal="right" vertical="center"/>
    </xf>
    <xf numFmtId="0" fontId="3" fillId="22" borderId="22" xfId="0" applyFont="1" applyFill="1" applyBorder="1" applyAlignment="1">
      <alignment horizontal="right" vertical="center"/>
    </xf>
    <xf numFmtId="0" fontId="3" fillId="0" borderId="22" xfId="0" applyFont="1" applyBorder="1" applyAlignment="1">
      <alignment horizontal="right" vertical="center"/>
    </xf>
    <xf numFmtId="49" fontId="2" fillId="25" borderId="67" xfId="0" applyNumberFormat="1" applyFont="1" applyFill="1" applyBorder="1" applyAlignment="1">
      <alignment horizontal="center"/>
    </xf>
    <xf numFmtId="49" fontId="2" fillId="25" borderId="13" xfId="0" applyNumberFormat="1" applyFont="1" applyFill="1" applyBorder="1" applyAlignment="1">
      <alignment horizontal="center"/>
    </xf>
    <xf numFmtId="49" fontId="3" fillId="0" borderId="13" xfId="0" applyNumberFormat="1" applyFont="1" applyBorder="1" applyAlignment="1"/>
    <xf numFmtId="0" fontId="0" fillId="0" borderId="49" xfId="0" applyBorder="1" applyAlignment="1"/>
    <xf numFmtId="49" fontId="37" fillId="22" borderId="67" xfId="0" applyNumberFormat="1" applyFont="1" applyFill="1" applyBorder="1" applyAlignment="1">
      <alignment wrapText="1"/>
    </xf>
    <xf numFmtId="49" fontId="38" fillId="22" borderId="13" xfId="0" applyNumberFormat="1" applyFont="1" applyFill="1" applyBorder="1" applyAlignment="1">
      <alignment wrapText="1"/>
    </xf>
    <xf numFmtId="49" fontId="38" fillId="22" borderId="49" xfId="0" applyNumberFormat="1" applyFont="1" applyFill="1" applyBorder="1" applyAlignment="1">
      <alignment wrapText="1"/>
    </xf>
    <xf numFmtId="49" fontId="38" fillId="22" borderId="52" xfId="0" applyNumberFormat="1" applyFont="1" applyFill="1" applyBorder="1" applyAlignment="1">
      <alignment wrapText="1"/>
    </xf>
    <xf numFmtId="49" fontId="38" fillId="22" borderId="10" xfId="0" applyNumberFormat="1" applyFont="1" applyFill="1" applyBorder="1" applyAlignment="1">
      <alignment wrapText="1"/>
    </xf>
    <xf numFmtId="49" fontId="38" fillId="22" borderId="70" xfId="0" applyNumberFormat="1" applyFont="1" applyFill="1" applyBorder="1" applyAlignment="1">
      <alignment wrapText="1"/>
    </xf>
    <xf numFmtId="0" fontId="3" fillId="0" borderId="23" xfId="0" applyFont="1" applyBorder="1" applyAlignment="1">
      <alignment vertical="top" wrapText="1"/>
    </xf>
    <xf numFmtId="0" fontId="3" fillId="0" borderId="0" xfId="0" applyFont="1" applyBorder="1" applyAlignment="1">
      <alignment vertical="top" wrapText="1"/>
    </xf>
    <xf numFmtId="0" fontId="3" fillId="0" borderId="12" xfId="0" applyFont="1" applyBorder="1" applyAlignment="1">
      <alignment vertical="top" wrapText="1"/>
    </xf>
    <xf numFmtId="0" fontId="3" fillId="0" borderId="24" xfId="0" applyFont="1" applyBorder="1" applyAlignment="1">
      <alignment vertical="top" wrapText="1"/>
    </xf>
    <xf numFmtId="0" fontId="3" fillId="0" borderId="22" xfId="0" applyFont="1" applyBorder="1" applyAlignment="1">
      <alignment vertical="top" wrapText="1"/>
    </xf>
    <xf numFmtId="0" fontId="3" fillId="0" borderId="38" xfId="0" applyFont="1" applyBorder="1" applyAlignment="1">
      <alignment vertical="top" wrapText="1"/>
    </xf>
    <xf numFmtId="0" fontId="3" fillId="22" borderId="80" xfId="0" applyFont="1" applyFill="1" applyBorder="1" applyAlignment="1">
      <alignment horizontal="center" vertical="top"/>
    </xf>
    <xf numFmtId="0" fontId="3" fillId="22" borderId="50" xfId="0" applyFont="1" applyFill="1" applyBorder="1" applyAlignment="1">
      <alignment horizontal="center" vertical="top"/>
    </xf>
    <xf numFmtId="0" fontId="3" fillId="22" borderId="51" xfId="0" applyFont="1" applyFill="1" applyBorder="1" applyAlignment="1">
      <alignment horizontal="center" vertical="top"/>
    </xf>
    <xf numFmtId="49" fontId="37" fillId="22" borderId="47" xfId="0" applyNumberFormat="1" applyFont="1" applyFill="1" applyBorder="1" applyAlignment="1">
      <alignment wrapText="1"/>
    </xf>
    <xf numFmtId="49" fontId="38" fillId="22" borderId="14" xfId="0" applyNumberFormat="1" applyFont="1" applyFill="1" applyBorder="1" applyAlignment="1">
      <alignment wrapText="1"/>
    </xf>
    <xf numFmtId="49" fontId="38" fillId="22" borderId="21" xfId="0" applyNumberFormat="1" applyFont="1" applyFill="1" applyBorder="1" applyAlignment="1">
      <alignment wrapText="1"/>
    </xf>
    <xf numFmtId="0" fontId="42" fillId="22" borderId="0" xfId="0" applyFont="1" applyFill="1" applyBorder="1" applyAlignment="1" applyProtection="1">
      <alignment wrapText="1"/>
      <protection locked="0"/>
    </xf>
    <xf numFmtId="14" fontId="42" fillId="22" borderId="0" xfId="0" applyNumberFormat="1" applyFont="1" applyFill="1" applyBorder="1" applyAlignment="1" applyProtection="1">
      <alignment wrapText="1"/>
      <protection locked="0"/>
    </xf>
    <xf numFmtId="0" fontId="37" fillId="22" borderId="10" xfId="0" applyFont="1" applyFill="1" applyBorder="1" applyAlignment="1">
      <alignment horizontal="center"/>
    </xf>
    <xf numFmtId="0" fontId="0" fillId="22" borderId="0" xfId="0" applyFill="1" applyAlignment="1">
      <alignment wrapText="1"/>
    </xf>
    <xf numFmtId="0" fontId="84" fillId="49" borderId="0" xfId="0" applyFont="1" applyFill="1" applyBorder="1" applyAlignment="1">
      <alignment horizontal="center"/>
    </xf>
    <xf numFmtId="0" fontId="84" fillId="49" borderId="0" xfId="0" applyFont="1" applyFill="1" applyAlignment="1">
      <alignment horizontal="center"/>
    </xf>
    <xf numFmtId="0" fontId="3" fillId="22" borderId="48" xfId="0" applyFont="1" applyFill="1" applyBorder="1" applyAlignment="1">
      <alignment horizontal="center" vertical="top"/>
    </xf>
    <xf numFmtId="0" fontId="3" fillId="22" borderId="27" xfId="0" applyFont="1" applyFill="1" applyBorder="1" applyAlignment="1">
      <alignment horizontal="center" vertical="top"/>
    </xf>
    <xf numFmtId="49" fontId="2" fillId="25" borderId="47" xfId="0" applyNumberFormat="1" applyFont="1" applyFill="1" applyBorder="1" applyAlignment="1">
      <alignment horizontal="center"/>
    </xf>
    <xf numFmtId="49" fontId="2" fillId="25" borderId="14" xfId="0" applyNumberFormat="1" applyFont="1" applyFill="1" applyBorder="1" applyAlignment="1">
      <alignment horizontal="center"/>
    </xf>
    <xf numFmtId="49" fontId="2" fillId="25" borderId="21" xfId="0" applyNumberFormat="1" applyFont="1" applyFill="1" applyBorder="1" applyAlignment="1">
      <alignment horizontal="center"/>
    </xf>
    <xf numFmtId="0" fontId="2" fillId="22" borderId="0" xfId="0" applyFont="1" applyFill="1" applyBorder="1" applyAlignment="1">
      <alignment horizontal="center"/>
    </xf>
    <xf numFmtId="0" fontId="0" fillId="22" borderId="12" xfId="0" applyFill="1" applyBorder="1" applyAlignment="1">
      <alignment horizontal="center"/>
    </xf>
    <xf numFmtId="0" fontId="3" fillId="22" borderId="13" xfId="0" applyFont="1" applyFill="1" applyBorder="1" applyAlignment="1">
      <alignment vertical="top" wrapText="1"/>
    </xf>
    <xf numFmtId="0" fontId="3" fillId="0" borderId="13" xfId="0" applyFont="1" applyBorder="1" applyAlignment="1">
      <alignment vertical="top" wrapText="1"/>
    </xf>
    <xf numFmtId="0" fontId="3" fillId="0" borderId="49" xfId="0" applyFont="1" applyBorder="1" applyAlignment="1">
      <alignment vertical="top" wrapText="1"/>
    </xf>
    <xf numFmtId="0" fontId="3" fillId="0" borderId="10" xfId="0" applyFont="1" applyBorder="1" applyAlignment="1">
      <alignment vertical="top" wrapText="1"/>
    </xf>
    <xf numFmtId="0" fontId="3" fillId="0" borderId="70" xfId="0" applyFont="1" applyBorder="1" applyAlignment="1">
      <alignment vertical="top" wrapText="1"/>
    </xf>
    <xf numFmtId="0" fontId="3" fillId="22" borderId="67" xfId="0" applyFont="1" applyFill="1" applyBorder="1" applyAlignment="1">
      <alignment horizontal="left" vertical="top" wrapText="1"/>
    </xf>
    <xf numFmtId="0" fontId="3" fillId="22" borderId="13" xfId="0" applyFont="1" applyFill="1" applyBorder="1" applyAlignment="1">
      <alignment horizontal="left" vertical="top" wrapText="1"/>
    </xf>
    <xf numFmtId="0" fontId="3" fillId="22" borderId="49" xfId="0" applyFont="1" applyFill="1" applyBorder="1" applyAlignment="1">
      <alignment horizontal="left" vertical="top" wrapText="1"/>
    </xf>
    <xf numFmtId="0" fontId="3" fillId="22" borderId="29" xfId="0" applyFont="1" applyFill="1" applyBorder="1" applyAlignment="1">
      <alignment horizontal="left" vertical="top" wrapText="1"/>
    </xf>
    <xf numFmtId="0" fontId="3" fillId="22" borderId="0" xfId="0" applyFont="1" applyFill="1" applyBorder="1" applyAlignment="1">
      <alignment horizontal="left" vertical="top" wrapText="1"/>
    </xf>
    <xf numFmtId="0" fontId="3" fillId="22" borderId="12" xfId="0" applyFont="1" applyFill="1" applyBorder="1" applyAlignment="1">
      <alignment horizontal="left" vertical="top" wrapText="1"/>
    </xf>
    <xf numFmtId="0" fontId="3" fillId="22" borderId="52" xfId="0" applyFont="1" applyFill="1" applyBorder="1" applyAlignment="1">
      <alignment horizontal="left" vertical="top" wrapText="1"/>
    </xf>
    <xf numFmtId="0" fontId="3" fillId="22" borderId="10" xfId="0" applyFont="1" applyFill="1" applyBorder="1" applyAlignment="1">
      <alignment horizontal="left" vertical="top" wrapText="1"/>
    </xf>
    <xf numFmtId="0" fontId="3" fillId="22" borderId="70" xfId="0" applyFont="1" applyFill="1" applyBorder="1" applyAlignment="1">
      <alignment horizontal="left" vertical="top" wrapText="1"/>
    </xf>
    <xf numFmtId="0" fontId="3" fillId="22" borderId="0" xfId="0" applyFont="1" applyFill="1" applyBorder="1" applyAlignment="1">
      <alignment wrapText="1"/>
    </xf>
    <xf numFmtId="0" fontId="0" fillId="22" borderId="0" xfId="0" applyFill="1" applyAlignment="1">
      <alignment vertical="top" wrapText="1"/>
    </xf>
    <xf numFmtId="2" fontId="3" fillId="0" borderId="0" xfId="0" applyNumberFormat="1" applyFont="1" applyBorder="1" applyAlignment="1">
      <alignment horizontal="left" vertical="center" wrapText="1"/>
    </xf>
    <xf numFmtId="0" fontId="0" fillId="0" borderId="0" xfId="0" applyBorder="1" applyAlignment="1">
      <alignment horizontal="left"/>
    </xf>
    <xf numFmtId="2" fontId="3" fillId="22" borderId="0" xfId="0" applyNumberFormat="1" applyFont="1" applyFill="1" applyBorder="1" applyAlignment="1">
      <alignment horizontal="left" vertical="center" wrapText="1"/>
    </xf>
    <xf numFmtId="0" fontId="2" fillId="22" borderId="10" xfId="0" applyFont="1" applyFill="1" applyBorder="1" applyAlignment="1">
      <alignment horizontal="center"/>
    </xf>
    <xf numFmtId="0" fontId="2" fillId="22" borderId="0" xfId="0" applyFont="1" applyFill="1" applyBorder="1" applyAlignment="1">
      <alignment horizontal="center" wrapText="1"/>
    </xf>
    <xf numFmtId="0" fontId="69" fillId="22" borderId="10" xfId="0" applyFont="1" applyFill="1" applyBorder="1" applyAlignment="1">
      <alignment horizontal="center" wrapText="1"/>
    </xf>
    <xf numFmtId="0" fontId="69" fillId="22" borderId="0" xfId="0" applyFont="1" applyFill="1" applyBorder="1" applyAlignment="1">
      <alignment horizontal="center" wrapText="1"/>
    </xf>
    <xf numFmtId="0" fontId="2" fillId="33" borderId="67" xfId="0" applyFont="1" applyFill="1" applyBorder="1" applyAlignment="1">
      <alignment wrapText="1"/>
    </xf>
    <xf numFmtId="0" fontId="0" fillId="33" borderId="49" xfId="0" applyFill="1" applyBorder="1" applyAlignment="1">
      <alignment wrapText="1"/>
    </xf>
    <xf numFmtId="0" fontId="0" fillId="0" borderId="52" xfId="0" applyBorder="1" applyAlignment="1"/>
    <xf numFmtId="0" fontId="0" fillId="0" borderId="70" xfId="0" applyBorder="1" applyAlignment="1"/>
    <xf numFmtId="0" fontId="2" fillId="32" borderId="67" xfId="0" applyFont="1" applyFill="1" applyBorder="1" applyAlignment="1">
      <alignment wrapText="1"/>
    </xf>
    <xf numFmtId="0" fontId="2" fillId="32" borderId="13" xfId="0" applyFont="1" applyFill="1" applyBorder="1" applyAlignment="1">
      <alignment wrapText="1"/>
    </xf>
    <xf numFmtId="0" fontId="2" fillId="32" borderId="49" xfId="0" applyFont="1" applyFill="1" applyBorder="1" applyAlignment="1">
      <alignment wrapText="1"/>
    </xf>
    <xf numFmtId="0" fontId="2" fillId="32" borderId="52" xfId="0" applyFont="1" applyFill="1" applyBorder="1" applyAlignment="1">
      <alignment wrapText="1"/>
    </xf>
    <xf numFmtId="0" fontId="2" fillId="32" borderId="10" xfId="0" applyFont="1" applyFill="1" applyBorder="1" applyAlignment="1">
      <alignment wrapText="1"/>
    </xf>
    <xf numFmtId="0" fontId="2" fillId="32" borderId="70" xfId="0" applyFont="1" applyFill="1" applyBorder="1" applyAlignment="1">
      <alignment wrapText="1"/>
    </xf>
    <xf numFmtId="0" fontId="56" fillId="36" borderId="83" xfId="0" applyFont="1" applyFill="1" applyBorder="1" applyAlignment="1">
      <alignment horizontal="left" wrapText="1"/>
    </xf>
    <xf numFmtId="0" fontId="0" fillId="0" borderId="12" xfId="0" applyBorder="1" applyAlignment="1">
      <alignment horizontal="left" wrapText="1"/>
    </xf>
    <xf numFmtId="0" fontId="0" fillId="22" borderId="22" xfId="0" applyFill="1" applyBorder="1" applyAlignment="1" applyProtection="1">
      <protection locked="0"/>
    </xf>
    <xf numFmtId="0" fontId="2" fillId="22" borderId="0" xfId="0" applyFont="1" applyFill="1" applyBorder="1" applyAlignment="1">
      <alignment wrapText="1"/>
    </xf>
    <xf numFmtId="0" fontId="0" fillId="22" borderId="0" xfId="0" applyFill="1" applyBorder="1" applyAlignment="1">
      <alignment wrapText="1"/>
    </xf>
    <xf numFmtId="0" fontId="37" fillId="0" borderId="84" xfId="0" applyFont="1" applyFill="1" applyBorder="1" applyAlignment="1"/>
    <xf numFmtId="0" fontId="77" fillId="36" borderId="85" xfId="0" applyFont="1" applyFill="1" applyBorder="1" applyAlignment="1">
      <alignment horizontal="center" vertical="center" wrapText="1"/>
    </xf>
    <xf numFmtId="0" fontId="77" fillId="36" borderId="29" xfId="0" applyFont="1" applyFill="1" applyBorder="1" applyAlignment="1">
      <alignment horizontal="center" vertical="center" wrapText="1"/>
    </xf>
    <xf numFmtId="0" fontId="0" fillId="0" borderId="52" xfId="0" applyBorder="1" applyAlignment="1">
      <alignment horizontal="center" vertical="center" wrapText="1"/>
    </xf>
    <xf numFmtId="0" fontId="38" fillId="0" borderId="83" xfId="0" applyFont="1" applyFill="1" applyBorder="1" applyAlignment="1">
      <alignment horizontal="right" vertical="center" wrapText="1"/>
    </xf>
    <xf numFmtId="0" fontId="38" fillId="0" borderId="12" xfId="0" applyFont="1" applyFill="1" applyBorder="1" applyAlignment="1">
      <alignment horizontal="right" vertical="center" wrapText="1"/>
    </xf>
    <xf numFmtId="0" fontId="0" fillId="0" borderId="70" xfId="0" applyBorder="1" applyAlignment="1">
      <alignment horizontal="right" vertical="center" wrapText="1"/>
    </xf>
    <xf numFmtId="0" fontId="39" fillId="36" borderId="52" xfId="0" applyFont="1" applyFill="1" applyBorder="1" applyAlignment="1">
      <alignment horizontal="center" vertical="center" wrapText="1"/>
    </xf>
    <xf numFmtId="0" fontId="39" fillId="0" borderId="10" xfId="0" applyFont="1" applyBorder="1" applyAlignment="1">
      <alignment horizontal="center" vertical="center" wrapText="1"/>
    </xf>
    <xf numFmtId="0" fontId="39" fillId="0" borderId="70" xfId="0" applyFont="1" applyBorder="1" applyAlignment="1">
      <alignment horizontal="center" vertical="center" wrapText="1"/>
    </xf>
    <xf numFmtId="0" fontId="56" fillId="36" borderId="85" xfId="0" applyFont="1" applyFill="1" applyBorder="1" applyAlignment="1">
      <alignment horizontal="left" wrapText="1"/>
    </xf>
    <xf numFmtId="0" fontId="0" fillId="0" borderId="29" xfId="0" applyBorder="1" applyAlignment="1">
      <alignment horizontal="left" wrapText="1"/>
    </xf>
    <xf numFmtId="0" fontId="37" fillId="37" borderId="54" xfId="0" applyFont="1" applyFill="1" applyBorder="1" applyAlignment="1">
      <alignment wrapText="1"/>
    </xf>
    <xf numFmtId="0" fontId="37" fillId="37" borderId="86" xfId="0" applyFont="1" applyFill="1" applyBorder="1" applyAlignment="1">
      <alignment wrapText="1"/>
    </xf>
    <xf numFmtId="0" fontId="0" fillId="0" borderId="86" xfId="0" applyBorder="1" applyAlignment="1"/>
    <xf numFmtId="0" fontId="0" fillId="0" borderId="55" xfId="0" applyBorder="1" applyAlignment="1"/>
    <xf numFmtId="0" fontId="56" fillId="36" borderId="87" xfId="0" applyFont="1" applyFill="1" applyBorder="1" applyAlignment="1">
      <alignment horizontal="left" wrapText="1"/>
    </xf>
    <xf numFmtId="0" fontId="0" fillId="0" borderId="0" xfId="0" applyAlignment="1">
      <alignment horizontal="left" wrapText="1"/>
    </xf>
    <xf numFmtId="0" fontId="7" fillId="22" borderId="13" xfId="0" applyFont="1" applyFill="1" applyBorder="1" applyAlignment="1">
      <alignment wrapText="1"/>
    </xf>
    <xf numFmtId="0" fontId="7" fillId="0" borderId="13" xfId="0" applyFont="1" applyBorder="1" applyAlignment="1"/>
    <xf numFmtId="0" fontId="2" fillId="22" borderId="0" xfId="0" applyFont="1" applyFill="1" applyBorder="1" applyAlignment="1"/>
    <xf numFmtId="0" fontId="0" fillId="22" borderId="0" xfId="0" applyFill="1" applyBorder="1" applyAlignment="1"/>
    <xf numFmtId="0" fontId="3" fillId="22" borderId="0" xfId="0" applyFont="1" applyFill="1" applyBorder="1" applyAlignment="1"/>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pplyProtection="1">
      <alignment horizontal="center"/>
      <protection locked="0"/>
    </xf>
    <xf numFmtId="2" fontId="0" fillId="0" borderId="0" xfId="0" applyNumberFormat="1" applyAlignment="1" applyProtection="1">
      <alignment horizontal="center"/>
      <protection locked="0"/>
    </xf>
    <xf numFmtId="0" fontId="0" fillId="0" borderId="0" xfId="0" applyFill="1" applyAlignment="1" applyProtection="1">
      <alignment horizontal="center"/>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igure title" xfId="29"/>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T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sv-SE"/>
              <a:t>Squared SNR - mAs linearity</a:t>
            </a:r>
          </a:p>
        </c:rich>
      </c:tx>
      <c:layout>
        <c:manualLayout>
          <c:xMode val="edge"/>
          <c:yMode val="edge"/>
          <c:x val="0.27072810343151554"/>
          <c:y val="3.0172278997040263E-2"/>
        </c:manualLayout>
      </c:layout>
      <c:overlay val="0"/>
      <c:spPr>
        <a:noFill/>
        <a:ln w="25400">
          <a:noFill/>
        </a:ln>
      </c:spPr>
    </c:title>
    <c:autoTitleDeleted val="0"/>
    <c:plotArea>
      <c:layout>
        <c:manualLayout>
          <c:layoutTarget val="inner"/>
          <c:xMode val="edge"/>
          <c:yMode val="edge"/>
          <c:x val="0.1419755939260102"/>
          <c:y val="0.14893636362455798"/>
          <c:w val="0.78600980985124458"/>
          <c:h val="0.64627743501370705"/>
        </c:manualLayout>
      </c:layout>
      <c:scatterChart>
        <c:scatterStyle val="lineMarker"/>
        <c:varyColors val="0"/>
        <c:ser>
          <c:idx val="0"/>
          <c:order val="0"/>
          <c:spPr>
            <a:ln w="28575">
              <a:noFill/>
            </a:ln>
          </c:spPr>
          <c:marker>
            <c:symbol val="diamond"/>
            <c:size val="6"/>
            <c:spPr>
              <a:solidFill>
                <a:srgbClr val="000080"/>
              </a:solidFill>
              <a:ln>
                <a:solidFill>
                  <a:srgbClr val="000000"/>
                </a:solidFill>
                <a:prstDash val="solid"/>
              </a:ln>
            </c:spPr>
          </c:marker>
          <c:trendline>
            <c:spPr>
              <a:ln w="25400">
                <a:solidFill>
                  <a:srgbClr val="FF0000"/>
                </a:solidFill>
                <a:prstDash val="lgDash"/>
              </a:ln>
            </c:spPr>
            <c:trendlineType val="linear"/>
            <c:dispRSqr val="0"/>
            <c:dispEq val="0"/>
          </c:trendline>
          <c:xVal>
            <c:numRef>
              <c:f>'Detector linearity'!$C$12:$C$18</c:f>
              <c:numCache>
                <c:formatCode>0.0</c:formatCode>
                <c:ptCount val="7"/>
              </c:numCache>
            </c:numRef>
          </c:xVal>
          <c:yVal>
            <c:numRef>
              <c:f>'Detector linearity'!$F$12:$F$18</c:f>
              <c:numCache>
                <c:formatCode>0</c:formatCode>
                <c:ptCount val="7"/>
                <c:pt idx="0">
                  <c:v>0</c:v>
                </c:pt>
                <c:pt idx="1">
                  <c:v>0</c:v>
                </c:pt>
                <c:pt idx="2">
                  <c:v>0</c:v>
                </c:pt>
                <c:pt idx="3">
                  <c:v>0</c:v>
                </c:pt>
                <c:pt idx="4">
                  <c:v>0</c:v>
                </c:pt>
                <c:pt idx="5">
                  <c:v>0</c:v>
                </c:pt>
                <c:pt idx="6">
                  <c:v>0</c:v>
                </c:pt>
              </c:numCache>
            </c:numRef>
          </c:yVal>
          <c:smooth val="0"/>
        </c:ser>
        <c:dLbls>
          <c:showLegendKey val="0"/>
          <c:showVal val="0"/>
          <c:showCatName val="0"/>
          <c:showSerName val="0"/>
          <c:showPercent val="0"/>
          <c:showBubbleSize val="0"/>
        </c:dLbls>
        <c:axId val="391489000"/>
        <c:axId val="391489392"/>
      </c:scatterChart>
      <c:valAx>
        <c:axId val="391489000"/>
        <c:scaling>
          <c:orientation val="minMax"/>
        </c:scaling>
        <c:delete val="0"/>
        <c:axPos val="b"/>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sv-SE"/>
                  <a:t>mAs</a:t>
                </a:r>
              </a:p>
            </c:rich>
          </c:tx>
          <c:layout>
            <c:manualLayout>
              <c:xMode val="edge"/>
              <c:yMode val="edge"/>
              <c:x val="0.50411630644934802"/>
              <c:y val="0.89095856369017712"/>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91489392"/>
        <c:crosses val="autoZero"/>
        <c:crossBetween val="midCat"/>
      </c:valAx>
      <c:valAx>
        <c:axId val="391489392"/>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sv-SE"/>
                  <a:t>Squared SNR</a:t>
                </a:r>
              </a:p>
            </c:rich>
          </c:tx>
          <c:layout>
            <c:manualLayout>
              <c:xMode val="edge"/>
              <c:yMode val="edge"/>
              <c:x val="3.4979423868312758E-2"/>
              <c:y val="0.3563835371642375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91489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CCCC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8</xdr:col>
      <xdr:colOff>142875</xdr:colOff>
      <xdr:row>28</xdr:row>
      <xdr:rowOff>238125</xdr:rowOff>
    </xdr:from>
    <xdr:to>
      <xdr:col>14</xdr:col>
      <xdr:colOff>38100</xdr:colOff>
      <xdr:row>29</xdr:row>
      <xdr:rowOff>952500</xdr:rowOff>
    </xdr:to>
    <xdr:grpSp>
      <xdr:nvGrpSpPr>
        <xdr:cNvPr id="1075" name="Group 1"/>
        <xdr:cNvGrpSpPr>
          <a:grpSpLocks/>
        </xdr:cNvGrpSpPr>
      </xdr:nvGrpSpPr>
      <xdr:grpSpPr bwMode="auto">
        <a:xfrm>
          <a:off x="4703669" y="5908301"/>
          <a:ext cx="5251637" cy="3583081"/>
          <a:chOff x="384" y="1060"/>
          <a:chExt cx="429" cy="343"/>
        </a:xfrm>
      </xdr:grpSpPr>
      <xdr:pic>
        <xdr:nvPicPr>
          <xdr:cNvPr id="108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84" y="1060"/>
            <a:ext cx="429" cy="312"/>
          </a:xfrm>
          <a:prstGeom prst="rect">
            <a:avLst/>
          </a:prstGeom>
          <a:noFill/>
          <a:ln w="1">
            <a:noFill/>
            <a:miter lim="800000"/>
            <a:headEnd/>
            <a:tailEnd/>
          </a:ln>
          <a:effectLst/>
        </xdr:spPr>
      </xdr:pic>
      <xdr:sp macro="" textlink="">
        <xdr:nvSpPr>
          <xdr:cNvPr id="31747" name="Text Box 3"/>
          <xdr:cNvSpPr txBox="1">
            <a:spLocks noChangeAspect="1" noChangeArrowheads="1"/>
          </xdr:cNvSpPr>
        </xdr:nvSpPr>
        <xdr:spPr bwMode="auto">
          <a:xfrm>
            <a:off x="577" y="1386"/>
            <a:ext cx="4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sv-SE" sz="1000" b="1" i="0" u="none" strike="noStrike" baseline="0">
                <a:solidFill>
                  <a:srgbClr val="000000"/>
                </a:solidFill>
                <a:latin typeface="Arial"/>
                <a:cs typeface="Arial"/>
              </a:rPr>
              <a:t>Figure 3</a:t>
            </a:r>
            <a:endParaRPr lang="sv-SE"/>
          </a:p>
        </xdr:txBody>
      </xdr:sp>
      <xdr:sp macro="" textlink="">
        <xdr:nvSpPr>
          <xdr:cNvPr id="31748" name="Text Box 4"/>
          <xdr:cNvSpPr txBox="1">
            <a:spLocks noChangeArrowheads="1"/>
          </xdr:cNvSpPr>
        </xdr:nvSpPr>
        <xdr:spPr bwMode="auto">
          <a:xfrm>
            <a:off x="403" y="1156"/>
            <a:ext cx="1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sv-SE" sz="1000" b="0" i="0" u="none" strike="noStrike" baseline="0">
                <a:solidFill>
                  <a:srgbClr val="000000"/>
                </a:solidFill>
                <a:latin typeface="Arial"/>
                <a:cs typeface="Arial"/>
              </a:rPr>
              <a:t>A</a:t>
            </a:r>
            <a:endParaRPr lang="sv-SE"/>
          </a:p>
        </xdr:txBody>
      </xdr:sp>
      <xdr:sp macro="" textlink="">
        <xdr:nvSpPr>
          <xdr:cNvPr id="1088" name="Oval 5"/>
          <xdr:cNvSpPr>
            <a:spLocks noChangeArrowheads="1"/>
          </xdr:cNvSpPr>
        </xdr:nvSpPr>
        <xdr:spPr bwMode="auto">
          <a:xfrm>
            <a:off x="399" y="1155"/>
            <a:ext cx="22" cy="21"/>
          </a:xfrm>
          <a:prstGeom prst="ellipse">
            <a:avLst/>
          </a:prstGeom>
          <a:noFill/>
          <a:ln w="9525">
            <a:solidFill>
              <a:srgbClr val="000000"/>
            </a:solidFill>
            <a:round/>
            <a:headEnd/>
            <a:tailEnd/>
          </a:ln>
        </xdr:spPr>
      </xdr:sp>
      <xdr:sp macro="" textlink="">
        <xdr:nvSpPr>
          <xdr:cNvPr id="1089" name="Line 6"/>
          <xdr:cNvSpPr>
            <a:spLocks noChangeShapeType="1"/>
          </xdr:cNvSpPr>
        </xdr:nvSpPr>
        <xdr:spPr bwMode="auto">
          <a:xfrm flipV="1">
            <a:off x="412" y="1118"/>
            <a:ext cx="10" cy="37"/>
          </a:xfrm>
          <a:prstGeom prst="line">
            <a:avLst/>
          </a:prstGeom>
          <a:noFill/>
          <a:ln w="9525">
            <a:solidFill>
              <a:srgbClr val="000000"/>
            </a:solidFill>
            <a:round/>
            <a:headEnd/>
            <a:tailEnd type="triangle" w="med" len="med"/>
          </a:ln>
        </xdr:spPr>
      </xdr:sp>
      <xdr:sp macro="" textlink="">
        <xdr:nvSpPr>
          <xdr:cNvPr id="31751" name="Text Box 7"/>
          <xdr:cNvSpPr txBox="1">
            <a:spLocks noChangeArrowheads="1"/>
          </xdr:cNvSpPr>
        </xdr:nvSpPr>
        <xdr:spPr bwMode="auto">
          <a:xfrm>
            <a:off x="503" y="1158"/>
            <a:ext cx="9"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B</a:t>
            </a:r>
            <a:endParaRPr lang="sv-SE"/>
          </a:p>
        </xdr:txBody>
      </xdr:sp>
      <xdr:sp macro="" textlink="">
        <xdr:nvSpPr>
          <xdr:cNvPr id="1091" name="Oval 8"/>
          <xdr:cNvSpPr>
            <a:spLocks noChangeArrowheads="1"/>
          </xdr:cNvSpPr>
        </xdr:nvSpPr>
        <xdr:spPr bwMode="auto">
          <a:xfrm>
            <a:off x="491" y="1150"/>
            <a:ext cx="22" cy="21"/>
          </a:xfrm>
          <a:prstGeom prst="ellipse">
            <a:avLst/>
          </a:prstGeom>
          <a:noFill/>
          <a:ln w="9525">
            <a:solidFill>
              <a:srgbClr val="000000"/>
            </a:solidFill>
            <a:round/>
            <a:headEnd/>
            <a:tailEnd/>
          </a:ln>
        </xdr:spPr>
      </xdr:sp>
      <xdr:sp macro="" textlink="">
        <xdr:nvSpPr>
          <xdr:cNvPr id="1092" name="Line 9"/>
          <xdr:cNvSpPr>
            <a:spLocks noChangeShapeType="1"/>
          </xdr:cNvSpPr>
        </xdr:nvSpPr>
        <xdr:spPr bwMode="auto">
          <a:xfrm flipV="1">
            <a:off x="507" y="1107"/>
            <a:ext cx="32" cy="43"/>
          </a:xfrm>
          <a:prstGeom prst="line">
            <a:avLst/>
          </a:prstGeom>
          <a:noFill/>
          <a:ln w="9525">
            <a:solidFill>
              <a:srgbClr val="000000"/>
            </a:solidFill>
            <a:round/>
            <a:headEnd/>
            <a:tailEnd type="triangle" w="med" len="med"/>
          </a:ln>
        </xdr:spPr>
      </xdr:sp>
      <xdr:sp macro="" textlink="">
        <xdr:nvSpPr>
          <xdr:cNvPr id="31754" name="Text Box 10"/>
          <xdr:cNvSpPr txBox="1">
            <a:spLocks noChangeArrowheads="1"/>
          </xdr:cNvSpPr>
        </xdr:nvSpPr>
        <xdr:spPr bwMode="auto">
          <a:xfrm>
            <a:off x="645" y="1138"/>
            <a:ext cx="9"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C</a:t>
            </a:r>
            <a:endParaRPr lang="sv-SE"/>
          </a:p>
        </xdr:txBody>
      </xdr:sp>
      <xdr:sp macro="" textlink="">
        <xdr:nvSpPr>
          <xdr:cNvPr id="1094" name="Oval 11"/>
          <xdr:cNvSpPr>
            <a:spLocks noChangeArrowheads="1"/>
          </xdr:cNvSpPr>
        </xdr:nvSpPr>
        <xdr:spPr bwMode="auto">
          <a:xfrm>
            <a:off x="627" y="1147"/>
            <a:ext cx="22" cy="21"/>
          </a:xfrm>
          <a:prstGeom prst="ellipse">
            <a:avLst/>
          </a:prstGeom>
          <a:noFill/>
          <a:ln w="9525">
            <a:solidFill>
              <a:srgbClr val="000000"/>
            </a:solidFill>
            <a:round/>
            <a:headEnd/>
            <a:tailEnd/>
          </a:ln>
        </xdr:spPr>
      </xdr:sp>
      <xdr:sp macro="" textlink="">
        <xdr:nvSpPr>
          <xdr:cNvPr id="1095" name="Line 12"/>
          <xdr:cNvSpPr>
            <a:spLocks noChangeShapeType="1"/>
          </xdr:cNvSpPr>
        </xdr:nvSpPr>
        <xdr:spPr bwMode="auto">
          <a:xfrm flipV="1">
            <a:off x="640" y="1112"/>
            <a:ext cx="12" cy="35"/>
          </a:xfrm>
          <a:prstGeom prst="line">
            <a:avLst/>
          </a:prstGeom>
          <a:noFill/>
          <a:ln w="9525">
            <a:solidFill>
              <a:srgbClr val="000000"/>
            </a:solidFill>
            <a:round/>
            <a:headEnd/>
            <a:tailEnd type="triangle" w="med" len="med"/>
          </a:ln>
        </xdr:spPr>
      </xdr:sp>
      <xdr:sp macro="" textlink="">
        <xdr:nvSpPr>
          <xdr:cNvPr id="31757" name="Text Box 13"/>
          <xdr:cNvSpPr txBox="1">
            <a:spLocks noChangeArrowheads="1"/>
          </xdr:cNvSpPr>
        </xdr:nvSpPr>
        <xdr:spPr bwMode="auto">
          <a:xfrm>
            <a:off x="752" y="1148"/>
            <a:ext cx="9"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D</a:t>
            </a:r>
            <a:endParaRPr lang="sv-SE"/>
          </a:p>
        </xdr:txBody>
      </xdr:sp>
      <xdr:sp macro="" textlink="">
        <xdr:nvSpPr>
          <xdr:cNvPr id="1097" name="Oval 14"/>
          <xdr:cNvSpPr>
            <a:spLocks noChangeArrowheads="1"/>
          </xdr:cNvSpPr>
        </xdr:nvSpPr>
        <xdr:spPr bwMode="auto">
          <a:xfrm>
            <a:off x="744" y="1147"/>
            <a:ext cx="22" cy="21"/>
          </a:xfrm>
          <a:prstGeom prst="ellipse">
            <a:avLst/>
          </a:prstGeom>
          <a:noFill/>
          <a:ln w="9525">
            <a:solidFill>
              <a:srgbClr val="000000"/>
            </a:solidFill>
            <a:round/>
            <a:headEnd/>
            <a:tailEnd/>
          </a:ln>
        </xdr:spPr>
      </xdr:sp>
      <xdr:sp macro="" textlink="">
        <xdr:nvSpPr>
          <xdr:cNvPr id="1098" name="Line 15"/>
          <xdr:cNvSpPr>
            <a:spLocks noChangeShapeType="1"/>
          </xdr:cNvSpPr>
        </xdr:nvSpPr>
        <xdr:spPr bwMode="auto">
          <a:xfrm flipV="1">
            <a:off x="761" y="1113"/>
            <a:ext cx="23" cy="35"/>
          </a:xfrm>
          <a:prstGeom prst="line">
            <a:avLst/>
          </a:prstGeom>
          <a:noFill/>
          <a:ln w="9525">
            <a:solidFill>
              <a:srgbClr val="000000"/>
            </a:solidFill>
            <a:round/>
            <a:headEnd/>
            <a:tailEnd type="triangle" w="med" len="med"/>
          </a:ln>
        </xdr:spPr>
      </xdr:sp>
      <xdr:sp macro="" textlink="">
        <xdr:nvSpPr>
          <xdr:cNvPr id="1099" name="Line 16"/>
          <xdr:cNvSpPr>
            <a:spLocks noChangeShapeType="1"/>
          </xdr:cNvSpPr>
        </xdr:nvSpPr>
        <xdr:spPr bwMode="auto">
          <a:xfrm flipH="1" flipV="1">
            <a:off x="623" y="1114"/>
            <a:ext cx="10" cy="33"/>
          </a:xfrm>
          <a:prstGeom prst="line">
            <a:avLst/>
          </a:prstGeom>
          <a:noFill/>
          <a:ln w="9525">
            <a:solidFill>
              <a:srgbClr val="000000"/>
            </a:solidFill>
            <a:round/>
            <a:headEnd/>
            <a:tailEnd type="triangle" w="med" len="med"/>
          </a:ln>
        </xdr:spPr>
      </xdr:sp>
    </xdr:grpSp>
    <xdr:clientData/>
  </xdr:twoCellAnchor>
  <xdr:twoCellAnchor>
    <xdr:from>
      <xdr:col>2</xdr:col>
      <xdr:colOff>800100</xdr:colOff>
      <xdr:row>28</xdr:row>
      <xdr:rowOff>2190750</xdr:rowOff>
    </xdr:from>
    <xdr:to>
      <xdr:col>3</xdr:col>
      <xdr:colOff>447675</xdr:colOff>
      <xdr:row>28</xdr:row>
      <xdr:rowOff>2371725</xdr:rowOff>
    </xdr:to>
    <xdr:grpSp>
      <xdr:nvGrpSpPr>
        <xdr:cNvPr id="1076" name="Group 17"/>
        <xdr:cNvGrpSpPr>
          <a:grpSpLocks/>
        </xdr:cNvGrpSpPr>
      </xdr:nvGrpSpPr>
      <xdr:grpSpPr bwMode="auto">
        <a:xfrm>
          <a:off x="1786218" y="7860926"/>
          <a:ext cx="510428" cy="180975"/>
          <a:chOff x="287" y="401"/>
          <a:chExt cx="39" cy="14"/>
        </a:xfrm>
      </xdr:grpSpPr>
      <xdr:sp macro="" textlink="">
        <xdr:nvSpPr>
          <xdr:cNvPr id="31762" name="Text Box 18"/>
          <xdr:cNvSpPr txBox="1">
            <a:spLocks noChangeArrowheads="1"/>
          </xdr:cNvSpPr>
        </xdr:nvSpPr>
        <xdr:spPr bwMode="auto">
          <a:xfrm>
            <a:off x="287" y="401"/>
            <a:ext cx="39"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sv-SE" sz="1000" b="1" i="0" u="none" strike="noStrike" baseline="0">
                <a:solidFill>
                  <a:srgbClr val="000000"/>
                </a:solidFill>
                <a:latin typeface="Arial"/>
                <a:cs typeface="Arial"/>
              </a:rPr>
              <a:t>Figure 1</a:t>
            </a:r>
            <a:endParaRPr lang="sv-SE"/>
          </a:p>
        </xdr:txBody>
      </xdr:sp>
      <xdr:pic>
        <xdr:nvPicPr>
          <xdr:cNvPr id="1084" name="Picture 19" descr="DSC00125"/>
          <xdr:cNvPicPr>
            <a:picLocks noChangeAspect="1" noChangeArrowheads="1"/>
          </xdr:cNvPicPr>
        </xdr:nvPicPr>
        <xdr:blipFill>
          <a:blip xmlns:r="http://schemas.openxmlformats.org/officeDocument/2006/relationships" r:embed="rId2" cstate="print"/>
          <a:srcRect/>
          <a:stretch>
            <a:fillRect/>
          </a:stretch>
        </xdr:blipFill>
        <xdr:spPr bwMode="auto">
          <a:xfrm>
            <a:off x="218" y="246"/>
            <a:ext cx="192" cy="144"/>
          </a:xfrm>
          <a:prstGeom prst="rect">
            <a:avLst/>
          </a:prstGeom>
          <a:noFill/>
          <a:ln w="9525">
            <a:noFill/>
            <a:miter lim="800000"/>
            <a:headEnd/>
            <a:tailEnd/>
          </a:ln>
        </xdr:spPr>
      </xdr:pic>
    </xdr:grpSp>
    <xdr:clientData/>
  </xdr:twoCellAnchor>
  <xdr:twoCellAnchor>
    <xdr:from>
      <xdr:col>1</xdr:col>
      <xdr:colOff>638175</xdr:colOff>
      <xdr:row>28</xdr:row>
      <xdr:rowOff>2524125</xdr:rowOff>
    </xdr:from>
    <xdr:to>
      <xdr:col>5</xdr:col>
      <xdr:colOff>361950</xdr:colOff>
      <xdr:row>29</xdr:row>
      <xdr:rowOff>1704975</xdr:rowOff>
    </xdr:to>
    <xdr:grpSp>
      <xdr:nvGrpSpPr>
        <xdr:cNvPr id="1077" name="Group 20"/>
        <xdr:cNvGrpSpPr>
          <a:grpSpLocks/>
        </xdr:cNvGrpSpPr>
      </xdr:nvGrpSpPr>
      <xdr:grpSpPr bwMode="auto">
        <a:xfrm>
          <a:off x="862293" y="8194301"/>
          <a:ext cx="2558863" cy="2049556"/>
          <a:chOff x="423" y="250"/>
          <a:chExt cx="191" cy="159"/>
        </a:xfrm>
      </xdr:grpSpPr>
      <xdr:sp macro="" textlink="">
        <xdr:nvSpPr>
          <xdr:cNvPr id="31765" name="Text Box 21"/>
          <xdr:cNvSpPr txBox="1">
            <a:spLocks noChangeArrowheads="1"/>
          </xdr:cNvSpPr>
        </xdr:nvSpPr>
        <xdr:spPr bwMode="auto">
          <a:xfrm>
            <a:off x="489" y="395"/>
            <a:ext cx="39"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sv-SE" sz="1000" b="1" i="0" u="none" strike="noStrike" baseline="0">
                <a:solidFill>
                  <a:srgbClr val="000000"/>
                </a:solidFill>
                <a:latin typeface="Arial"/>
                <a:cs typeface="Arial"/>
              </a:rPr>
              <a:t>Figure 2</a:t>
            </a:r>
            <a:endParaRPr lang="sv-SE"/>
          </a:p>
        </xdr:txBody>
      </xdr:sp>
      <xdr:pic>
        <xdr:nvPicPr>
          <xdr:cNvPr id="1082" name="Picture 22" descr="DSC00127"/>
          <xdr:cNvPicPr>
            <a:picLocks noChangeAspect="1" noChangeArrowheads="1"/>
          </xdr:cNvPicPr>
        </xdr:nvPicPr>
        <xdr:blipFill>
          <a:blip xmlns:r="http://schemas.openxmlformats.org/officeDocument/2006/relationships" r:embed="rId3" cstate="print"/>
          <a:srcRect/>
          <a:stretch>
            <a:fillRect/>
          </a:stretch>
        </xdr:blipFill>
        <xdr:spPr bwMode="auto">
          <a:xfrm>
            <a:off x="423" y="250"/>
            <a:ext cx="191" cy="144"/>
          </a:xfrm>
          <a:prstGeom prst="rect">
            <a:avLst/>
          </a:prstGeom>
          <a:noFill/>
          <a:ln w="9525">
            <a:noFill/>
            <a:miter lim="800000"/>
            <a:headEnd/>
            <a:tailEnd/>
          </a:ln>
        </xdr:spPr>
      </xdr:pic>
    </xdr:grpSp>
    <xdr:clientData/>
  </xdr:twoCellAnchor>
  <xdr:twoCellAnchor>
    <xdr:from>
      <xdr:col>8</xdr:col>
      <xdr:colOff>95250</xdr:colOff>
      <xdr:row>29</xdr:row>
      <xdr:rowOff>1228725</xdr:rowOff>
    </xdr:from>
    <xdr:to>
      <xdr:col>13</xdr:col>
      <xdr:colOff>390525</xdr:colOff>
      <xdr:row>29</xdr:row>
      <xdr:rowOff>3286125</xdr:rowOff>
    </xdr:to>
    <xdr:grpSp>
      <xdr:nvGrpSpPr>
        <xdr:cNvPr id="1078" name="Group 23"/>
        <xdr:cNvGrpSpPr>
          <a:grpSpLocks/>
        </xdr:cNvGrpSpPr>
      </xdr:nvGrpSpPr>
      <xdr:grpSpPr bwMode="auto">
        <a:xfrm>
          <a:off x="4656044" y="9767607"/>
          <a:ext cx="4631952" cy="2057400"/>
          <a:chOff x="457" y="1102"/>
          <a:chExt cx="442" cy="270"/>
        </a:xfrm>
      </xdr:grpSpPr>
      <xdr:pic>
        <xdr:nvPicPr>
          <xdr:cNvPr id="1079" name="Picture 24"/>
          <xdr:cNvPicPr>
            <a:picLocks noChangeAspect="1" noChangeArrowheads="1"/>
          </xdr:cNvPicPr>
        </xdr:nvPicPr>
        <xdr:blipFill>
          <a:blip xmlns:r="http://schemas.openxmlformats.org/officeDocument/2006/relationships" r:embed="rId4" cstate="print"/>
          <a:srcRect/>
          <a:stretch>
            <a:fillRect/>
          </a:stretch>
        </xdr:blipFill>
        <xdr:spPr bwMode="auto">
          <a:xfrm>
            <a:off x="457" y="1102"/>
            <a:ext cx="442" cy="218"/>
          </a:xfrm>
          <a:prstGeom prst="rect">
            <a:avLst/>
          </a:prstGeom>
          <a:noFill/>
          <a:ln w="9525">
            <a:noFill/>
            <a:miter lim="800000"/>
            <a:headEnd/>
            <a:tailEnd/>
          </a:ln>
        </xdr:spPr>
      </xdr:pic>
      <xdr:sp macro="" textlink="">
        <xdr:nvSpPr>
          <xdr:cNvPr id="31769" name="Text Box 25"/>
          <xdr:cNvSpPr txBox="1">
            <a:spLocks noChangeAspect="1" noChangeArrowheads="1"/>
          </xdr:cNvSpPr>
        </xdr:nvSpPr>
        <xdr:spPr bwMode="auto">
          <a:xfrm>
            <a:off x="679" y="1327"/>
            <a:ext cx="53" cy="4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sv-SE" sz="1000" b="1" i="0" u="none" strike="noStrike" baseline="0">
                <a:solidFill>
                  <a:srgbClr val="000000"/>
                </a:solidFill>
                <a:latin typeface="Arial"/>
                <a:cs typeface="Arial"/>
              </a:rPr>
              <a:t>Figure 4</a:t>
            </a:r>
          </a:p>
          <a:p>
            <a:pPr algn="l" rtl="0">
              <a:lnSpc>
                <a:spcPts val="1100"/>
              </a:lnSpc>
              <a:defRPr sz="1000"/>
            </a:pPr>
            <a:endParaRPr lang="sv-SE"/>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32</xdr:row>
      <xdr:rowOff>1205193</xdr:rowOff>
    </xdr:from>
    <xdr:to>
      <xdr:col>12</xdr:col>
      <xdr:colOff>1381125</xdr:colOff>
      <xdr:row>34</xdr:row>
      <xdr:rowOff>50427</xdr:rowOff>
    </xdr:to>
    <xdr:grpSp>
      <xdr:nvGrpSpPr>
        <xdr:cNvPr id="2099" name="Group 67"/>
        <xdr:cNvGrpSpPr>
          <a:grpSpLocks/>
        </xdr:cNvGrpSpPr>
      </xdr:nvGrpSpPr>
      <xdr:grpSpPr bwMode="auto">
        <a:xfrm>
          <a:off x="4735606" y="8623487"/>
          <a:ext cx="4231901" cy="1960469"/>
          <a:chOff x="495" y="991"/>
          <a:chExt cx="445" cy="207"/>
        </a:xfrm>
      </xdr:grpSpPr>
      <xdr:pic>
        <xdr:nvPicPr>
          <xdr:cNvPr id="2122"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495" y="991"/>
            <a:ext cx="445" cy="157"/>
          </a:xfrm>
          <a:prstGeom prst="rect">
            <a:avLst/>
          </a:prstGeom>
          <a:noFill/>
          <a:ln w="9525">
            <a:noFill/>
            <a:miter lim="800000"/>
            <a:headEnd/>
            <a:tailEnd/>
          </a:ln>
        </xdr:spPr>
      </xdr:pic>
      <xdr:sp macro="" textlink="">
        <xdr:nvSpPr>
          <xdr:cNvPr id="38931" name="Text Box 19"/>
          <xdr:cNvSpPr txBox="1">
            <a:spLocks noChangeAspect="1" noChangeArrowheads="1"/>
          </xdr:cNvSpPr>
        </xdr:nvSpPr>
        <xdr:spPr bwMode="auto">
          <a:xfrm>
            <a:off x="702" y="1163"/>
            <a:ext cx="55" cy="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sv-SE" sz="1000" b="1" i="0" u="none" strike="noStrike" baseline="0">
                <a:solidFill>
                  <a:srgbClr val="000000"/>
                </a:solidFill>
                <a:latin typeface="Arial"/>
                <a:cs typeface="Arial"/>
              </a:rPr>
              <a:t>Figure 4</a:t>
            </a:r>
          </a:p>
          <a:p>
            <a:pPr algn="l" rtl="0">
              <a:defRPr sz="1000"/>
            </a:pPr>
            <a:endParaRPr lang="sv-SE"/>
          </a:p>
        </xdr:txBody>
      </xdr:sp>
    </xdr:grpSp>
    <xdr:clientData/>
  </xdr:twoCellAnchor>
  <xdr:twoCellAnchor>
    <xdr:from>
      <xdr:col>1</xdr:col>
      <xdr:colOff>695325</xdr:colOff>
      <xdr:row>32</xdr:row>
      <xdr:rowOff>609600</xdr:rowOff>
    </xdr:from>
    <xdr:to>
      <xdr:col>6</xdr:col>
      <xdr:colOff>666750</xdr:colOff>
      <xdr:row>33</xdr:row>
      <xdr:rowOff>1381125</xdr:rowOff>
    </xdr:to>
    <xdr:grpSp>
      <xdr:nvGrpSpPr>
        <xdr:cNvPr id="2100" name="Group 66"/>
        <xdr:cNvGrpSpPr>
          <a:grpSpLocks/>
        </xdr:cNvGrpSpPr>
      </xdr:nvGrpSpPr>
      <xdr:grpSpPr bwMode="auto">
        <a:xfrm>
          <a:off x="1020296" y="8027894"/>
          <a:ext cx="3221130" cy="2329143"/>
          <a:chOff x="107" y="928"/>
          <a:chExt cx="340" cy="244"/>
        </a:xfrm>
      </xdr:grpSpPr>
      <xdr:pic>
        <xdr:nvPicPr>
          <xdr:cNvPr id="2120" name="Picture 40"/>
          <xdr:cNvPicPr>
            <a:picLocks noChangeAspect="1" noChangeArrowheads="1"/>
          </xdr:cNvPicPr>
        </xdr:nvPicPr>
        <xdr:blipFill>
          <a:blip xmlns:r="http://schemas.openxmlformats.org/officeDocument/2006/relationships" r:embed="rId2" cstate="print"/>
          <a:srcRect/>
          <a:stretch>
            <a:fillRect/>
          </a:stretch>
        </xdr:blipFill>
        <xdr:spPr bwMode="auto">
          <a:xfrm>
            <a:off x="107" y="928"/>
            <a:ext cx="340" cy="199"/>
          </a:xfrm>
          <a:prstGeom prst="rect">
            <a:avLst/>
          </a:prstGeom>
          <a:noFill/>
          <a:ln w="9525">
            <a:noFill/>
            <a:miter lim="800000"/>
            <a:headEnd/>
            <a:tailEnd/>
          </a:ln>
        </xdr:spPr>
      </xdr:pic>
      <xdr:sp macro="" textlink="">
        <xdr:nvSpPr>
          <xdr:cNvPr id="38953" name="Text Box 41"/>
          <xdr:cNvSpPr txBox="1">
            <a:spLocks noChangeAspect="1" noChangeArrowheads="1"/>
          </xdr:cNvSpPr>
        </xdr:nvSpPr>
        <xdr:spPr bwMode="auto">
          <a:xfrm>
            <a:off x="242" y="1137"/>
            <a:ext cx="55" cy="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sv-SE" sz="1000" b="1" i="0" u="none" strike="noStrike" baseline="0">
                <a:solidFill>
                  <a:srgbClr val="000000"/>
                </a:solidFill>
                <a:latin typeface="Arial"/>
                <a:cs typeface="Arial"/>
              </a:rPr>
              <a:t>Figure 2</a:t>
            </a:r>
          </a:p>
          <a:p>
            <a:pPr algn="l" rtl="0">
              <a:defRPr sz="1000"/>
            </a:pPr>
            <a:endParaRPr lang="sv-SE"/>
          </a:p>
        </xdr:txBody>
      </xdr:sp>
    </xdr:grpSp>
    <xdr:clientData/>
  </xdr:twoCellAnchor>
  <xdr:twoCellAnchor>
    <xdr:from>
      <xdr:col>7</xdr:col>
      <xdr:colOff>171450</xdr:colOff>
      <xdr:row>29</xdr:row>
      <xdr:rowOff>66675</xdr:rowOff>
    </xdr:from>
    <xdr:to>
      <xdr:col>13</xdr:col>
      <xdr:colOff>228600</xdr:colOff>
      <xdr:row>33</xdr:row>
      <xdr:rowOff>180975</xdr:rowOff>
    </xdr:to>
    <xdr:grpSp>
      <xdr:nvGrpSpPr>
        <xdr:cNvPr id="2101" name="Group 47"/>
        <xdr:cNvGrpSpPr>
          <a:grpSpLocks/>
        </xdr:cNvGrpSpPr>
      </xdr:nvGrpSpPr>
      <xdr:grpSpPr bwMode="auto">
        <a:xfrm>
          <a:off x="4564156" y="5568763"/>
          <a:ext cx="4853268" cy="3588124"/>
          <a:chOff x="384" y="1060"/>
          <a:chExt cx="429" cy="343"/>
        </a:xfrm>
      </xdr:grpSpPr>
      <xdr:pic>
        <xdr:nvPicPr>
          <xdr:cNvPr id="2105" name="Picture 48"/>
          <xdr:cNvPicPr>
            <a:picLocks noChangeAspect="1" noChangeArrowheads="1"/>
          </xdr:cNvPicPr>
        </xdr:nvPicPr>
        <xdr:blipFill>
          <a:blip xmlns:r="http://schemas.openxmlformats.org/officeDocument/2006/relationships" r:embed="rId3" cstate="print"/>
          <a:srcRect/>
          <a:stretch>
            <a:fillRect/>
          </a:stretch>
        </xdr:blipFill>
        <xdr:spPr bwMode="auto">
          <a:xfrm>
            <a:off x="384" y="1060"/>
            <a:ext cx="429" cy="312"/>
          </a:xfrm>
          <a:prstGeom prst="rect">
            <a:avLst/>
          </a:prstGeom>
          <a:noFill/>
          <a:ln w="1">
            <a:noFill/>
            <a:miter lim="800000"/>
            <a:headEnd/>
            <a:tailEnd/>
          </a:ln>
          <a:effectLst/>
        </xdr:spPr>
      </xdr:pic>
      <xdr:sp macro="" textlink="">
        <xdr:nvSpPr>
          <xdr:cNvPr id="38961" name="Text Box 49"/>
          <xdr:cNvSpPr txBox="1">
            <a:spLocks noChangeAspect="1" noChangeArrowheads="1"/>
          </xdr:cNvSpPr>
        </xdr:nvSpPr>
        <xdr:spPr bwMode="auto">
          <a:xfrm>
            <a:off x="578" y="1386"/>
            <a:ext cx="4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sv-SE" sz="1000" b="1" i="0" u="none" strike="noStrike" baseline="0">
                <a:solidFill>
                  <a:srgbClr val="000000"/>
                </a:solidFill>
                <a:latin typeface="Arial"/>
                <a:cs typeface="Arial"/>
              </a:rPr>
              <a:t>Figure 3</a:t>
            </a:r>
            <a:endParaRPr lang="sv-SE"/>
          </a:p>
        </xdr:txBody>
      </xdr:sp>
      <xdr:sp macro="" textlink="">
        <xdr:nvSpPr>
          <xdr:cNvPr id="38962" name="Text Box 50"/>
          <xdr:cNvSpPr txBox="1">
            <a:spLocks noChangeArrowheads="1"/>
          </xdr:cNvSpPr>
        </xdr:nvSpPr>
        <xdr:spPr bwMode="auto">
          <a:xfrm>
            <a:off x="403" y="1156"/>
            <a:ext cx="1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sv-SE" sz="1000" b="0" i="0" u="none" strike="noStrike" baseline="0">
                <a:solidFill>
                  <a:srgbClr val="000000"/>
                </a:solidFill>
                <a:latin typeface="Arial"/>
                <a:cs typeface="Arial"/>
              </a:rPr>
              <a:t>A</a:t>
            </a:r>
            <a:endParaRPr lang="sv-SE"/>
          </a:p>
        </xdr:txBody>
      </xdr:sp>
      <xdr:sp macro="" textlink="">
        <xdr:nvSpPr>
          <xdr:cNvPr id="2108" name="Oval 51"/>
          <xdr:cNvSpPr>
            <a:spLocks noChangeArrowheads="1"/>
          </xdr:cNvSpPr>
        </xdr:nvSpPr>
        <xdr:spPr bwMode="auto">
          <a:xfrm>
            <a:off x="399" y="1155"/>
            <a:ext cx="22" cy="21"/>
          </a:xfrm>
          <a:prstGeom prst="ellipse">
            <a:avLst/>
          </a:prstGeom>
          <a:noFill/>
          <a:ln w="9525">
            <a:solidFill>
              <a:srgbClr val="000000"/>
            </a:solidFill>
            <a:round/>
            <a:headEnd/>
            <a:tailEnd/>
          </a:ln>
        </xdr:spPr>
      </xdr:sp>
      <xdr:sp macro="" textlink="">
        <xdr:nvSpPr>
          <xdr:cNvPr id="2109" name="Line 52"/>
          <xdr:cNvSpPr>
            <a:spLocks noChangeShapeType="1"/>
          </xdr:cNvSpPr>
        </xdr:nvSpPr>
        <xdr:spPr bwMode="auto">
          <a:xfrm flipV="1">
            <a:off x="412" y="1118"/>
            <a:ext cx="10" cy="37"/>
          </a:xfrm>
          <a:prstGeom prst="line">
            <a:avLst/>
          </a:prstGeom>
          <a:noFill/>
          <a:ln w="9525">
            <a:solidFill>
              <a:srgbClr val="000000"/>
            </a:solidFill>
            <a:round/>
            <a:headEnd/>
            <a:tailEnd type="triangle" w="med" len="med"/>
          </a:ln>
        </xdr:spPr>
      </xdr:sp>
      <xdr:sp macro="" textlink="">
        <xdr:nvSpPr>
          <xdr:cNvPr id="38965" name="Text Box 53"/>
          <xdr:cNvSpPr txBox="1">
            <a:spLocks noChangeArrowheads="1"/>
          </xdr:cNvSpPr>
        </xdr:nvSpPr>
        <xdr:spPr bwMode="auto">
          <a:xfrm>
            <a:off x="503" y="1158"/>
            <a:ext cx="9"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B</a:t>
            </a:r>
            <a:endParaRPr lang="sv-SE"/>
          </a:p>
        </xdr:txBody>
      </xdr:sp>
      <xdr:sp macro="" textlink="">
        <xdr:nvSpPr>
          <xdr:cNvPr id="2111" name="Oval 54"/>
          <xdr:cNvSpPr>
            <a:spLocks noChangeArrowheads="1"/>
          </xdr:cNvSpPr>
        </xdr:nvSpPr>
        <xdr:spPr bwMode="auto">
          <a:xfrm>
            <a:off x="491" y="1150"/>
            <a:ext cx="22" cy="21"/>
          </a:xfrm>
          <a:prstGeom prst="ellipse">
            <a:avLst/>
          </a:prstGeom>
          <a:noFill/>
          <a:ln w="9525">
            <a:solidFill>
              <a:srgbClr val="000000"/>
            </a:solidFill>
            <a:round/>
            <a:headEnd/>
            <a:tailEnd/>
          </a:ln>
        </xdr:spPr>
      </xdr:sp>
      <xdr:sp macro="" textlink="">
        <xdr:nvSpPr>
          <xdr:cNvPr id="2112" name="Line 55"/>
          <xdr:cNvSpPr>
            <a:spLocks noChangeShapeType="1"/>
          </xdr:cNvSpPr>
        </xdr:nvSpPr>
        <xdr:spPr bwMode="auto">
          <a:xfrm flipV="1">
            <a:off x="507" y="1107"/>
            <a:ext cx="32" cy="43"/>
          </a:xfrm>
          <a:prstGeom prst="line">
            <a:avLst/>
          </a:prstGeom>
          <a:noFill/>
          <a:ln w="9525">
            <a:solidFill>
              <a:srgbClr val="000000"/>
            </a:solidFill>
            <a:round/>
            <a:headEnd/>
            <a:tailEnd type="triangle" w="med" len="med"/>
          </a:ln>
        </xdr:spPr>
      </xdr:sp>
      <xdr:sp macro="" textlink="">
        <xdr:nvSpPr>
          <xdr:cNvPr id="38968" name="Text Box 56"/>
          <xdr:cNvSpPr txBox="1">
            <a:spLocks noChangeArrowheads="1"/>
          </xdr:cNvSpPr>
        </xdr:nvSpPr>
        <xdr:spPr bwMode="auto">
          <a:xfrm>
            <a:off x="646" y="1139"/>
            <a:ext cx="9"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C</a:t>
            </a:r>
            <a:endParaRPr lang="sv-SE"/>
          </a:p>
        </xdr:txBody>
      </xdr:sp>
      <xdr:sp macro="" textlink="">
        <xdr:nvSpPr>
          <xdr:cNvPr id="2114" name="Oval 57"/>
          <xdr:cNvSpPr>
            <a:spLocks noChangeArrowheads="1"/>
          </xdr:cNvSpPr>
        </xdr:nvSpPr>
        <xdr:spPr bwMode="auto">
          <a:xfrm>
            <a:off x="627" y="1147"/>
            <a:ext cx="22" cy="21"/>
          </a:xfrm>
          <a:prstGeom prst="ellipse">
            <a:avLst/>
          </a:prstGeom>
          <a:noFill/>
          <a:ln w="9525">
            <a:solidFill>
              <a:srgbClr val="000000"/>
            </a:solidFill>
            <a:round/>
            <a:headEnd/>
            <a:tailEnd/>
          </a:ln>
        </xdr:spPr>
      </xdr:sp>
      <xdr:sp macro="" textlink="">
        <xdr:nvSpPr>
          <xdr:cNvPr id="2115" name="Line 58"/>
          <xdr:cNvSpPr>
            <a:spLocks noChangeShapeType="1"/>
          </xdr:cNvSpPr>
        </xdr:nvSpPr>
        <xdr:spPr bwMode="auto">
          <a:xfrm flipV="1">
            <a:off x="640" y="1112"/>
            <a:ext cx="12" cy="35"/>
          </a:xfrm>
          <a:prstGeom prst="line">
            <a:avLst/>
          </a:prstGeom>
          <a:noFill/>
          <a:ln w="9525">
            <a:solidFill>
              <a:srgbClr val="000000"/>
            </a:solidFill>
            <a:round/>
            <a:headEnd/>
            <a:tailEnd type="triangle" w="med" len="med"/>
          </a:ln>
        </xdr:spPr>
      </xdr:sp>
      <xdr:sp macro="" textlink="">
        <xdr:nvSpPr>
          <xdr:cNvPr id="38971" name="Text Box 59"/>
          <xdr:cNvSpPr txBox="1">
            <a:spLocks noChangeArrowheads="1"/>
          </xdr:cNvSpPr>
        </xdr:nvSpPr>
        <xdr:spPr bwMode="auto">
          <a:xfrm>
            <a:off x="752" y="1151"/>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0" i="0" u="none" strike="noStrike" baseline="0">
                <a:solidFill>
                  <a:srgbClr val="000000"/>
                </a:solidFill>
                <a:latin typeface="Arial"/>
                <a:cs typeface="Arial"/>
              </a:rPr>
              <a:t>D</a:t>
            </a:r>
            <a:endParaRPr lang="sv-SE"/>
          </a:p>
        </xdr:txBody>
      </xdr:sp>
      <xdr:sp macro="" textlink="">
        <xdr:nvSpPr>
          <xdr:cNvPr id="2117" name="Oval 60"/>
          <xdr:cNvSpPr>
            <a:spLocks noChangeArrowheads="1"/>
          </xdr:cNvSpPr>
        </xdr:nvSpPr>
        <xdr:spPr bwMode="auto">
          <a:xfrm>
            <a:off x="744" y="1147"/>
            <a:ext cx="22" cy="21"/>
          </a:xfrm>
          <a:prstGeom prst="ellipse">
            <a:avLst/>
          </a:prstGeom>
          <a:noFill/>
          <a:ln w="9525">
            <a:solidFill>
              <a:srgbClr val="000000"/>
            </a:solidFill>
            <a:round/>
            <a:headEnd/>
            <a:tailEnd/>
          </a:ln>
        </xdr:spPr>
      </xdr:sp>
      <xdr:sp macro="" textlink="">
        <xdr:nvSpPr>
          <xdr:cNvPr id="2118" name="Line 61"/>
          <xdr:cNvSpPr>
            <a:spLocks noChangeShapeType="1"/>
          </xdr:cNvSpPr>
        </xdr:nvSpPr>
        <xdr:spPr bwMode="auto">
          <a:xfrm flipV="1">
            <a:off x="761" y="1113"/>
            <a:ext cx="23" cy="35"/>
          </a:xfrm>
          <a:prstGeom prst="line">
            <a:avLst/>
          </a:prstGeom>
          <a:noFill/>
          <a:ln w="9525">
            <a:solidFill>
              <a:srgbClr val="000000"/>
            </a:solidFill>
            <a:round/>
            <a:headEnd/>
            <a:tailEnd type="triangle" w="med" len="med"/>
          </a:ln>
        </xdr:spPr>
      </xdr:sp>
      <xdr:sp macro="" textlink="">
        <xdr:nvSpPr>
          <xdr:cNvPr id="2119" name="Line 62"/>
          <xdr:cNvSpPr>
            <a:spLocks noChangeShapeType="1"/>
          </xdr:cNvSpPr>
        </xdr:nvSpPr>
        <xdr:spPr bwMode="auto">
          <a:xfrm flipH="1" flipV="1">
            <a:off x="623" y="1114"/>
            <a:ext cx="10" cy="33"/>
          </a:xfrm>
          <a:prstGeom prst="line">
            <a:avLst/>
          </a:prstGeom>
          <a:noFill/>
          <a:ln w="9525">
            <a:solidFill>
              <a:srgbClr val="000000"/>
            </a:solidFill>
            <a:round/>
            <a:headEnd/>
            <a:tailEnd type="triangle" w="med" len="med"/>
          </a:ln>
        </xdr:spPr>
      </xdr:sp>
    </xdr:grpSp>
    <xdr:clientData/>
  </xdr:twoCellAnchor>
  <xdr:twoCellAnchor>
    <xdr:from>
      <xdr:col>2</xdr:col>
      <xdr:colOff>57150</xdr:colOff>
      <xdr:row>30</xdr:row>
      <xdr:rowOff>57150</xdr:rowOff>
    </xdr:from>
    <xdr:to>
      <xdr:col>6</xdr:col>
      <xdr:colOff>466725</xdr:colOff>
      <xdr:row>32</xdr:row>
      <xdr:rowOff>962025</xdr:rowOff>
    </xdr:to>
    <xdr:grpSp>
      <xdr:nvGrpSpPr>
        <xdr:cNvPr id="2102" name="Group 65"/>
        <xdr:cNvGrpSpPr>
          <a:grpSpLocks/>
        </xdr:cNvGrpSpPr>
      </xdr:nvGrpSpPr>
      <xdr:grpSpPr bwMode="auto">
        <a:xfrm>
          <a:off x="1166532" y="5738532"/>
          <a:ext cx="2874869" cy="2641787"/>
          <a:chOff x="122" y="609"/>
          <a:chExt cx="300" cy="278"/>
        </a:xfrm>
      </xdr:grpSpPr>
      <xdr:pic>
        <xdr:nvPicPr>
          <xdr:cNvPr id="2103" name="Picture 63" descr="alfilter"/>
          <xdr:cNvPicPr>
            <a:picLocks noChangeAspect="1" noChangeArrowheads="1"/>
          </xdr:cNvPicPr>
        </xdr:nvPicPr>
        <xdr:blipFill>
          <a:blip xmlns:r="http://schemas.openxmlformats.org/officeDocument/2006/relationships" r:embed="rId4" cstate="print"/>
          <a:srcRect/>
          <a:stretch>
            <a:fillRect/>
          </a:stretch>
        </xdr:blipFill>
        <xdr:spPr bwMode="auto">
          <a:xfrm>
            <a:off x="122" y="609"/>
            <a:ext cx="300" cy="231"/>
          </a:xfrm>
          <a:prstGeom prst="rect">
            <a:avLst/>
          </a:prstGeom>
          <a:noFill/>
          <a:ln w="9525">
            <a:noFill/>
            <a:miter lim="800000"/>
            <a:headEnd/>
            <a:tailEnd/>
          </a:ln>
        </xdr:spPr>
      </xdr:pic>
      <xdr:sp macro="" textlink="">
        <xdr:nvSpPr>
          <xdr:cNvPr id="38976" name="Text Box 64"/>
          <xdr:cNvSpPr txBox="1">
            <a:spLocks noChangeAspect="1" noChangeArrowheads="1"/>
          </xdr:cNvSpPr>
        </xdr:nvSpPr>
        <xdr:spPr bwMode="auto">
          <a:xfrm>
            <a:off x="238" y="852"/>
            <a:ext cx="54" cy="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sv-SE" sz="1000" b="1" i="0" u="none" strike="noStrike" baseline="0">
                <a:solidFill>
                  <a:srgbClr val="000000"/>
                </a:solidFill>
                <a:latin typeface="Arial"/>
                <a:cs typeface="Arial"/>
              </a:rPr>
              <a:t>Figure 1</a:t>
            </a:r>
          </a:p>
          <a:p>
            <a:pPr algn="l" rtl="0">
              <a:defRPr sz="1000"/>
            </a:pPr>
            <a:endParaRPr lang="sv-SE"/>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257175</xdr:colOff>
      <xdr:row>8</xdr:row>
      <xdr:rowOff>0</xdr:rowOff>
    </xdr:from>
    <xdr:to>
      <xdr:col>13</xdr:col>
      <xdr:colOff>95250</xdr:colOff>
      <xdr:row>27</xdr:row>
      <xdr:rowOff>0</xdr:rowOff>
    </xdr:to>
    <xdr:graphicFrame macro="">
      <xdr:nvGraphicFramePr>
        <xdr:cNvPr id="307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47625</xdr:rowOff>
    </xdr:from>
    <xdr:to>
      <xdr:col>19</xdr:col>
      <xdr:colOff>257175</xdr:colOff>
      <xdr:row>38</xdr:row>
      <xdr:rowOff>2324100</xdr:rowOff>
    </xdr:to>
    <xdr:pic>
      <xdr:nvPicPr>
        <xdr:cNvPr id="4107" name="Picture 3" descr="1011954"/>
        <xdr:cNvPicPr>
          <a:picLocks noChangeAspect="1" noChangeArrowheads="1"/>
        </xdr:cNvPicPr>
      </xdr:nvPicPr>
      <xdr:blipFill>
        <a:blip xmlns:r="http://schemas.openxmlformats.org/officeDocument/2006/relationships" r:embed="rId1" cstate="print"/>
        <a:srcRect/>
        <a:stretch>
          <a:fillRect/>
        </a:stretch>
      </xdr:blipFill>
      <xdr:spPr bwMode="auto">
        <a:xfrm>
          <a:off x="10687050" y="8829675"/>
          <a:ext cx="5457825" cy="3086100"/>
        </a:xfrm>
        <a:prstGeom prst="rect">
          <a:avLst/>
        </a:prstGeom>
        <a:noFill/>
        <a:ln w="9525">
          <a:noFill/>
          <a:miter lim="800000"/>
          <a:headEnd/>
          <a:tailEnd/>
        </a:ln>
      </xdr:spPr>
    </xdr:pic>
    <xdr:clientData/>
  </xdr:twoCellAnchor>
  <xdr:twoCellAnchor editAs="oneCell">
    <xdr:from>
      <xdr:col>8</xdr:col>
      <xdr:colOff>723900</xdr:colOff>
      <xdr:row>3</xdr:row>
      <xdr:rowOff>114300</xdr:rowOff>
    </xdr:from>
    <xdr:to>
      <xdr:col>11</xdr:col>
      <xdr:colOff>142875</xdr:colOff>
      <xdr:row>8</xdr:row>
      <xdr:rowOff>161925</xdr:rowOff>
    </xdr:to>
    <xdr:pic>
      <xdr:nvPicPr>
        <xdr:cNvPr id="4108"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9248775" y="838200"/>
          <a:ext cx="1581150" cy="904875"/>
        </a:xfrm>
        <a:prstGeom prst="rect">
          <a:avLst/>
        </a:prstGeom>
        <a:noFill/>
        <a:ln w="1">
          <a:noFill/>
          <a:miter lim="800000"/>
          <a:headEnd/>
          <a:tailEnd/>
        </a:ln>
        <a:effectLst/>
      </xdr:spPr>
    </xdr:pic>
    <xdr:clientData/>
  </xdr:twoCellAnchor>
  <xdr:twoCellAnchor>
    <xdr:from>
      <xdr:col>8</xdr:col>
      <xdr:colOff>447675</xdr:colOff>
      <xdr:row>3</xdr:row>
      <xdr:rowOff>85725</xdr:rowOff>
    </xdr:from>
    <xdr:to>
      <xdr:col>8</xdr:col>
      <xdr:colOff>742950</xdr:colOff>
      <xdr:row>5</xdr:row>
      <xdr:rowOff>95250</xdr:rowOff>
    </xdr:to>
    <xdr:sp macro="" textlink="">
      <xdr:nvSpPr>
        <xdr:cNvPr id="37895" name="Text Box 7"/>
        <xdr:cNvSpPr txBox="1">
          <a:spLocks noChangeArrowheads="1"/>
        </xdr:cNvSpPr>
      </xdr:nvSpPr>
      <xdr:spPr bwMode="auto">
        <a:xfrm>
          <a:off x="8972550" y="809625"/>
          <a:ext cx="295275" cy="3333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sv-SE" sz="1600" b="1" i="0" u="none" strike="noStrike" baseline="0">
              <a:solidFill>
                <a:srgbClr val="0000FF"/>
              </a:solidFill>
              <a:latin typeface="Arial"/>
              <a:cs typeface="Arial"/>
            </a:rPr>
            <a:t>A</a:t>
          </a:r>
          <a:endParaRPr lang="sv-SE"/>
        </a:p>
      </xdr:txBody>
    </xdr:sp>
    <xdr:clientData/>
  </xdr:twoCellAnchor>
  <xdr:twoCellAnchor editAs="oneCell">
    <xdr:from>
      <xdr:col>13</xdr:col>
      <xdr:colOff>38100</xdr:colOff>
      <xdr:row>4</xdr:row>
      <xdr:rowOff>47625</xdr:rowOff>
    </xdr:from>
    <xdr:to>
      <xdr:col>15</xdr:col>
      <xdr:colOff>561975</xdr:colOff>
      <xdr:row>9</xdr:row>
      <xdr:rowOff>381000</xdr:rowOff>
    </xdr:to>
    <xdr:pic>
      <xdr:nvPicPr>
        <xdr:cNvPr id="4110"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12011025" y="933450"/>
          <a:ext cx="1857375" cy="1209675"/>
        </a:xfrm>
        <a:prstGeom prst="rect">
          <a:avLst/>
        </a:prstGeom>
        <a:noFill/>
        <a:ln w="1">
          <a:noFill/>
          <a:miter lim="800000"/>
          <a:headEnd/>
          <a:tailEnd/>
        </a:ln>
        <a:effectLst/>
      </xdr:spPr>
    </xdr:pic>
    <xdr:clientData/>
  </xdr:twoCellAnchor>
  <xdr:twoCellAnchor editAs="oneCell">
    <xdr:from>
      <xdr:col>8</xdr:col>
      <xdr:colOff>285750</xdr:colOff>
      <xdr:row>41</xdr:row>
      <xdr:rowOff>152400</xdr:rowOff>
    </xdr:from>
    <xdr:to>
      <xdr:col>20</xdr:col>
      <xdr:colOff>466725</xdr:colOff>
      <xdr:row>63</xdr:row>
      <xdr:rowOff>0</xdr:rowOff>
    </xdr:to>
    <xdr:pic>
      <xdr:nvPicPr>
        <xdr:cNvPr id="4111" name="Picture 12" descr="Rad_field"/>
        <xdr:cNvPicPr>
          <a:picLocks noChangeAspect="1" noChangeArrowheads="1"/>
        </xdr:cNvPicPr>
      </xdr:nvPicPr>
      <xdr:blipFill>
        <a:blip xmlns:r="http://schemas.openxmlformats.org/officeDocument/2006/relationships" r:embed="rId4" cstate="print"/>
        <a:srcRect/>
        <a:stretch>
          <a:fillRect/>
        </a:stretch>
      </xdr:blipFill>
      <xdr:spPr bwMode="auto">
        <a:xfrm>
          <a:off x="8810625" y="12839700"/>
          <a:ext cx="8153400" cy="35147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104775</xdr:rowOff>
    </xdr:from>
    <xdr:to>
      <xdr:col>6</xdr:col>
      <xdr:colOff>247650</xdr:colOff>
      <xdr:row>6</xdr:row>
      <xdr:rowOff>247650</xdr:rowOff>
    </xdr:to>
    <xdr:sp macro="" textlink="">
      <xdr:nvSpPr>
        <xdr:cNvPr id="35841" name="Text Box 1"/>
        <xdr:cNvSpPr txBox="1">
          <a:spLocks noChangeArrowheads="1"/>
        </xdr:cNvSpPr>
      </xdr:nvSpPr>
      <xdr:spPr bwMode="auto">
        <a:xfrm>
          <a:off x="609600" y="628650"/>
          <a:ext cx="3362325" cy="628650"/>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sv-SE" sz="1000" b="1" i="0" u="none" strike="noStrike" baseline="0">
              <a:solidFill>
                <a:srgbClr val="000000"/>
              </a:solidFill>
              <a:latin typeface="Arial"/>
              <a:cs typeface="Arial"/>
            </a:rPr>
            <a:t>Purpose</a:t>
          </a:r>
          <a:endParaRPr lang="sv-SE" sz="1000" b="0" i="0" u="none" strike="noStrike" baseline="0">
            <a:solidFill>
              <a:srgbClr val="000000"/>
            </a:solidFill>
            <a:latin typeface="Arial"/>
            <a:cs typeface="Arial"/>
          </a:endParaRPr>
        </a:p>
        <a:p>
          <a:pPr algn="l" rtl="0">
            <a:defRPr sz="1000"/>
          </a:pPr>
          <a:r>
            <a:rPr lang="sv-SE" sz="1000" b="0" i="0" u="none" strike="noStrike" baseline="0">
              <a:solidFill>
                <a:srgbClr val="000000"/>
              </a:solidFill>
              <a:latin typeface="Arial"/>
              <a:cs typeface="Arial"/>
            </a:rPr>
            <a:t>This document should aid and speed up the evaluation of CDMAM3.4 images.</a:t>
          </a:r>
          <a:endParaRPr lang="sv-SE"/>
        </a:p>
      </xdr:txBody>
    </xdr:sp>
    <xdr:clientData/>
  </xdr:twoCellAnchor>
  <xdr:twoCellAnchor>
    <xdr:from>
      <xdr:col>0</xdr:col>
      <xdr:colOff>590550</xdr:colOff>
      <xdr:row>7</xdr:row>
      <xdr:rowOff>133350</xdr:rowOff>
    </xdr:from>
    <xdr:to>
      <xdr:col>7</xdr:col>
      <xdr:colOff>457200</xdr:colOff>
      <xdr:row>22</xdr:row>
      <xdr:rowOff>142875</xdr:rowOff>
    </xdr:to>
    <xdr:sp macro="" textlink="">
      <xdr:nvSpPr>
        <xdr:cNvPr id="35842" name="Text Box 2"/>
        <xdr:cNvSpPr txBox="1">
          <a:spLocks noChangeArrowheads="1"/>
        </xdr:cNvSpPr>
      </xdr:nvSpPr>
      <xdr:spPr bwMode="auto">
        <a:xfrm>
          <a:off x="590550" y="1466850"/>
          <a:ext cx="4200525" cy="2600325"/>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900"/>
            </a:lnSpc>
            <a:defRPr sz="1000"/>
          </a:pPr>
          <a:r>
            <a:rPr lang="sv-SE" sz="1000" b="1" i="0" u="none" strike="noStrike" baseline="0">
              <a:solidFill>
                <a:srgbClr val="000000"/>
              </a:solidFill>
              <a:latin typeface="Arial"/>
              <a:cs typeface="Arial"/>
            </a:rPr>
            <a:t>Instructions</a:t>
          </a:r>
        </a:p>
        <a:p>
          <a:pPr algn="l" rtl="0">
            <a:lnSpc>
              <a:spcPts val="900"/>
            </a:lnSpc>
            <a:defRPr sz="1000"/>
          </a:pPr>
          <a:r>
            <a:rPr lang="sv-SE" sz="1000" b="0" i="0" u="none" strike="noStrike" baseline="0">
              <a:solidFill>
                <a:srgbClr val="000000"/>
              </a:solidFill>
              <a:latin typeface="Arial"/>
              <a:cs typeface="Arial"/>
            </a:rPr>
            <a:t>Study the CDMAM image on the diagnostic workstation. Make sure the viewing conditions are appropriate (e.g. light). The image should be rotated as shown in Fig. 1. Be sure to set the grey scale optimally. Zooming is allowed.</a:t>
          </a: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r>
            <a:rPr lang="sv-SE" sz="1000" b="0" i="0" u="none" strike="noStrike" baseline="0">
              <a:solidFill>
                <a:srgbClr val="000000"/>
              </a:solidFill>
              <a:latin typeface="Arial"/>
              <a:cs typeface="Arial"/>
            </a:rPr>
            <a:t>For each diameter that shall be evaluated, start with the thickest disc. Note in the "Protocol" sheet in which corner the disc is situated; "U" for up, "D" for down, "L" for left and "R" for right.</a:t>
          </a: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r>
            <a:rPr lang="sv-SE" sz="1000" b="0" i="0" u="none" strike="noStrike" baseline="0">
              <a:solidFill>
                <a:srgbClr val="000000"/>
              </a:solidFill>
              <a:latin typeface="Arial"/>
              <a:cs typeface="Arial"/>
            </a:rPr>
            <a:t>Continue with the next thinner disc, as shown by the red arrow in the figure.</a:t>
          </a: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r>
            <a:rPr lang="sv-SE" sz="1000" b="0" i="0" u="none" strike="noStrike" baseline="0">
              <a:solidFill>
                <a:srgbClr val="000000"/>
              </a:solidFill>
              <a:latin typeface="Arial"/>
              <a:cs typeface="Arial"/>
            </a:rPr>
            <a:t>Stop when you cannot determine the disc position.</a:t>
          </a: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r>
            <a:rPr lang="sv-SE" sz="1000" b="0" i="0" u="none" strike="noStrike" baseline="0">
              <a:solidFill>
                <a:srgbClr val="000000"/>
              </a:solidFill>
              <a:latin typeface="Arial"/>
              <a:cs typeface="Arial"/>
            </a:rPr>
            <a:t>When all diameters are done, the resulting contrast detail curve can be seen in the "Result" sheet.</a:t>
          </a: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endParaRPr lang="sv-SE" sz="1000" b="0" i="0" u="none" strike="noStrike" baseline="0">
            <a:solidFill>
              <a:srgbClr val="000000"/>
            </a:solidFill>
            <a:latin typeface="Arial"/>
            <a:cs typeface="Arial"/>
          </a:endParaRPr>
        </a:p>
        <a:p>
          <a:pPr algn="l" rtl="0">
            <a:lnSpc>
              <a:spcPts val="900"/>
            </a:lnSpc>
            <a:defRPr sz="1000"/>
          </a:pPr>
          <a:endParaRPr lang="sv-SE" sz="1000" b="0" i="0" u="none" strike="noStrike" baseline="0">
            <a:solidFill>
              <a:srgbClr val="000000"/>
            </a:solidFill>
            <a:latin typeface="Arial"/>
            <a:cs typeface="Arial"/>
          </a:endParaRPr>
        </a:p>
        <a:p>
          <a:pPr algn="l" rtl="0">
            <a:lnSpc>
              <a:spcPts val="800"/>
            </a:lnSpc>
            <a:defRPr sz="1000"/>
          </a:pPr>
          <a:endParaRPr lang="sv-SE" sz="1000" b="0" i="0" u="none" strike="noStrike" baseline="0">
            <a:solidFill>
              <a:srgbClr val="000000"/>
            </a:solidFill>
            <a:latin typeface="Arial"/>
            <a:cs typeface="Arial"/>
          </a:endParaRPr>
        </a:p>
        <a:p>
          <a:pPr algn="l" rtl="0">
            <a:lnSpc>
              <a:spcPts val="900"/>
            </a:lnSpc>
            <a:defRPr sz="1000"/>
          </a:pPr>
          <a:endParaRPr lang="sv-SE" sz="1000" b="0" i="0" u="none" strike="noStrike" baseline="0">
            <a:solidFill>
              <a:srgbClr val="000000"/>
            </a:solidFill>
            <a:latin typeface="Arial"/>
            <a:cs typeface="Arial"/>
          </a:endParaRPr>
        </a:p>
        <a:p>
          <a:pPr algn="l" rtl="0">
            <a:lnSpc>
              <a:spcPts val="1100"/>
            </a:lnSpc>
            <a:defRPr sz="1000"/>
          </a:pPr>
          <a:endParaRPr lang="sv-SE"/>
        </a:p>
      </xdr:txBody>
    </xdr:sp>
    <xdr:clientData/>
  </xdr:twoCellAnchor>
  <xdr:twoCellAnchor>
    <xdr:from>
      <xdr:col>8</xdr:col>
      <xdr:colOff>28575</xdr:colOff>
      <xdr:row>1</xdr:row>
      <xdr:rowOff>19050</xdr:rowOff>
    </xdr:from>
    <xdr:to>
      <xdr:col>13</xdr:col>
      <xdr:colOff>428625</xdr:colOff>
      <xdr:row>30</xdr:row>
      <xdr:rowOff>28575</xdr:rowOff>
    </xdr:to>
    <xdr:grpSp>
      <xdr:nvGrpSpPr>
        <xdr:cNvPr id="5157" name="Group 3"/>
        <xdr:cNvGrpSpPr>
          <a:grpSpLocks/>
        </xdr:cNvGrpSpPr>
      </xdr:nvGrpSpPr>
      <xdr:grpSpPr bwMode="auto">
        <a:xfrm>
          <a:off x="5038725" y="180975"/>
          <a:ext cx="3448050" cy="5067300"/>
          <a:chOff x="564" y="46"/>
          <a:chExt cx="362" cy="498"/>
        </a:xfrm>
      </xdr:grpSpPr>
      <xdr:pic>
        <xdr:nvPicPr>
          <xdr:cNvPr id="515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564" y="46"/>
            <a:ext cx="362" cy="498"/>
          </a:xfrm>
          <a:prstGeom prst="rect">
            <a:avLst/>
          </a:prstGeom>
          <a:noFill/>
          <a:ln w="1">
            <a:noFill/>
            <a:miter lim="800000"/>
            <a:headEnd/>
            <a:tailEnd/>
          </a:ln>
          <a:effectLst/>
        </xdr:spPr>
      </xdr:pic>
      <xdr:sp macro="" textlink="">
        <xdr:nvSpPr>
          <xdr:cNvPr id="5159" name="Oval 5"/>
          <xdr:cNvSpPr>
            <a:spLocks noChangeArrowheads="1"/>
          </xdr:cNvSpPr>
        </xdr:nvSpPr>
        <xdr:spPr bwMode="auto">
          <a:xfrm>
            <a:off x="729" y="198"/>
            <a:ext cx="8" cy="8"/>
          </a:xfrm>
          <a:prstGeom prst="ellipse">
            <a:avLst/>
          </a:prstGeom>
          <a:noFill/>
          <a:ln w="9525">
            <a:solidFill>
              <a:srgbClr val="FFFF00"/>
            </a:solidFill>
            <a:round/>
            <a:headEnd/>
            <a:tailEnd/>
          </a:ln>
        </xdr:spPr>
      </xdr:sp>
      <xdr:sp macro="" textlink="">
        <xdr:nvSpPr>
          <xdr:cNvPr id="5160" name="Oval 6"/>
          <xdr:cNvSpPr>
            <a:spLocks noChangeArrowheads="1"/>
          </xdr:cNvSpPr>
        </xdr:nvSpPr>
        <xdr:spPr bwMode="auto">
          <a:xfrm>
            <a:off x="730" y="217"/>
            <a:ext cx="8" cy="8"/>
          </a:xfrm>
          <a:prstGeom prst="ellipse">
            <a:avLst/>
          </a:prstGeom>
          <a:noFill/>
          <a:ln w="9525">
            <a:solidFill>
              <a:srgbClr val="FFFF00"/>
            </a:solidFill>
            <a:round/>
            <a:headEnd/>
            <a:tailEnd/>
          </a:ln>
        </xdr:spPr>
      </xdr:sp>
      <xdr:sp macro="" textlink="">
        <xdr:nvSpPr>
          <xdr:cNvPr id="5161" name="Oval 7"/>
          <xdr:cNvSpPr>
            <a:spLocks noChangeArrowheads="1"/>
          </xdr:cNvSpPr>
        </xdr:nvSpPr>
        <xdr:spPr bwMode="auto">
          <a:xfrm>
            <a:off x="720" y="208"/>
            <a:ext cx="8" cy="8"/>
          </a:xfrm>
          <a:prstGeom prst="ellipse">
            <a:avLst/>
          </a:prstGeom>
          <a:noFill/>
          <a:ln w="9525">
            <a:solidFill>
              <a:srgbClr val="FFFF00"/>
            </a:solidFill>
            <a:round/>
            <a:headEnd/>
            <a:tailEnd/>
          </a:ln>
        </xdr:spPr>
      </xdr:sp>
      <xdr:sp macro="" textlink="">
        <xdr:nvSpPr>
          <xdr:cNvPr id="5162" name="Oval 8"/>
          <xdr:cNvSpPr>
            <a:spLocks noChangeArrowheads="1"/>
          </xdr:cNvSpPr>
        </xdr:nvSpPr>
        <xdr:spPr bwMode="auto">
          <a:xfrm>
            <a:off x="740" y="209"/>
            <a:ext cx="8" cy="8"/>
          </a:xfrm>
          <a:prstGeom prst="ellipse">
            <a:avLst/>
          </a:prstGeom>
          <a:noFill/>
          <a:ln w="9525">
            <a:solidFill>
              <a:srgbClr val="FFFF00"/>
            </a:solidFill>
            <a:round/>
            <a:headEnd/>
            <a:tailEnd/>
          </a:ln>
        </xdr:spPr>
      </xdr:sp>
      <xdr:sp macro="" textlink="">
        <xdr:nvSpPr>
          <xdr:cNvPr id="5163" name="Line 9"/>
          <xdr:cNvSpPr>
            <a:spLocks noChangeShapeType="1"/>
          </xdr:cNvSpPr>
        </xdr:nvSpPr>
        <xdr:spPr bwMode="auto">
          <a:xfrm flipH="1">
            <a:off x="739" y="184"/>
            <a:ext cx="18" cy="12"/>
          </a:xfrm>
          <a:prstGeom prst="line">
            <a:avLst/>
          </a:prstGeom>
          <a:noFill/>
          <a:ln w="9525">
            <a:solidFill>
              <a:srgbClr val="FFFF00"/>
            </a:solidFill>
            <a:round/>
            <a:headEnd/>
            <a:tailEnd type="triangle" w="sm" len="med"/>
          </a:ln>
        </xdr:spPr>
      </xdr:sp>
      <xdr:sp macro="" textlink="">
        <xdr:nvSpPr>
          <xdr:cNvPr id="35850" name="Text Box 10"/>
          <xdr:cNvSpPr txBox="1">
            <a:spLocks noChangeArrowheads="1"/>
          </xdr:cNvSpPr>
        </xdr:nvSpPr>
        <xdr:spPr bwMode="auto">
          <a:xfrm>
            <a:off x="757" y="175"/>
            <a:ext cx="22"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sv-SE" sz="900" b="1" i="0" u="none" strike="noStrike" baseline="0">
                <a:solidFill>
                  <a:srgbClr val="FFFF00"/>
                </a:solidFill>
                <a:latin typeface="Arial"/>
                <a:cs typeface="Arial"/>
              </a:rPr>
              <a:t>U</a:t>
            </a:r>
            <a:endParaRPr lang="sv-SE"/>
          </a:p>
        </xdr:txBody>
      </xdr:sp>
      <xdr:sp macro="" textlink="">
        <xdr:nvSpPr>
          <xdr:cNvPr id="5165" name="Line 11"/>
          <xdr:cNvSpPr>
            <a:spLocks noChangeShapeType="1"/>
          </xdr:cNvSpPr>
        </xdr:nvSpPr>
        <xdr:spPr bwMode="auto">
          <a:xfrm flipH="1" flipV="1">
            <a:off x="751" y="214"/>
            <a:ext cx="23" cy="4"/>
          </a:xfrm>
          <a:prstGeom prst="line">
            <a:avLst/>
          </a:prstGeom>
          <a:noFill/>
          <a:ln w="9525">
            <a:solidFill>
              <a:srgbClr val="FFFF00"/>
            </a:solidFill>
            <a:round/>
            <a:headEnd/>
            <a:tailEnd type="triangle" w="sm" len="med"/>
          </a:ln>
        </xdr:spPr>
      </xdr:sp>
      <xdr:sp macro="" textlink="">
        <xdr:nvSpPr>
          <xdr:cNvPr id="5166" name="Line 12"/>
          <xdr:cNvSpPr>
            <a:spLocks noChangeShapeType="1"/>
          </xdr:cNvSpPr>
        </xdr:nvSpPr>
        <xdr:spPr bwMode="auto">
          <a:xfrm>
            <a:off x="697" y="204"/>
            <a:ext cx="20" cy="7"/>
          </a:xfrm>
          <a:prstGeom prst="line">
            <a:avLst/>
          </a:prstGeom>
          <a:noFill/>
          <a:ln w="9525">
            <a:solidFill>
              <a:srgbClr val="FFFF00"/>
            </a:solidFill>
            <a:round/>
            <a:headEnd/>
            <a:tailEnd type="triangle" w="sm" len="med"/>
          </a:ln>
        </xdr:spPr>
      </xdr:sp>
      <xdr:sp macro="" textlink="">
        <xdr:nvSpPr>
          <xdr:cNvPr id="5167" name="Line 13"/>
          <xdr:cNvSpPr>
            <a:spLocks noChangeShapeType="1"/>
          </xdr:cNvSpPr>
        </xdr:nvSpPr>
        <xdr:spPr bwMode="auto">
          <a:xfrm flipH="1" flipV="1">
            <a:off x="738" y="227"/>
            <a:ext cx="14" cy="15"/>
          </a:xfrm>
          <a:prstGeom prst="line">
            <a:avLst/>
          </a:prstGeom>
          <a:noFill/>
          <a:ln w="9525">
            <a:solidFill>
              <a:srgbClr val="FFFF00"/>
            </a:solidFill>
            <a:round/>
            <a:headEnd/>
            <a:tailEnd type="triangle" w="sm" len="med"/>
          </a:ln>
        </xdr:spPr>
      </xdr:sp>
      <xdr:sp macro="" textlink="">
        <xdr:nvSpPr>
          <xdr:cNvPr id="35854" name="Text Box 14"/>
          <xdr:cNvSpPr txBox="1">
            <a:spLocks noChangeArrowheads="1"/>
          </xdr:cNvSpPr>
        </xdr:nvSpPr>
        <xdr:spPr bwMode="auto">
          <a:xfrm>
            <a:off x="777" y="214"/>
            <a:ext cx="22"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sv-SE" sz="900" b="1" i="0" u="none" strike="noStrike" baseline="0">
                <a:solidFill>
                  <a:srgbClr val="FFFF00"/>
                </a:solidFill>
                <a:latin typeface="Arial"/>
                <a:cs typeface="Arial"/>
              </a:rPr>
              <a:t>R</a:t>
            </a:r>
            <a:endParaRPr lang="sv-SE"/>
          </a:p>
        </xdr:txBody>
      </xdr:sp>
      <xdr:sp macro="" textlink="">
        <xdr:nvSpPr>
          <xdr:cNvPr id="35855" name="Text Box 15"/>
          <xdr:cNvSpPr txBox="1">
            <a:spLocks noChangeArrowheads="1"/>
          </xdr:cNvSpPr>
        </xdr:nvSpPr>
        <xdr:spPr bwMode="auto">
          <a:xfrm>
            <a:off x="754" y="243"/>
            <a:ext cx="22"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sv-SE" sz="900" b="1" i="0" u="none" strike="noStrike" baseline="0">
                <a:solidFill>
                  <a:srgbClr val="FFFF00"/>
                </a:solidFill>
                <a:latin typeface="Arial"/>
                <a:cs typeface="Arial"/>
              </a:rPr>
              <a:t>D</a:t>
            </a:r>
            <a:endParaRPr lang="sv-SE"/>
          </a:p>
        </xdr:txBody>
      </xdr:sp>
      <xdr:sp macro="" textlink="">
        <xdr:nvSpPr>
          <xdr:cNvPr id="35856" name="Text Box 16"/>
          <xdr:cNvSpPr txBox="1">
            <a:spLocks noChangeArrowheads="1"/>
          </xdr:cNvSpPr>
        </xdr:nvSpPr>
        <xdr:spPr bwMode="auto">
          <a:xfrm>
            <a:off x="684" y="196"/>
            <a:ext cx="22"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sv-SE" sz="900" b="1" i="0" u="none" strike="noStrike" baseline="0">
                <a:solidFill>
                  <a:srgbClr val="FFFF00"/>
                </a:solidFill>
                <a:latin typeface="Arial"/>
                <a:cs typeface="Arial"/>
              </a:rPr>
              <a:t>L</a:t>
            </a:r>
            <a:endParaRPr lang="sv-SE"/>
          </a:p>
        </xdr:txBody>
      </xdr:sp>
      <xdr:sp macro="" textlink="">
        <xdr:nvSpPr>
          <xdr:cNvPr id="5171" name="Line 17"/>
          <xdr:cNvSpPr>
            <a:spLocks noChangeShapeType="1"/>
          </xdr:cNvSpPr>
        </xdr:nvSpPr>
        <xdr:spPr bwMode="auto">
          <a:xfrm>
            <a:off x="617" y="361"/>
            <a:ext cx="67" cy="67"/>
          </a:xfrm>
          <a:prstGeom prst="line">
            <a:avLst/>
          </a:prstGeom>
          <a:noFill/>
          <a:ln w="12700">
            <a:solidFill>
              <a:srgbClr val="FF0000"/>
            </a:solidFill>
            <a:round/>
            <a:headEnd/>
            <a:tailEnd type="triangle" w="med" len="lg"/>
          </a:ln>
        </xdr:spPr>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152400</xdr:rowOff>
    </xdr:from>
    <xdr:to>
      <xdr:col>18</xdr:col>
      <xdr:colOff>485775</xdr:colOff>
      <xdr:row>24</xdr:row>
      <xdr:rowOff>152400</xdr:rowOff>
    </xdr:to>
    <xdr:sp macro="" textlink="">
      <xdr:nvSpPr>
        <xdr:cNvPr id="36865" name="Text Box 1"/>
        <xdr:cNvSpPr txBox="1">
          <a:spLocks noChangeArrowheads="1"/>
        </xdr:cNvSpPr>
      </xdr:nvSpPr>
      <xdr:spPr bwMode="auto">
        <a:xfrm>
          <a:off x="0" y="1000125"/>
          <a:ext cx="11534775" cy="30765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endParaRPr lang="sv-SE" sz="1400" b="1" i="0" u="none" strike="noStrike" baseline="0">
            <a:solidFill>
              <a:srgbClr val="FF0000"/>
            </a:solidFill>
            <a:latin typeface="Arial"/>
            <a:cs typeface="Arial"/>
          </a:endParaRPr>
        </a:p>
        <a:p>
          <a:pPr algn="ctr" rtl="0">
            <a:defRPr sz="1000"/>
          </a:pPr>
          <a:endParaRPr lang="sv-SE" sz="1400" b="1" i="0" u="none" strike="noStrike" baseline="0">
            <a:solidFill>
              <a:srgbClr val="FF0000"/>
            </a:solidFill>
            <a:latin typeface="Arial"/>
            <a:cs typeface="Arial"/>
          </a:endParaRPr>
        </a:p>
        <a:p>
          <a:pPr algn="ctr" rtl="0">
            <a:defRPr sz="1000"/>
          </a:pPr>
          <a:endParaRPr lang="sv-SE" sz="1400" b="1" i="0" u="none" strike="noStrike" baseline="0">
            <a:solidFill>
              <a:srgbClr val="FF0000"/>
            </a:solidFill>
            <a:latin typeface="Arial"/>
            <a:cs typeface="Arial"/>
          </a:endParaRPr>
        </a:p>
        <a:p>
          <a:pPr algn="ctr" rtl="0">
            <a:defRPr sz="1000"/>
          </a:pPr>
          <a:endParaRPr lang="sv-SE" sz="1400" b="1" i="0" u="none" strike="noStrike" baseline="0">
            <a:solidFill>
              <a:srgbClr val="FF0000"/>
            </a:solidFill>
            <a:latin typeface="Arial"/>
            <a:cs typeface="Arial"/>
          </a:endParaRPr>
        </a:p>
        <a:p>
          <a:pPr algn="ctr" rtl="0">
            <a:defRPr sz="1000"/>
          </a:pPr>
          <a:endParaRPr lang="sv-SE" sz="1400" b="1" i="0" u="none" strike="noStrike" baseline="0">
            <a:solidFill>
              <a:srgbClr val="FF0000"/>
            </a:solidFill>
            <a:latin typeface="Arial"/>
            <a:cs typeface="Arial"/>
          </a:endParaRPr>
        </a:p>
        <a:p>
          <a:pPr algn="ctr" rtl="0">
            <a:defRPr sz="1000"/>
          </a:pPr>
          <a:r>
            <a:rPr lang="sv-SE" sz="1400" b="1" i="0" u="none" strike="noStrike" baseline="0">
              <a:solidFill>
                <a:srgbClr val="FF0000"/>
              </a:solidFill>
              <a:latin typeface="Arial"/>
              <a:cs typeface="Arial"/>
            </a:rPr>
            <a:t>Truth</a:t>
          </a:r>
          <a:endParaRPr lang="sv-S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47"/>
  <sheetViews>
    <sheetView showGridLines="0" zoomScale="85" zoomScaleNormal="100" zoomScaleSheetLayoutView="100" workbookViewId="0">
      <selection activeCell="E45" sqref="E45"/>
    </sheetView>
  </sheetViews>
  <sheetFormatPr defaultRowHeight="12.75"/>
  <cols>
    <col min="1" max="1" width="2.5703125" customWidth="1"/>
    <col min="2" max="2" width="10.85546875" customWidth="1"/>
    <col min="3" max="3" width="9.42578125" bestFit="1" customWidth="1"/>
    <col min="4" max="4" width="11.140625" customWidth="1"/>
    <col min="5" max="5" width="14.5703125" customWidth="1"/>
    <col min="6" max="6" width="21.28515625" customWidth="1"/>
    <col min="7" max="7" width="16.5703125" customWidth="1"/>
  </cols>
  <sheetData>
    <row r="1" spans="1:8" ht="23.25">
      <c r="B1" s="28" t="s">
        <v>408</v>
      </c>
      <c r="C1" s="4"/>
      <c r="D1" s="4"/>
      <c r="E1" s="4"/>
      <c r="F1" s="4"/>
      <c r="G1" s="4"/>
    </row>
    <row r="2" spans="1:8" ht="21" customHeight="1">
      <c r="B2" s="111" t="s">
        <v>122</v>
      </c>
      <c r="C2" s="4"/>
      <c r="D2" s="4"/>
      <c r="E2" s="4"/>
      <c r="F2" s="4"/>
      <c r="G2" s="4"/>
    </row>
    <row r="3" spans="1:8" ht="14.25" customHeight="1" thickBot="1">
      <c r="B3" s="385"/>
      <c r="C3" s="386"/>
      <c r="D3" s="386"/>
      <c r="E3" s="386"/>
      <c r="F3" s="386"/>
      <c r="G3" s="386"/>
    </row>
    <row r="4" spans="1:8" ht="15">
      <c r="B4" s="380" t="s">
        <v>123</v>
      </c>
      <c r="C4" s="382">
        <v>1022707</v>
      </c>
      <c r="D4" s="382"/>
      <c r="E4" s="383" t="s">
        <v>124</v>
      </c>
      <c r="F4" s="384">
        <v>41219</v>
      </c>
      <c r="G4" s="382"/>
    </row>
    <row r="5" spans="1:8" ht="15.75" thickBot="1">
      <c r="B5" s="378" t="s">
        <v>125</v>
      </c>
      <c r="C5" s="635" t="s">
        <v>459</v>
      </c>
      <c r="D5" s="379"/>
      <c r="E5" s="378"/>
      <c r="F5" s="379"/>
      <c r="G5" s="379"/>
    </row>
    <row r="6" spans="1:8" ht="15" customHeight="1">
      <c r="B6" s="28"/>
      <c r="C6" s="4"/>
      <c r="D6" s="4"/>
      <c r="E6" s="4"/>
      <c r="F6" s="4"/>
      <c r="G6" s="4"/>
    </row>
    <row r="7" spans="1:8" ht="15" customHeight="1">
      <c r="B7" s="649" t="s">
        <v>126</v>
      </c>
      <c r="C7" s="642"/>
      <c r="D7" s="642"/>
      <c r="E7" s="642"/>
      <c r="F7" s="642"/>
      <c r="G7" s="4"/>
    </row>
    <row r="8" spans="1:8" ht="40.5" customHeight="1">
      <c r="B8" s="648" t="s">
        <v>410</v>
      </c>
      <c r="C8" s="648"/>
      <c r="D8" s="648"/>
      <c r="E8" s="648"/>
      <c r="F8" s="648"/>
      <c r="G8" s="648"/>
    </row>
    <row r="9" spans="1:8" ht="12.75" customHeight="1">
      <c r="B9" s="648" t="s">
        <v>409</v>
      </c>
      <c r="C9" s="648"/>
      <c r="D9" s="648"/>
      <c r="E9" s="648"/>
      <c r="F9" s="648"/>
      <c r="G9" s="648"/>
    </row>
    <row r="10" spans="1:8" ht="15" customHeight="1">
      <c r="B10" s="649" t="s">
        <v>46</v>
      </c>
      <c r="C10" s="642"/>
      <c r="D10" s="642"/>
      <c r="E10" s="642"/>
      <c r="F10" s="642"/>
      <c r="G10" s="4"/>
    </row>
    <row r="11" spans="1:8">
      <c r="B11" s="29" t="s">
        <v>127</v>
      </c>
      <c r="C11" s="29"/>
      <c r="D11" s="4"/>
      <c r="E11" s="4"/>
      <c r="F11" s="4"/>
      <c r="G11" s="4"/>
    </row>
    <row r="12" spans="1:8">
      <c r="B12" s="29" t="s">
        <v>151</v>
      </c>
      <c r="C12" s="29"/>
      <c r="D12" s="4"/>
      <c r="E12" s="4"/>
      <c r="F12" s="4"/>
      <c r="G12" s="4"/>
    </row>
    <row r="13" spans="1:8" ht="15.75" customHeight="1">
      <c r="B13" s="389" t="s">
        <v>332</v>
      </c>
      <c r="C13" s="29" t="s">
        <v>150</v>
      </c>
      <c r="D13" s="4"/>
      <c r="E13" s="4"/>
      <c r="F13" s="4"/>
      <c r="G13" s="4"/>
    </row>
    <row r="14" spans="1:8" ht="15.75" customHeight="1">
      <c r="B14" s="161" t="s">
        <v>149</v>
      </c>
      <c r="C14" s="29" t="s">
        <v>182</v>
      </c>
      <c r="D14" s="4"/>
      <c r="E14" s="4"/>
      <c r="F14" s="4"/>
      <c r="G14" s="4"/>
    </row>
    <row r="15" spans="1:8" ht="15.75" customHeight="1">
      <c r="B15" s="162" t="s">
        <v>180</v>
      </c>
      <c r="C15" s="29" t="s">
        <v>336</v>
      </c>
      <c r="D15" s="19"/>
      <c r="E15" s="19"/>
      <c r="F15" s="19"/>
      <c r="G15" s="19"/>
      <c r="H15" s="19"/>
    </row>
    <row r="16" spans="1:8" ht="15.75" customHeight="1">
      <c r="A16" s="1"/>
      <c r="B16" s="388"/>
      <c r="C16" s="44"/>
      <c r="D16" s="387"/>
      <c r="E16" s="19"/>
      <c r="F16" s="19"/>
      <c r="G16" s="19"/>
      <c r="H16" s="19"/>
    </row>
    <row r="17" spans="2:8" ht="15.75" customHeight="1">
      <c r="B17" s="391" t="s">
        <v>331</v>
      </c>
      <c r="C17" s="29" t="s">
        <v>337</v>
      </c>
      <c r="D17" s="4"/>
      <c r="E17" s="4"/>
      <c r="F17" s="4"/>
      <c r="G17" s="4"/>
    </row>
    <row r="18" spans="2:8" ht="15.75" customHeight="1">
      <c r="B18" s="390" t="s">
        <v>333</v>
      </c>
      <c r="C18" s="29" t="s">
        <v>338</v>
      </c>
      <c r="D18" s="4"/>
      <c r="E18" s="4"/>
      <c r="F18" s="4"/>
      <c r="G18" s="4"/>
    </row>
    <row r="19" spans="2:8" ht="15.75" customHeight="1">
      <c r="B19" s="392" t="s">
        <v>334</v>
      </c>
      <c r="C19" s="29" t="s">
        <v>335</v>
      </c>
      <c r="D19" s="19"/>
      <c r="E19" s="19"/>
      <c r="F19" s="19"/>
      <c r="G19" s="19"/>
      <c r="H19" s="19"/>
    </row>
    <row r="20" spans="2:8">
      <c r="B20" s="19"/>
      <c r="C20" s="19"/>
      <c r="D20" s="19"/>
      <c r="E20" s="19"/>
      <c r="F20" s="19"/>
      <c r="G20" s="19"/>
      <c r="H20" s="19"/>
    </row>
    <row r="21" spans="2:8" ht="30.75" customHeight="1">
      <c r="B21" s="650" t="s">
        <v>181</v>
      </c>
      <c r="C21" s="651"/>
      <c r="D21" s="651"/>
      <c r="E21" s="651"/>
      <c r="F21" s="651"/>
      <c r="G21" s="651"/>
      <c r="H21" s="19"/>
    </row>
    <row r="22" spans="2:8" ht="13.5" thickBot="1">
      <c r="B22" s="377"/>
      <c r="C22" s="377"/>
      <c r="D22" s="377"/>
      <c r="E22" s="377"/>
      <c r="F22" s="377"/>
      <c r="G22" s="377"/>
      <c r="H22" s="19"/>
    </row>
    <row r="23" spans="2:8" s="376" customFormat="1" ht="19.5" customHeight="1">
      <c r="B23" s="374" t="s">
        <v>128</v>
      </c>
      <c r="C23" s="375"/>
      <c r="D23" s="375"/>
      <c r="E23" s="375"/>
      <c r="F23" s="375"/>
      <c r="G23" s="375"/>
    </row>
    <row r="24" spans="2:8" ht="14.25" customHeight="1">
      <c r="B24" s="4"/>
      <c r="C24" s="511" t="s">
        <v>129</v>
      </c>
      <c r="D24" s="636"/>
      <c r="E24" s="636"/>
      <c r="F24" s="637" t="s">
        <v>130</v>
      </c>
      <c r="G24" s="638"/>
    </row>
    <row r="25" spans="2:8" ht="14.25" customHeight="1">
      <c r="B25" s="4"/>
      <c r="C25" s="511" t="s">
        <v>131</v>
      </c>
      <c r="D25" s="636"/>
      <c r="E25" s="636"/>
      <c r="F25" s="512" t="s">
        <v>132</v>
      </c>
      <c r="G25" s="412"/>
    </row>
    <row r="26" spans="2:8" ht="14.25" customHeight="1">
      <c r="B26" s="4"/>
      <c r="C26" s="511" t="s">
        <v>133</v>
      </c>
      <c r="D26" s="636"/>
      <c r="E26" s="636"/>
      <c r="F26" s="512" t="s">
        <v>134</v>
      </c>
      <c r="G26" s="412"/>
    </row>
    <row r="27" spans="2:8" ht="14.25" customHeight="1">
      <c r="B27" s="4"/>
      <c r="C27" s="511" t="s">
        <v>135</v>
      </c>
      <c r="D27" s="636"/>
      <c r="E27" s="636"/>
      <c r="F27" s="513" t="s">
        <v>136</v>
      </c>
      <c r="G27" s="412"/>
    </row>
    <row r="28" spans="2:8" ht="14.25" customHeight="1">
      <c r="B28" s="4"/>
      <c r="C28" s="511" t="s">
        <v>137</v>
      </c>
      <c r="D28" s="636"/>
      <c r="E28" s="636"/>
      <c r="F28" s="511" t="s">
        <v>138</v>
      </c>
      <c r="G28" s="412"/>
    </row>
    <row r="29" spans="2:8" ht="14.25" customHeight="1">
      <c r="B29" s="4"/>
      <c r="C29" s="511" t="s">
        <v>139</v>
      </c>
      <c r="D29" s="636"/>
      <c r="E29" s="636"/>
      <c r="F29" s="511" t="s">
        <v>140</v>
      </c>
      <c r="G29" s="412"/>
    </row>
    <row r="30" spans="2:8">
      <c r="B30" s="14"/>
      <c r="C30" s="4"/>
      <c r="D30" s="4"/>
      <c r="E30" s="4"/>
      <c r="F30" s="4"/>
      <c r="G30" s="4"/>
    </row>
    <row r="31" spans="2:8" ht="13.5" thickBot="1">
      <c r="B31" s="393"/>
      <c r="C31" s="393"/>
      <c r="D31" s="393"/>
      <c r="E31" s="393"/>
      <c r="F31" s="393"/>
      <c r="G31" s="393"/>
    </row>
    <row r="32" spans="2:8" ht="19.5" customHeight="1">
      <c r="B32" s="641" t="s">
        <v>93</v>
      </c>
      <c r="C32" s="642"/>
      <c r="D32" s="642"/>
      <c r="E32" s="642"/>
      <c r="F32" s="642"/>
      <c r="G32" s="642"/>
    </row>
    <row r="33" spans="2:7" ht="15.75" customHeight="1">
      <c r="B33" s="643" t="s">
        <v>94</v>
      </c>
      <c r="C33" s="644"/>
      <c r="D33" s="644"/>
      <c r="E33" s="643" t="s">
        <v>95</v>
      </c>
      <c r="F33" s="644"/>
      <c r="G33" s="6" t="s">
        <v>330</v>
      </c>
    </row>
    <row r="34" spans="2:7" ht="15.75" customHeight="1">
      <c r="B34" s="645" t="s">
        <v>141</v>
      </c>
      <c r="C34" s="646"/>
      <c r="D34" s="646"/>
      <c r="E34" s="647"/>
      <c r="F34" s="640"/>
      <c r="G34" s="381"/>
    </row>
    <row r="35" spans="2:7" ht="15.75" customHeight="1">
      <c r="B35" s="645" t="s">
        <v>396</v>
      </c>
      <c r="C35" s="646"/>
      <c r="D35" s="646"/>
      <c r="E35" s="647"/>
      <c r="F35" s="640"/>
      <c r="G35" s="381"/>
    </row>
    <row r="36" spans="2:7" ht="15.75" customHeight="1">
      <c r="B36" s="645" t="s">
        <v>121</v>
      </c>
      <c r="C36" s="646"/>
      <c r="D36" s="646"/>
      <c r="E36" s="639"/>
      <c r="F36" s="640"/>
      <c r="G36" s="381"/>
    </row>
    <row r="37" spans="2:7" ht="15.75" customHeight="1">
      <c r="B37" s="645" t="s">
        <v>106</v>
      </c>
      <c r="C37" s="646"/>
      <c r="D37" s="646"/>
      <c r="E37" s="647"/>
      <c r="F37" s="640"/>
      <c r="G37" s="381"/>
    </row>
    <row r="38" spans="2:7" ht="15.75" customHeight="1">
      <c r="B38" s="645" t="s">
        <v>142</v>
      </c>
      <c r="C38" s="646"/>
      <c r="D38" s="646"/>
      <c r="E38" s="647"/>
      <c r="F38" s="640"/>
      <c r="G38" s="381"/>
    </row>
    <row r="39" spans="2:7" ht="15.75" customHeight="1">
      <c r="B39" s="645" t="s">
        <v>328</v>
      </c>
      <c r="C39" s="646"/>
      <c r="D39" s="646"/>
      <c r="E39" s="652"/>
      <c r="F39" s="653"/>
      <c r="G39" s="381"/>
    </row>
    <row r="41" spans="2:7" ht="13.5" thickBot="1">
      <c r="B41" s="393"/>
      <c r="C41" s="393"/>
      <c r="D41" s="393"/>
      <c r="E41" s="393"/>
      <c r="F41" s="393"/>
      <c r="G41" s="393"/>
    </row>
    <row r="42" spans="2:7" ht="18" customHeight="1">
      <c r="B42" s="641" t="s">
        <v>379</v>
      </c>
      <c r="C42" s="642"/>
      <c r="D42" s="642"/>
      <c r="E42" s="642"/>
      <c r="F42" s="642"/>
      <c r="G42" s="642"/>
    </row>
    <row r="43" spans="2:7" ht="4.5" customHeight="1">
      <c r="B43" s="508"/>
      <c r="C43" s="11"/>
      <c r="D43" s="11"/>
      <c r="E43" s="11"/>
      <c r="F43" s="11"/>
      <c r="G43" s="11"/>
    </row>
    <row r="44" spans="2:7" ht="18" customHeight="1">
      <c r="B44" s="658" t="s">
        <v>380</v>
      </c>
      <c r="C44" s="658"/>
      <c r="D44" s="658"/>
      <c r="E44" s="658"/>
      <c r="F44" s="658"/>
      <c r="G44" s="510"/>
    </row>
    <row r="45" spans="2:7" ht="6" customHeight="1">
      <c r="B45" s="509"/>
      <c r="C45" s="509"/>
      <c r="D45" s="509"/>
      <c r="E45" s="509"/>
      <c r="F45" s="509"/>
      <c r="G45" s="509"/>
    </row>
    <row r="46" spans="2:7" ht="21" customHeight="1">
      <c r="B46" s="659" t="s">
        <v>117</v>
      </c>
      <c r="C46" s="660"/>
      <c r="D46" s="660"/>
    </row>
    <row r="47" spans="2:7" ht="138.75" customHeight="1">
      <c r="B47" s="654"/>
      <c r="C47" s="655"/>
      <c r="D47" s="655"/>
      <c r="E47" s="656"/>
      <c r="F47" s="656"/>
      <c r="G47" s="657"/>
    </row>
  </sheetData>
  <mergeCells count="31">
    <mergeCell ref="E39:F39"/>
    <mergeCell ref="B37:D37"/>
    <mergeCell ref="B42:G42"/>
    <mergeCell ref="B47:G47"/>
    <mergeCell ref="B44:F44"/>
    <mergeCell ref="B46:D46"/>
    <mergeCell ref="B38:D38"/>
    <mergeCell ref="B39:D39"/>
    <mergeCell ref="E38:F38"/>
    <mergeCell ref="E37:F37"/>
    <mergeCell ref="B9:G9"/>
    <mergeCell ref="B7:F7"/>
    <mergeCell ref="B10:F10"/>
    <mergeCell ref="D25:E25"/>
    <mergeCell ref="D26:E26"/>
    <mergeCell ref="B8:G8"/>
    <mergeCell ref="B21:G21"/>
    <mergeCell ref="D24:E24"/>
    <mergeCell ref="D29:E29"/>
    <mergeCell ref="F24:G24"/>
    <mergeCell ref="D27:E27"/>
    <mergeCell ref="D28:E28"/>
    <mergeCell ref="E36:F36"/>
    <mergeCell ref="B32:G32"/>
    <mergeCell ref="B33:D33"/>
    <mergeCell ref="B34:D34"/>
    <mergeCell ref="B35:D35"/>
    <mergeCell ref="B36:D36"/>
    <mergeCell ref="E35:F35"/>
    <mergeCell ref="E33:F33"/>
    <mergeCell ref="E34:F34"/>
  </mergeCells>
  <phoneticPr fontId="7" type="noConversion"/>
  <pageMargins left="0.74803149606299213" right="0.74803149606299213" top="0.98425196850393704" bottom="0.98425196850393704" header="0.51181102362204722" footer="0.51181102362204722"/>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M41"/>
  <sheetViews>
    <sheetView zoomScale="85" zoomScaleNormal="100" workbookViewId="0">
      <selection activeCell="A38" sqref="A38"/>
    </sheetView>
  </sheetViews>
  <sheetFormatPr defaultRowHeight="12.75"/>
  <cols>
    <col min="1" max="1" width="3.7109375" customWidth="1"/>
    <col min="2" max="2" width="17.28515625" customWidth="1"/>
    <col min="3" max="3" width="11" customWidth="1"/>
    <col min="4" max="4" width="10.28515625" customWidth="1"/>
    <col min="5" max="5" width="11.28515625" customWidth="1"/>
    <col min="6" max="6" width="9.7109375" customWidth="1"/>
    <col min="7" max="8" width="15.140625" customWidth="1"/>
    <col min="9" max="9" width="12.140625" customWidth="1"/>
    <col min="10" max="10" width="12.42578125" customWidth="1"/>
    <col min="11" max="11" width="8.85546875" customWidth="1"/>
    <col min="12" max="13" width="11" customWidth="1"/>
    <col min="14" max="14" width="13.140625" customWidth="1"/>
    <col min="15" max="16" width="11" customWidth="1"/>
    <col min="17" max="17" width="19" customWidth="1"/>
    <col min="20" max="24" width="9.28515625" bestFit="1" customWidth="1"/>
    <col min="26" max="29" width="9.28515625" style="73" bestFit="1" customWidth="1"/>
    <col min="30" max="30" width="9.28515625" bestFit="1" customWidth="1"/>
    <col min="31" max="31" width="12.7109375" bestFit="1" customWidth="1"/>
    <col min="42" max="45" width="12.7109375" bestFit="1" customWidth="1"/>
  </cols>
  <sheetData>
    <row r="1" spans="1:247" s="70" customFormat="1" ht="30" customHeight="1">
      <c r="A1" s="240" t="s">
        <v>458</v>
      </c>
      <c r="C1" s="240"/>
      <c r="D1" s="33"/>
      <c r="E1" s="33"/>
      <c r="F1" s="33"/>
      <c r="G1" s="33"/>
      <c r="H1" s="33"/>
      <c r="I1" s="33"/>
      <c r="J1" s="33"/>
    </row>
    <row r="2" spans="1:247" s="9" customFormat="1">
      <c r="A2" s="2"/>
      <c r="B2" s="42"/>
      <c r="C2" s="42"/>
      <c r="D2" s="41"/>
      <c r="E2" s="41"/>
      <c r="F2" s="41"/>
      <c r="G2" s="41"/>
      <c r="H2" s="41"/>
      <c r="I2" s="41"/>
      <c r="J2" s="41"/>
      <c r="K2" s="244"/>
      <c r="L2" s="244"/>
      <c r="M2" s="244"/>
      <c r="N2" s="244"/>
      <c r="O2" s="244"/>
      <c r="P2" s="244"/>
      <c r="Q2" s="245"/>
    </row>
    <row r="3" spans="1:247" s="4" customFormat="1">
      <c r="A3" s="1"/>
      <c r="B3" s="1"/>
      <c r="C3" s="1"/>
      <c r="D3" s="1"/>
      <c r="E3" s="1"/>
      <c r="F3" s="1"/>
      <c r="G3" s="1"/>
      <c r="H3" s="1"/>
      <c r="I3" s="1"/>
      <c r="J3" s="1"/>
      <c r="Z3" s="115"/>
      <c r="AA3" s="115"/>
      <c r="AB3" s="115"/>
      <c r="AC3" s="115"/>
    </row>
    <row r="4" spans="1:247" s="4" customFormat="1" ht="14.25">
      <c r="A4" s="123" t="s">
        <v>90</v>
      </c>
      <c r="B4" s="2"/>
      <c r="C4" s="2"/>
      <c r="D4" s="1"/>
      <c r="E4" s="1"/>
      <c r="F4" s="1"/>
      <c r="G4" s="1"/>
      <c r="H4" s="1"/>
      <c r="I4" s="1"/>
      <c r="J4" s="1"/>
    </row>
    <row r="5" spans="1:247" s="4" customFormat="1">
      <c r="A5" s="1"/>
      <c r="B5" s="44" t="s">
        <v>213</v>
      </c>
      <c r="C5" s="44"/>
      <c r="D5" s="1"/>
      <c r="E5" s="1"/>
      <c r="F5" s="1"/>
      <c r="G5" s="1"/>
      <c r="H5" s="1"/>
      <c r="I5" s="1"/>
      <c r="J5" s="1"/>
    </row>
    <row r="6" spans="1:247">
      <c r="A6" s="5"/>
      <c r="B6" s="124"/>
      <c r="C6" s="124"/>
      <c r="D6" s="5"/>
      <c r="E6" s="5"/>
      <c r="F6" s="5"/>
      <c r="G6" s="5"/>
      <c r="H6" s="5"/>
      <c r="I6" s="5"/>
      <c r="J6" s="5"/>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row>
    <row r="7" spans="1:247" ht="14.25">
      <c r="A7" s="123" t="s">
        <v>143</v>
      </c>
      <c r="B7" s="1"/>
      <c r="C7" s="1"/>
      <c r="D7" s="1"/>
      <c r="E7" s="1"/>
      <c r="F7" s="1"/>
      <c r="G7" s="1"/>
      <c r="H7" s="1"/>
      <c r="I7" s="1"/>
      <c r="J7" s="1"/>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row>
    <row r="8" spans="1:247">
      <c r="A8" s="125"/>
      <c r="B8" s="44" t="s">
        <v>212</v>
      </c>
      <c r="C8" s="44"/>
      <c r="D8" s="1"/>
      <c r="E8" s="1"/>
      <c r="F8" s="1"/>
      <c r="G8" s="1"/>
      <c r="H8" s="1"/>
      <c r="I8" s="1"/>
      <c r="J8" s="1"/>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row>
    <row r="9" spans="1:247">
      <c r="A9" s="126"/>
      <c r="B9" s="126"/>
      <c r="C9" s="126"/>
      <c r="D9" s="5"/>
      <c r="E9" s="5"/>
      <c r="F9" s="5"/>
      <c r="G9" s="5"/>
      <c r="H9" s="5"/>
      <c r="I9" s="5"/>
      <c r="J9" s="5"/>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row>
    <row r="10" spans="1:247" ht="14.25">
      <c r="A10" s="123" t="s">
        <v>145</v>
      </c>
      <c r="B10" s="125"/>
      <c r="C10" s="125"/>
      <c r="D10" s="1"/>
      <c r="E10" s="1"/>
      <c r="F10" s="1"/>
      <c r="G10" s="1"/>
      <c r="H10" s="1"/>
      <c r="I10" s="1"/>
      <c r="J10" s="1"/>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row>
    <row r="11" spans="1:247" ht="25.5">
      <c r="A11" s="123"/>
      <c r="B11" s="125"/>
      <c r="C11" s="125"/>
      <c r="D11" s="3"/>
      <c r="E11" s="241" t="s">
        <v>120</v>
      </c>
      <c r="F11" s="241" t="s">
        <v>33</v>
      </c>
      <c r="G11" s="241" t="s">
        <v>216</v>
      </c>
      <c r="H11" s="241" t="s">
        <v>217</v>
      </c>
      <c r="I11" s="103" t="s">
        <v>118</v>
      </c>
      <c r="J11" s="41" t="s">
        <v>218</v>
      </c>
      <c r="K11" s="10"/>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row>
    <row r="12" spans="1:247" ht="14.25">
      <c r="A12" s="123"/>
      <c r="B12" s="215" t="s">
        <v>214</v>
      </c>
      <c r="C12" s="435"/>
      <c r="D12" s="66"/>
      <c r="E12" s="102">
        <v>30</v>
      </c>
      <c r="F12" s="436"/>
      <c r="G12" s="436"/>
      <c r="H12" s="436"/>
      <c r="I12" s="243" t="str">
        <f>IF(ISBLANK(G12),"---",G12/H12)</f>
        <v>---</v>
      </c>
      <c r="J12" s="140" t="str">
        <f>IF(I12="---","---",I12/AVERAGE(I$12:I$16)-1)</f>
        <v>---</v>
      </c>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row>
    <row r="13" spans="1:247" ht="14.25">
      <c r="A13" s="123"/>
      <c r="B13" s="3"/>
      <c r="C13" s="242"/>
      <c r="D13" s="66"/>
      <c r="E13" s="102">
        <v>35</v>
      </c>
      <c r="F13" s="435"/>
      <c r="G13" s="435"/>
      <c r="H13" s="435"/>
      <c r="I13" s="243" t="str">
        <f>IF(ISBLANK(G13),"---",G13/H13)</f>
        <v>---</v>
      </c>
      <c r="J13" s="140" t="str">
        <f>IF(I13="---","---",I13/AVERAGE(I$12:I$16)-1)</f>
        <v>---</v>
      </c>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row>
    <row r="14" spans="1:247" ht="14.25">
      <c r="A14" s="123"/>
      <c r="B14" s="215" t="s">
        <v>215</v>
      </c>
      <c r="C14" s="435"/>
      <c r="D14" s="66"/>
      <c r="E14" s="102">
        <v>40</v>
      </c>
      <c r="F14" s="435"/>
      <c r="G14" s="435"/>
      <c r="H14" s="435"/>
      <c r="I14" s="243" t="str">
        <f>IF(ISBLANK(G14),"---",G14/H14)</f>
        <v>---</v>
      </c>
      <c r="J14" s="140" t="str">
        <f>IF(I14="---","---",I14/AVERAGE(I$12:I$16)-1)</f>
        <v>---</v>
      </c>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row>
    <row r="15" spans="1:247">
      <c r="A15" s="1"/>
      <c r="B15" s="44"/>
      <c r="C15" s="44"/>
      <c r="D15" s="66"/>
      <c r="E15" s="102">
        <v>45</v>
      </c>
      <c r="F15" s="435"/>
      <c r="G15" s="435"/>
      <c r="H15" s="435"/>
      <c r="I15" s="243" t="str">
        <f>IF(ISBLANK(G15),"---",G15/H15)</f>
        <v>---</v>
      </c>
      <c r="J15" s="140" t="str">
        <f>IF(I15="---","---",I15/AVERAGE(I$12:I$16)-1)</f>
        <v>---</v>
      </c>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row>
    <row r="16" spans="1:247">
      <c r="A16" s="1"/>
      <c r="B16" s="1"/>
      <c r="C16" s="1"/>
      <c r="D16" s="66"/>
      <c r="E16" s="102">
        <v>50</v>
      </c>
      <c r="F16" s="435"/>
      <c r="G16" s="435"/>
      <c r="H16" s="435"/>
      <c r="I16" s="243" t="str">
        <f>IF(ISBLANK(G16),"---",G16/H16)</f>
        <v>---</v>
      </c>
      <c r="J16" s="140" t="str">
        <f>IF(I16="---","---",I16/AVERAGE(I$12:I$16)-1)</f>
        <v>---</v>
      </c>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row>
    <row r="17" spans="1:247">
      <c r="A17" s="5"/>
      <c r="B17" s="5"/>
      <c r="C17" s="5"/>
      <c r="D17" s="5"/>
      <c r="E17" s="5"/>
      <c r="F17" s="128"/>
      <c r="G17" s="129"/>
      <c r="H17" s="124"/>
      <c r="I17" s="5"/>
      <c r="J17" s="5"/>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row>
    <row r="18" spans="1:247" ht="14.25">
      <c r="A18" s="123" t="s">
        <v>146</v>
      </c>
      <c r="B18" s="1"/>
      <c r="C18" s="1"/>
      <c r="D18" s="1"/>
      <c r="E18" s="1"/>
      <c r="F18" s="72"/>
      <c r="G18" s="130"/>
      <c r="H18" s="1"/>
      <c r="I18" s="1"/>
      <c r="J18" s="1"/>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row>
    <row r="19" spans="1:247">
      <c r="A19" s="1"/>
      <c r="B19" s="2"/>
      <c r="C19" s="44" t="s">
        <v>219</v>
      </c>
      <c r="D19" s="1"/>
      <c r="E19" s="3"/>
      <c r="F19" s="140" t="str">
        <f>IF(J16="---","---",MAX(MAX(J12:J16),-MIN(J12:J16)))</f>
        <v>---</v>
      </c>
      <c r="G19" s="130"/>
      <c r="H19" s="1"/>
      <c r="I19" s="1"/>
      <c r="J19" s="1"/>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row>
    <row r="20" spans="1:247">
      <c r="A20" s="5"/>
      <c r="B20" s="5"/>
      <c r="C20" s="5"/>
      <c r="D20" s="5"/>
      <c r="E20" s="5"/>
      <c r="F20" s="5"/>
      <c r="G20" s="5"/>
      <c r="H20" s="5"/>
      <c r="I20" s="5"/>
      <c r="J20" s="5"/>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row>
    <row r="21" spans="1:247" ht="14.25">
      <c r="A21" s="123" t="s">
        <v>148</v>
      </c>
      <c r="B21" s="1"/>
      <c r="C21" s="1"/>
      <c r="D21" s="1"/>
      <c r="E21" s="1"/>
      <c r="F21" s="1"/>
      <c r="G21" s="1"/>
      <c r="H21" s="1"/>
      <c r="I21" s="1"/>
      <c r="J21" s="1"/>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row>
    <row r="22" spans="1:247">
      <c r="A22" s="1"/>
      <c r="B22" s="1"/>
      <c r="C22" s="44" t="s">
        <v>220</v>
      </c>
      <c r="D22" s="1"/>
      <c r="E22" s="1"/>
      <c r="F22" s="1"/>
      <c r="G22" s="1"/>
      <c r="H22" s="1"/>
      <c r="I22" s="1"/>
      <c r="J22" s="1"/>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row>
    <row r="23" spans="1:247">
      <c r="A23" s="1"/>
      <c r="B23" s="44"/>
      <c r="C23" s="44"/>
      <c r="D23" s="1"/>
      <c r="E23" s="1"/>
      <c r="F23" s="1"/>
      <c r="G23" s="1"/>
      <c r="H23" s="1"/>
      <c r="I23" s="1"/>
      <c r="J23" s="1"/>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row>
    <row r="24" spans="1:247">
      <c r="A24" s="5"/>
      <c r="B24" s="5"/>
      <c r="C24" s="5"/>
      <c r="D24" s="5"/>
      <c r="E24" s="5"/>
      <c r="F24" s="5"/>
      <c r="G24" s="5"/>
      <c r="H24" s="5"/>
      <c r="I24" s="5"/>
      <c r="J24" s="5"/>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row>
    <row r="25" spans="1:247" ht="15" thickBot="1">
      <c r="A25" s="131" t="s">
        <v>160</v>
      </c>
      <c r="B25" s="132"/>
      <c r="C25" s="132"/>
      <c r="D25" s="132"/>
      <c r="E25" s="1"/>
      <c r="F25" s="1"/>
      <c r="G25" s="1"/>
      <c r="H25" s="1"/>
      <c r="I25" s="1"/>
      <c r="J25" s="1"/>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row>
    <row r="26" spans="1:247" ht="16.5" thickBot="1">
      <c r="A26" s="1"/>
      <c r="B26" s="1"/>
      <c r="C26" s="1"/>
      <c r="D26" s="1"/>
      <c r="E26" s="1"/>
      <c r="F26" s="122" t="str">
        <f>IF(F19="---","---",IF(F19&lt;0.15,"PASS","FAIL"))</f>
        <v>---</v>
      </c>
      <c r="G26" s="1"/>
      <c r="H26" s="1"/>
      <c r="I26" s="1"/>
      <c r="J26" s="1"/>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row>
    <row r="27" spans="1:247">
      <c r="A27" s="5"/>
      <c r="B27" s="5"/>
      <c r="C27" s="5"/>
      <c r="D27" s="5"/>
      <c r="E27" s="5"/>
      <c r="F27" s="5"/>
      <c r="G27" s="5"/>
      <c r="H27" s="5"/>
      <c r="I27" s="5"/>
      <c r="J27" s="5"/>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row>
    <row r="28" spans="1:247" ht="14.25">
      <c r="A28" s="123" t="s">
        <v>158</v>
      </c>
      <c r="B28" s="1"/>
      <c r="C28" s="1"/>
      <c r="D28" s="1"/>
      <c r="E28" s="1"/>
      <c r="F28" s="1"/>
      <c r="G28" s="1"/>
      <c r="H28" s="1"/>
      <c r="I28" s="1"/>
      <c r="J28" s="1"/>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row>
    <row r="29" spans="1:247">
      <c r="A29" s="568"/>
      <c r="B29" s="568"/>
      <c r="C29" s="568"/>
      <c r="D29" s="568"/>
      <c r="E29" s="568"/>
      <c r="F29" s="568"/>
      <c r="G29" s="568"/>
      <c r="H29" s="568"/>
      <c r="I29" s="568"/>
      <c r="J29" s="568"/>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row>
    <row r="30" spans="1:247">
      <c r="A30" s="568"/>
      <c r="B30" s="568"/>
      <c r="C30" s="568"/>
      <c r="D30" s="568"/>
      <c r="E30" s="568"/>
      <c r="F30" s="568"/>
      <c r="G30" s="568"/>
      <c r="H30" s="568"/>
      <c r="I30" s="568"/>
      <c r="J30" s="568"/>
      <c r="K30" s="4"/>
      <c r="L30" s="4"/>
      <c r="M30" s="4"/>
      <c r="N30" s="4"/>
      <c r="O30" s="4"/>
      <c r="P30" s="4"/>
      <c r="Q30" s="4"/>
      <c r="R30" s="4"/>
      <c r="S30" s="4"/>
      <c r="T30" s="4"/>
      <c r="U30" s="4"/>
      <c r="V30" s="4"/>
      <c r="W30" s="4"/>
      <c r="X30" s="4"/>
      <c r="Y30" s="4"/>
      <c r="Z30" s="115"/>
      <c r="AA30" s="115"/>
      <c r="AB30" s="115"/>
      <c r="AC30" s="115"/>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row>
    <row r="31" spans="1:247">
      <c r="A31" s="568"/>
      <c r="B31" s="568"/>
      <c r="C31" s="568"/>
      <c r="D31" s="568"/>
      <c r="E31" s="568"/>
      <c r="F31" s="568"/>
      <c r="G31" s="568"/>
      <c r="H31" s="568"/>
      <c r="I31" s="568"/>
      <c r="J31" s="568"/>
      <c r="K31" s="4"/>
      <c r="L31" s="4"/>
      <c r="M31" s="4"/>
      <c r="N31" s="4"/>
      <c r="O31" s="4"/>
      <c r="P31" s="4"/>
      <c r="Q31" s="4"/>
      <c r="R31" s="4"/>
      <c r="S31" s="4"/>
      <c r="T31" s="4"/>
      <c r="U31" s="4"/>
      <c r="V31" s="4"/>
      <c r="W31" s="4"/>
      <c r="X31" s="4"/>
      <c r="Y31" s="4"/>
      <c r="Z31" s="115"/>
      <c r="AA31" s="115"/>
      <c r="AB31" s="115"/>
      <c r="AC31" s="115"/>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row>
    <row r="32" spans="1:247">
      <c r="A32" s="568"/>
      <c r="B32" s="568"/>
      <c r="C32" s="568"/>
      <c r="D32" s="568"/>
      <c r="E32" s="568"/>
      <c r="F32" s="568"/>
      <c r="G32" s="568"/>
      <c r="H32" s="568"/>
      <c r="I32" s="568"/>
      <c r="J32" s="568"/>
      <c r="K32" s="4"/>
      <c r="L32" s="4"/>
      <c r="M32" s="4"/>
      <c r="N32" s="4"/>
      <c r="O32" s="4"/>
      <c r="P32" s="4"/>
      <c r="Q32" s="4"/>
      <c r="R32" s="4"/>
      <c r="S32" s="4"/>
      <c r="T32" s="4"/>
      <c r="U32" s="4"/>
      <c r="V32" s="4"/>
      <c r="W32" s="4"/>
      <c r="X32" s="4"/>
      <c r="Y32" s="4"/>
      <c r="Z32" s="115"/>
      <c r="AA32" s="115"/>
      <c r="AB32" s="115"/>
      <c r="AC32" s="115"/>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row>
    <row r="33" spans="1:10">
      <c r="A33" s="564"/>
      <c r="B33" s="564"/>
      <c r="C33" s="564"/>
      <c r="D33" s="564"/>
      <c r="E33" s="564"/>
      <c r="F33" s="564"/>
      <c r="G33" s="564"/>
      <c r="H33" s="564"/>
      <c r="I33" s="564"/>
      <c r="J33" s="564"/>
    </row>
    <row r="34" spans="1:10">
      <c r="A34" s="564"/>
      <c r="B34" s="564"/>
      <c r="C34" s="564"/>
      <c r="D34" s="564"/>
      <c r="E34" s="564"/>
      <c r="F34" s="564"/>
      <c r="G34" s="564"/>
      <c r="H34" s="564"/>
      <c r="I34" s="564"/>
      <c r="J34" s="564"/>
    </row>
    <row r="35" spans="1:10">
      <c r="A35" s="564"/>
      <c r="B35" s="564"/>
      <c r="C35" s="564"/>
      <c r="D35" s="564"/>
      <c r="E35" s="564"/>
      <c r="F35" s="564"/>
      <c r="G35" s="564"/>
      <c r="H35" s="564"/>
      <c r="I35" s="564"/>
      <c r="J35" s="564"/>
    </row>
    <row r="36" spans="1:10">
      <c r="A36" s="564"/>
      <c r="B36" s="564"/>
      <c r="C36" s="564"/>
      <c r="D36" s="564"/>
      <c r="E36" s="564"/>
      <c r="F36" s="564"/>
      <c r="G36" s="564"/>
      <c r="H36" s="564"/>
      <c r="I36" s="564"/>
      <c r="J36" s="564"/>
    </row>
    <row r="37" spans="1:10">
      <c r="A37" s="564"/>
      <c r="B37" s="564"/>
      <c r="C37" s="564"/>
      <c r="D37" s="564"/>
      <c r="E37" s="564"/>
      <c r="F37" s="564"/>
      <c r="G37" s="564"/>
      <c r="H37" s="564"/>
      <c r="I37" s="564"/>
      <c r="J37" s="564"/>
    </row>
    <row r="38" spans="1:10">
      <c r="A38" s="564"/>
      <c r="B38" s="564"/>
      <c r="C38" s="564"/>
      <c r="D38" s="564"/>
      <c r="E38" s="564"/>
      <c r="F38" s="564"/>
      <c r="G38" s="564"/>
      <c r="H38" s="564"/>
      <c r="I38" s="564"/>
      <c r="J38" s="564"/>
    </row>
    <row r="39" spans="1:10">
      <c r="A39" s="564"/>
      <c r="B39" s="564"/>
      <c r="C39" s="564"/>
      <c r="D39" s="564"/>
      <c r="E39" s="564"/>
      <c r="F39" s="564"/>
      <c r="G39" s="564"/>
      <c r="H39" s="564"/>
      <c r="I39" s="564"/>
      <c r="J39" s="564"/>
    </row>
    <row r="40" spans="1:10">
      <c r="A40" s="564"/>
      <c r="B40" s="564"/>
      <c r="C40" s="564"/>
      <c r="D40" s="564"/>
      <c r="E40" s="564"/>
      <c r="F40" s="564"/>
      <c r="G40" s="564"/>
      <c r="H40" s="564"/>
      <c r="I40" s="564"/>
      <c r="J40" s="564"/>
    </row>
    <row r="41" spans="1:10">
      <c r="A41" s="564"/>
      <c r="B41" s="564"/>
      <c r="C41" s="564"/>
      <c r="D41" s="564"/>
      <c r="E41" s="564"/>
      <c r="F41" s="564"/>
      <c r="G41" s="564"/>
      <c r="H41" s="564"/>
      <c r="I41" s="564"/>
      <c r="J41" s="564"/>
    </row>
  </sheetData>
  <phoneticPr fontId="7" type="noConversion"/>
  <pageMargins left="0.75" right="0.75" top="1" bottom="1" header="0.5" footer="0.5"/>
  <pageSetup orientation="landscape" horizontalDpi="400" verticalDpi="4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tabColor indexed="34"/>
  </sheetPr>
  <dimension ref="A1:W121"/>
  <sheetViews>
    <sheetView topLeftCell="A55" zoomScale="85" zoomScaleNormal="100" zoomScaleSheetLayoutView="100" workbookViewId="0">
      <selection activeCell="N61" sqref="N61"/>
    </sheetView>
  </sheetViews>
  <sheetFormatPr defaultRowHeight="12.75"/>
  <cols>
    <col min="1" max="1" width="4.85546875" customWidth="1"/>
    <col min="2" max="3" width="11.7109375" customWidth="1"/>
    <col min="4" max="4" width="6.140625" customWidth="1"/>
    <col min="5" max="5" width="11.85546875" customWidth="1"/>
    <col min="6" max="6" width="7" customWidth="1"/>
    <col min="7" max="7" width="12.28515625" customWidth="1"/>
    <col min="8" max="8" width="5.42578125" customWidth="1"/>
    <col min="9" max="9" width="12.28515625" customWidth="1"/>
    <col min="10" max="10" width="6.42578125" customWidth="1"/>
    <col min="11" max="11" width="12.140625" customWidth="1"/>
    <col min="12" max="12" width="11.7109375" customWidth="1"/>
    <col min="13" max="13" width="24" customWidth="1"/>
    <col min="14" max="14" width="24.85546875" customWidth="1"/>
  </cols>
  <sheetData>
    <row r="1" spans="1:23" s="64" customFormat="1" ht="33.75" customHeight="1">
      <c r="A1" s="240" t="s">
        <v>424</v>
      </c>
      <c r="C1" s="77"/>
      <c r="D1" s="77"/>
      <c r="E1" s="77"/>
      <c r="F1" s="77"/>
      <c r="G1" s="77"/>
      <c r="H1" s="77"/>
      <c r="I1" s="81"/>
      <c r="J1" s="81"/>
      <c r="K1" s="81"/>
      <c r="L1" s="62"/>
      <c r="M1" s="62"/>
      <c r="N1" s="62"/>
      <c r="O1" s="62"/>
      <c r="P1" s="62"/>
      <c r="Q1" s="62"/>
      <c r="R1" s="62"/>
      <c r="S1" s="62"/>
      <c r="T1" s="62"/>
      <c r="U1" s="62"/>
      <c r="V1" s="62"/>
      <c r="W1" s="62"/>
    </row>
    <row r="2" spans="1:23" s="62" customFormat="1" ht="15.75" customHeight="1">
      <c r="A2" s="526"/>
      <c r="B2" s="526"/>
      <c r="C2" s="526"/>
      <c r="D2" s="527"/>
      <c r="E2" s="527"/>
      <c r="F2" s="527"/>
      <c r="G2" s="527"/>
      <c r="H2" s="527"/>
      <c r="I2" s="528"/>
      <c r="J2" s="528"/>
      <c r="K2" s="529"/>
      <c r="L2" s="534"/>
      <c r="M2" s="534"/>
    </row>
    <row r="3" spans="1:23" s="62" customFormat="1" ht="15.75" customHeight="1">
      <c r="A3" s="525" t="s">
        <v>384</v>
      </c>
      <c r="B3" s="530"/>
      <c r="C3" s="530"/>
      <c r="D3" s="65"/>
      <c r="E3" s="65"/>
      <c r="F3" s="65"/>
      <c r="G3" s="65"/>
      <c r="H3" s="65"/>
      <c r="I3" s="531"/>
      <c r="J3" s="531"/>
      <c r="K3" s="532"/>
    </row>
    <row r="4" spans="1:23" s="62" customFormat="1" ht="15" customHeight="1">
      <c r="A4" s="533" t="s">
        <v>385</v>
      </c>
      <c r="B4" s="524"/>
      <c r="C4" s="524"/>
      <c r="D4" s="524"/>
      <c r="E4" s="524"/>
      <c r="F4" s="524"/>
      <c r="G4" s="524"/>
      <c r="H4" s="524"/>
      <c r="I4" s="524"/>
      <c r="J4" s="524"/>
      <c r="K4" s="524"/>
      <c r="L4" s="524"/>
      <c r="M4" s="524"/>
      <c r="N4" s="524"/>
    </row>
    <row r="5" spans="1:23" s="1" customFormat="1" ht="18">
      <c r="A5" s="163"/>
      <c r="B5" s="163"/>
      <c r="C5" s="163"/>
      <c r="D5" s="81"/>
      <c r="E5" s="81"/>
      <c r="F5" s="81"/>
      <c r="G5" s="81"/>
      <c r="H5" s="81"/>
      <c r="I5" s="83"/>
      <c r="J5" s="83"/>
      <c r="K5" s="84"/>
      <c r="L5" s="62"/>
      <c r="M5" s="62"/>
      <c r="N5" s="62"/>
    </row>
    <row r="6" spans="1:23" s="1" customFormat="1" ht="14.25">
      <c r="A6" s="123" t="s">
        <v>90</v>
      </c>
      <c r="B6" s="2"/>
    </row>
    <row r="7" spans="1:23" s="1" customFormat="1">
      <c r="A7" s="3"/>
      <c r="B7" s="3" t="s">
        <v>204</v>
      </c>
      <c r="C7" s="3"/>
      <c r="D7" s="3"/>
      <c r="E7" s="3"/>
      <c r="F7" s="3"/>
      <c r="G7" s="3"/>
      <c r="H7" s="3"/>
      <c r="I7" s="3"/>
      <c r="J7" s="3"/>
      <c r="K7" s="3"/>
      <c r="L7" s="3"/>
      <c r="M7" s="3"/>
    </row>
    <row r="8" spans="1:23" s="1" customFormat="1">
      <c r="A8" s="5"/>
      <c r="B8" s="124"/>
      <c r="C8" s="5"/>
      <c r="D8" s="5"/>
      <c r="E8" s="5"/>
      <c r="F8" s="5"/>
      <c r="G8" s="5"/>
      <c r="H8" s="5"/>
      <c r="I8" s="5"/>
      <c r="J8" s="5"/>
      <c r="K8" s="5"/>
      <c r="L8" s="5"/>
      <c r="M8" s="5"/>
    </row>
    <row r="9" spans="1:23" s="1" customFormat="1" ht="14.25">
      <c r="A9" s="123" t="s">
        <v>143</v>
      </c>
    </row>
    <row r="10" spans="1:23" s="1" customFormat="1" ht="14.25" customHeight="1">
      <c r="A10" s="123"/>
      <c r="B10" s="556"/>
      <c r="C10" s="557" t="s">
        <v>184</v>
      </c>
      <c r="D10" s="556"/>
      <c r="E10" s="556"/>
      <c r="F10" s="556"/>
      <c r="G10" s="556"/>
      <c r="H10" s="556"/>
      <c r="I10" s="556"/>
      <c r="J10" s="556"/>
      <c r="K10" s="556"/>
      <c r="L10" s="556"/>
      <c r="M10" s="556"/>
    </row>
    <row r="11" spans="1:23" s="1" customFormat="1" ht="14.25" customHeight="1">
      <c r="A11" s="123"/>
      <c r="B11" s="556"/>
      <c r="C11" s="558" t="s">
        <v>55</v>
      </c>
      <c r="D11" s="556"/>
      <c r="E11" s="556"/>
      <c r="F11" s="556"/>
      <c r="G11" s="556"/>
      <c r="H11" s="556"/>
      <c r="I11" s="556"/>
      <c r="J11" s="556"/>
      <c r="K11" s="556"/>
      <c r="L11" s="556"/>
      <c r="M11" s="556"/>
    </row>
    <row r="12" spans="1:23" s="1" customFormat="1" ht="14.25" customHeight="1">
      <c r="A12" s="123"/>
      <c r="B12" s="556"/>
      <c r="C12" s="558" t="s">
        <v>56</v>
      </c>
      <c r="D12" s="556"/>
      <c r="E12" s="556"/>
      <c r="F12" s="556"/>
      <c r="G12" s="556"/>
      <c r="H12" s="556"/>
      <c r="I12" s="556"/>
      <c r="J12" s="556"/>
      <c r="K12" s="556"/>
      <c r="L12" s="556"/>
      <c r="M12" s="556"/>
    </row>
    <row r="13" spans="1:23" s="1" customFormat="1" ht="14.25" customHeight="1">
      <c r="A13" s="123"/>
      <c r="B13" s="556"/>
      <c r="C13" s="558" t="s">
        <v>404</v>
      </c>
      <c r="D13" s="556"/>
      <c r="E13" s="556"/>
      <c r="F13" s="556"/>
      <c r="G13" s="556"/>
      <c r="H13" s="556"/>
      <c r="I13" s="556"/>
      <c r="J13" s="556"/>
      <c r="K13" s="556"/>
      <c r="L13" s="556"/>
      <c r="M13" s="556"/>
    </row>
    <row r="14" spans="1:23" s="1" customFormat="1" ht="14.25" customHeight="1">
      <c r="A14" s="123"/>
      <c r="B14" s="556"/>
      <c r="C14" s="558" t="s">
        <v>57</v>
      </c>
      <c r="D14" s="556"/>
      <c r="E14" s="556"/>
      <c r="F14" s="556"/>
      <c r="G14" s="556"/>
      <c r="H14" s="556"/>
      <c r="I14" s="556"/>
      <c r="J14" s="556"/>
      <c r="K14" s="556"/>
      <c r="L14" s="556"/>
      <c r="M14" s="556"/>
    </row>
    <row r="15" spans="1:23" s="1" customFormat="1" ht="14.25" customHeight="1">
      <c r="A15" s="123"/>
      <c r="B15" s="556"/>
      <c r="C15" s="559" t="s">
        <v>394</v>
      </c>
      <c r="D15" s="556"/>
      <c r="E15" s="556"/>
      <c r="F15" s="556"/>
      <c r="G15" s="556"/>
      <c r="H15" s="556"/>
      <c r="I15" s="556"/>
      <c r="J15" s="556"/>
      <c r="K15" s="556"/>
      <c r="L15" s="556"/>
      <c r="M15" s="556"/>
    </row>
    <row r="16" spans="1:23" s="1" customFormat="1" ht="14.25" customHeight="1">
      <c r="A16" s="123"/>
      <c r="B16" s="556"/>
      <c r="C16" s="556"/>
      <c r="D16" s="556"/>
      <c r="E16" s="556"/>
      <c r="F16" s="556"/>
      <c r="G16" s="556"/>
      <c r="H16" s="556"/>
      <c r="I16" s="556"/>
      <c r="J16" s="556"/>
      <c r="K16" s="556"/>
      <c r="L16" s="556"/>
      <c r="M16" s="556"/>
    </row>
    <row r="17" spans="1:13" s="1" customFormat="1" ht="14.25" customHeight="1">
      <c r="A17" s="123"/>
      <c r="B17" s="556"/>
      <c r="C17" s="557" t="s">
        <v>58</v>
      </c>
      <c r="D17" s="556"/>
      <c r="E17" s="556"/>
      <c r="F17" s="556"/>
      <c r="G17" s="556"/>
      <c r="H17" s="556"/>
      <c r="I17" s="556"/>
      <c r="J17" s="556"/>
      <c r="K17" s="556"/>
      <c r="L17" s="556"/>
      <c r="M17" s="556"/>
    </row>
    <row r="18" spans="1:13" s="1" customFormat="1" ht="14.25" customHeight="1">
      <c r="A18" s="123"/>
      <c r="B18" s="560">
        <v>1</v>
      </c>
      <c r="C18" s="561" t="s">
        <v>59</v>
      </c>
      <c r="D18" s="556"/>
      <c r="E18" s="556"/>
      <c r="F18" s="556"/>
      <c r="G18" s="556"/>
      <c r="H18" s="556"/>
      <c r="I18" s="556"/>
      <c r="J18" s="556"/>
      <c r="K18" s="556"/>
      <c r="L18" s="556"/>
      <c r="M18" s="556"/>
    </row>
    <row r="19" spans="1:13" s="1" customFormat="1" ht="14.25" customHeight="1">
      <c r="A19" s="123"/>
      <c r="B19" s="560">
        <v>2</v>
      </c>
      <c r="C19" s="562" t="s">
        <v>60</v>
      </c>
      <c r="D19" s="556"/>
      <c r="E19" s="556"/>
      <c r="F19" s="556"/>
      <c r="G19" s="556"/>
      <c r="H19" s="556"/>
      <c r="I19" s="556"/>
      <c r="J19" s="556"/>
      <c r="K19" s="556"/>
      <c r="L19" s="556"/>
      <c r="M19" s="556"/>
    </row>
    <row r="20" spans="1:13" s="1" customFormat="1" ht="14.25" customHeight="1">
      <c r="A20" s="123"/>
      <c r="B20" s="560"/>
      <c r="C20" s="561" t="s">
        <v>63</v>
      </c>
      <c r="E20" s="560" t="s">
        <v>64</v>
      </c>
      <c r="F20" s="556"/>
      <c r="G20" s="556"/>
      <c r="H20" s="556"/>
      <c r="I20" s="556"/>
      <c r="J20" s="556"/>
      <c r="K20" s="556"/>
      <c r="L20" s="556"/>
      <c r="M20" s="556"/>
    </row>
    <row r="21" spans="1:13" s="1" customFormat="1" ht="14.25" customHeight="1">
      <c r="A21" s="123"/>
      <c r="B21" s="560"/>
      <c r="C21" s="561" t="s">
        <v>61</v>
      </c>
      <c r="E21" s="560" t="s">
        <v>62</v>
      </c>
      <c r="F21" s="556"/>
      <c r="G21" s="556"/>
      <c r="H21" s="556"/>
      <c r="I21" s="556"/>
      <c r="J21" s="556"/>
      <c r="K21" s="556"/>
      <c r="L21" s="556"/>
      <c r="M21" s="556"/>
    </row>
    <row r="22" spans="1:13" s="1" customFormat="1" ht="14.25" customHeight="1">
      <c r="A22" s="123"/>
      <c r="B22" s="560"/>
      <c r="C22" s="561" t="s">
        <v>65</v>
      </c>
      <c r="E22" s="560" t="s">
        <v>66</v>
      </c>
      <c r="F22" s="556"/>
      <c r="G22" s="556"/>
      <c r="H22" s="556"/>
      <c r="I22" s="556"/>
      <c r="J22" s="556"/>
      <c r="K22" s="556"/>
      <c r="L22" s="556"/>
      <c r="M22" s="556"/>
    </row>
    <row r="23" spans="1:13" s="1" customFormat="1" ht="14.25" customHeight="1">
      <c r="A23" s="234"/>
      <c r="B23" s="560">
        <v>3</v>
      </c>
      <c r="C23" s="561" t="s">
        <v>395</v>
      </c>
      <c r="D23" s="563"/>
      <c r="E23" s="563"/>
      <c r="F23" s="563"/>
      <c r="G23" s="563"/>
      <c r="H23" s="563"/>
      <c r="I23" s="563"/>
      <c r="J23" s="563"/>
      <c r="K23" s="556"/>
      <c r="L23" s="556"/>
      <c r="M23" s="556"/>
    </row>
    <row r="24" spans="1:13" s="1" customFormat="1" ht="14.25" customHeight="1">
      <c r="A24" s="234"/>
      <c r="B24" s="560">
        <v>4</v>
      </c>
      <c r="C24" s="561" t="s">
        <v>399</v>
      </c>
      <c r="D24" s="563"/>
      <c r="E24" s="563"/>
      <c r="F24" s="563"/>
      <c r="G24" s="563"/>
      <c r="H24" s="563"/>
      <c r="I24" s="563"/>
      <c r="J24" s="563"/>
      <c r="K24" s="556"/>
      <c r="L24" s="556"/>
      <c r="M24" s="556"/>
    </row>
    <row r="25" spans="1:13" s="1" customFormat="1" ht="14.25" customHeight="1">
      <c r="A25" s="234"/>
      <c r="B25" s="560">
        <v>5</v>
      </c>
      <c r="C25" s="561" t="s">
        <v>67</v>
      </c>
      <c r="D25" s="563"/>
      <c r="E25" s="563"/>
      <c r="F25" s="563"/>
      <c r="G25" s="563"/>
      <c r="H25" s="563"/>
      <c r="I25" s="563"/>
      <c r="J25" s="563"/>
      <c r="K25" s="556"/>
      <c r="L25" s="556"/>
      <c r="M25" s="556"/>
    </row>
    <row r="26" spans="1:13" s="1" customFormat="1" ht="14.25" customHeight="1">
      <c r="A26" s="234"/>
      <c r="B26" s="560">
        <v>6</v>
      </c>
      <c r="C26" s="561" t="s">
        <v>68</v>
      </c>
      <c r="D26" s="563"/>
      <c r="E26" s="563"/>
      <c r="F26" s="563"/>
      <c r="G26" s="563"/>
      <c r="H26" s="563"/>
      <c r="I26" s="563"/>
      <c r="J26" s="563"/>
      <c r="K26" s="556"/>
      <c r="L26" s="556"/>
      <c r="M26" s="556"/>
    </row>
    <row r="27" spans="1:13" s="1" customFormat="1" ht="14.25" customHeight="1">
      <c r="A27" s="234"/>
      <c r="B27" s="560">
        <v>7</v>
      </c>
      <c r="C27" s="551" t="s">
        <v>452</v>
      </c>
      <c r="D27" s="563"/>
      <c r="E27" s="563"/>
      <c r="F27" s="563"/>
      <c r="G27" s="563"/>
      <c r="H27" s="563"/>
      <c r="I27" s="563"/>
      <c r="J27" s="563"/>
      <c r="K27" s="556"/>
      <c r="L27" s="556"/>
      <c r="M27" s="556"/>
    </row>
    <row r="28" spans="1:13" s="1" customFormat="1" ht="14.25" customHeight="1">
      <c r="A28" s="234"/>
      <c r="B28" s="560">
        <v>8</v>
      </c>
      <c r="C28" s="561" t="s">
        <v>69</v>
      </c>
      <c r="D28" s="563"/>
      <c r="E28" s="563"/>
      <c r="F28" s="563"/>
      <c r="G28" s="563"/>
      <c r="H28" s="563"/>
      <c r="I28" s="563"/>
      <c r="J28" s="563"/>
      <c r="K28" s="556"/>
      <c r="L28" s="556"/>
      <c r="M28" s="556"/>
    </row>
    <row r="29" spans="1:13" s="1" customFormat="1" ht="14.25" customHeight="1">
      <c r="A29" s="234"/>
      <c r="B29" s="74"/>
      <c r="C29" s="43"/>
      <c r="D29" s="3"/>
      <c r="E29" s="3"/>
      <c r="F29" s="3"/>
      <c r="G29" s="3"/>
      <c r="H29" s="3"/>
      <c r="I29" s="3"/>
      <c r="J29" s="3"/>
    </row>
    <row r="30" spans="1:13" s="1" customFormat="1" ht="14.25" customHeight="1">
      <c r="A30" s="234"/>
      <c r="B30" s="74"/>
      <c r="C30" s="43"/>
      <c r="D30" s="3"/>
      <c r="E30" s="3"/>
      <c r="F30" s="3"/>
      <c r="G30" s="3"/>
      <c r="H30" s="3"/>
      <c r="I30" s="3"/>
      <c r="J30" s="3"/>
    </row>
    <row r="31" spans="1:13" s="1" customFormat="1" ht="14.25" customHeight="1">
      <c r="A31" s="234"/>
      <c r="B31" s="74"/>
      <c r="D31" s="3"/>
      <c r="E31" s="3"/>
      <c r="F31" s="3"/>
      <c r="G31" s="3"/>
      <c r="H31" s="3"/>
      <c r="I31" s="3"/>
      <c r="J31" s="3"/>
    </row>
    <row r="32" spans="1:13" s="1" customFormat="1" ht="123" customHeight="1">
      <c r="A32" s="234"/>
      <c r="B32" s="74"/>
      <c r="C32" s="43"/>
      <c r="D32" s="3"/>
      <c r="E32" s="3"/>
      <c r="F32" s="3"/>
      <c r="G32" s="3"/>
      <c r="H32" s="3"/>
      <c r="I32" s="3"/>
      <c r="J32" s="3"/>
    </row>
    <row r="33" spans="1:19" s="1" customFormat="1" ht="123" customHeight="1">
      <c r="A33" s="234"/>
      <c r="B33" s="74"/>
      <c r="C33" s="43"/>
      <c r="D33" s="3"/>
      <c r="E33" s="3"/>
      <c r="F33" s="3"/>
      <c r="G33" s="3"/>
      <c r="H33" s="3"/>
      <c r="I33" s="3"/>
      <c r="J33" s="3"/>
    </row>
    <row r="34" spans="1:19" s="1" customFormat="1" ht="123" customHeight="1">
      <c r="A34" s="234"/>
      <c r="B34" s="74"/>
      <c r="C34" s="43"/>
      <c r="D34" s="3"/>
      <c r="E34" s="3"/>
      <c r="F34" s="3"/>
      <c r="G34" s="3"/>
      <c r="H34" s="3"/>
      <c r="I34" s="3"/>
      <c r="J34" s="3"/>
    </row>
    <row r="35" spans="1:19" s="1" customFormat="1" ht="14.25" customHeight="1">
      <c r="A35" s="234"/>
      <c r="B35" s="74"/>
      <c r="C35" s="43"/>
      <c r="D35" s="3"/>
      <c r="E35" s="3"/>
      <c r="F35" s="3"/>
      <c r="G35" s="3"/>
      <c r="H35" s="3"/>
      <c r="I35" s="3"/>
      <c r="J35" s="3"/>
    </row>
    <row r="36" spans="1:19" s="1" customFormat="1" ht="14.25" customHeight="1">
      <c r="A36" s="234"/>
      <c r="B36" s="74"/>
      <c r="C36" s="43"/>
      <c r="D36" s="3"/>
      <c r="E36" s="3"/>
      <c r="F36" s="3"/>
      <c r="G36" s="3"/>
      <c r="H36" s="3"/>
      <c r="I36" s="3"/>
      <c r="J36" s="3"/>
    </row>
    <row r="37" spans="1:19" s="1" customFormat="1" ht="14.25" customHeight="1">
      <c r="A37" s="234"/>
      <c r="B37" s="74"/>
      <c r="C37" s="43"/>
      <c r="D37" s="3"/>
      <c r="E37" s="3"/>
      <c r="F37" s="3"/>
      <c r="G37" s="3"/>
      <c r="H37" s="3"/>
      <c r="I37" s="3"/>
      <c r="J37" s="3"/>
    </row>
    <row r="38" spans="1:19" s="1" customFormat="1" ht="14.25" customHeight="1">
      <c r="A38" s="234"/>
      <c r="B38" s="74"/>
      <c r="C38" s="43"/>
      <c r="D38" s="3"/>
      <c r="E38" s="3"/>
      <c r="F38" s="3"/>
      <c r="G38" s="3"/>
      <c r="H38" s="3"/>
      <c r="I38" s="3"/>
      <c r="J38" s="3"/>
    </row>
    <row r="39" spans="1:19" s="1" customFormat="1" ht="14.25" customHeight="1">
      <c r="A39" s="234"/>
      <c r="B39" s="45"/>
      <c r="C39" s="43"/>
      <c r="D39" s="3"/>
      <c r="E39" s="3"/>
      <c r="F39" s="3"/>
      <c r="G39" s="3"/>
      <c r="H39" s="3"/>
      <c r="I39" s="3"/>
      <c r="J39" s="3"/>
    </row>
    <row r="40" spans="1:19" s="1" customFormat="1">
      <c r="A40" s="126"/>
      <c r="B40" s="75"/>
      <c r="C40" s="5"/>
      <c r="D40" s="5"/>
      <c r="E40" s="5"/>
      <c r="F40" s="5"/>
      <c r="G40" s="5"/>
      <c r="H40" s="5"/>
      <c r="I40" s="5"/>
      <c r="J40" s="5"/>
      <c r="K40" s="5"/>
    </row>
    <row r="41" spans="1:19" s="20" customFormat="1" ht="18.75" customHeight="1">
      <c r="A41" s="123" t="s">
        <v>186</v>
      </c>
      <c r="B41" s="125"/>
      <c r="C41" s="1"/>
      <c r="D41" s="1"/>
      <c r="E41" s="1"/>
      <c r="F41" s="1"/>
      <c r="G41" s="1"/>
      <c r="H41" s="1"/>
      <c r="I41" s="1"/>
      <c r="J41" s="1"/>
      <c r="K41" s="1"/>
      <c r="L41" s="1"/>
      <c r="M41" s="1"/>
      <c r="N41" s="1"/>
      <c r="O41" s="2"/>
      <c r="P41" s="2"/>
      <c r="Q41" s="2"/>
      <c r="R41" s="2"/>
      <c r="S41" s="2"/>
    </row>
    <row r="42" spans="1:19" s="32" customFormat="1" ht="14.25" customHeight="1">
      <c r="A42" s="533"/>
      <c r="B42" s="125"/>
      <c r="C42" s="535"/>
      <c r="D42" s="535"/>
      <c r="E42" s="535"/>
      <c r="F42" s="535"/>
      <c r="G42" s="535"/>
      <c r="H42" s="535"/>
      <c r="I42" s="535"/>
      <c r="J42" s="535"/>
      <c r="K42" s="535"/>
      <c r="L42" s="535"/>
      <c r="M42" s="535"/>
      <c r="N42" s="535"/>
      <c r="O42" s="44"/>
      <c r="P42" s="44"/>
      <c r="Q42" s="44"/>
      <c r="R42" s="44"/>
      <c r="S42" s="44"/>
    </row>
    <row r="43" spans="1:19" s="32" customFormat="1" ht="14.25" customHeight="1">
      <c r="A43" s="533"/>
      <c r="B43" s="536" t="s">
        <v>114</v>
      </c>
      <c r="C43" s="714" t="s">
        <v>115</v>
      </c>
      <c r="D43" s="714"/>
      <c r="E43" s="714"/>
      <c r="F43" s="715"/>
      <c r="G43" s="715"/>
      <c r="H43" s="749" t="s">
        <v>189</v>
      </c>
      <c r="I43" s="750"/>
      <c r="J43" s="750"/>
      <c r="K43" s="750"/>
      <c r="L43" s="751"/>
      <c r="M43" s="543"/>
      <c r="N43" s="535"/>
      <c r="O43" s="44"/>
      <c r="P43" s="44"/>
      <c r="Q43" s="44"/>
      <c r="R43" s="44"/>
      <c r="S43" s="44"/>
    </row>
    <row r="44" spans="1:19" s="20" customFormat="1" ht="21.75" customHeight="1">
      <c r="A44" s="123"/>
      <c r="B44" s="747">
        <v>1</v>
      </c>
      <c r="C44" s="754" t="s">
        <v>386</v>
      </c>
      <c r="D44" s="755"/>
      <c r="E44" s="755"/>
      <c r="F44" s="755"/>
      <c r="G44" s="756"/>
      <c r="H44" s="537"/>
      <c r="I44" s="538"/>
      <c r="J44" s="538"/>
      <c r="K44" s="538"/>
      <c r="L44" s="539"/>
      <c r="M44" s="3"/>
      <c r="N44" s="1"/>
      <c r="O44" s="2"/>
      <c r="P44" s="2"/>
      <c r="Q44" s="2"/>
      <c r="R44" s="2"/>
      <c r="S44" s="2"/>
    </row>
    <row r="45" spans="1:19" s="20" customFormat="1" ht="30.75" customHeight="1">
      <c r="A45" s="123"/>
      <c r="B45" s="736"/>
      <c r="C45" s="701"/>
      <c r="D45" s="730"/>
      <c r="E45" s="730"/>
      <c r="F45" s="730"/>
      <c r="G45" s="731"/>
      <c r="H45" s="540"/>
      <c r="I45" s="3"/>
      <c r="J45" s="3"/>
      <c r="K45" s="3"/>
      <c r="L45" s="66"/>
      <c r="M45" s="3"/>
      <c r="N45" s="1"/>
      <c r="O45" s="2"/>
      <c r="P45" s="2"/>
      <c r="Q45" s="2"/>
      <c r="R45" s="2"/>
      <c r="S45" s="2"/>
    </row>
    <row r="46" spans="1:19" s="20" customFormat="1" ht="38.25" customHeight="1">
      <c r="A46" s="123"/>
      <c r="B46" s="748"/>
      <c r="C46" s="757"/>
      <c r="D46" s="757"/>
      <c r="E46" s="757"/>
      <c r="F46" s="757"/>
      <c r="G46" s="758"/>
      <c r="H46" s="541"/>
      <c r="I46" s="5"/>
      <c r="J46" s="5"/>
      <c r="K46" s="5"/>
      <c r="L46" s="542"/>
      <c r="M46" s="3"/>
      <c r="N46" s="1"/>
      <c r="O46" s="2"/>
      <c r="P46" s="2"/>
      <c r="Q46" s="2"/>
      <c r="R46" s="2"/>
      <c r="S46" s="2"/>
    </row>
    <row r="47" spans="1:19" s="20" customFormat="1" ht="15" customHeight="1">
      <c r="A47" s="123"/>
      <c r="B47" s="747">
        <v>2</v>
      </c>
      <c r="C47" s="759" t="s">
        <v>447</v>
      </c>
      <c r="D47" s="760"/>
      <c r="E47" s="760"/>
      <c r="F47" s="760"/>
      <c r="G47" s="761"/>
      <c r="H47" s="537"/>
      <c r="I47" s="538"/>
      <c r="J47" s="538"/>
      <c r="K47" s="545"/>
      <c r="L47" s="539"/>
      <c r="M47" s="3"/>
      <c r="N47" s="1"/>
      <c r="O47" s="2"/>
      <c r="P47" s="2"/>
      <c r="Q47" s="2"/>
      <c r="R47" s="2"/>
      <c r="S47" s="2"/>
    </row>
    <row r="48" spans="1:19" s="20" customFormat="1" ht="14.25" customHeight="1">
      <c r="A48" s="123"/>
      <c r="B48" s="736"/>
      <c r="C48" s="762"/>
      <c r="D48" s="763"/>
      <c r="E48" s="763"/>
      <c r="F48" s="763"/>
      <c r="G48" s="764"/>
      <c r="H48" s="540"/>
      <c r="I48" s="547"/>
      <c r="J48" s="3"/>
      <c r="K48" s="544">
        <f>'Xi Data'!B45</f>
        <v>0</v>
      </c>
      <c r="L48" s="66"/>
      <c r="M48" s="3"/>
      <c r="N48" s="1"/>
      <c r="O48" s="2"/>
      <c r="P48" s="2"/>
      <c r="Q48" s="2"/>
      <c r="R48" s="2"/>
      <c r="S48" s="2"/>
    </row>
    <row r="49" spans="1:19" s="20" customFormat="1" ht="14.25" customHeight="1">
      <c r="A49" s="123"/>
      <c r="B49" s="736"/>
      <c r="C49" s="762"/>
      <c r="D49" s="763"/>
      <c r="E49" s="763"/>
      <c r="F49" s="763"/>
      <c r="G49" s="764"/>
      <c r="H49" s="540"/>
      <c r="I49" s="752" t="s">
        <v>387</v>
      </c>
      <c r="J49" s="753"/>
      <c r="K49" s="544">
        <f>'Xi Data'!B46</f>
        <v>0</v>
      </c>
      <c r="L49" s="66"/>
      <c r="M49" s="3"/>
      <c r="N49" s="1"/>
      <c r="O49" s="2"/>
      <c r="P49" s="2"/>
      <c r="Q49" s="2"/>
      <c r="R49" s="2"/>
      <c r="S49" s="2"/>
    </row>
    <row r="50" spans="1:19" s="20" customFormat="1" ht="14.25" customHeight="1">
      <c r="A50" s="123"/>
      <c r="B50" s="748"/>
      <c r="C50" s="765"/>
      <c r="D50" s="766"/>
      <c r="E50" s="766"/>
      <c r="F50" s="766"/>
      <c r="G50" s="767"/>
      <c r="H50" s="541"/>
      <c r="I50" s="5"/>
      <c r="J50" s="5"/>
      <c r="K50" s="544">
        <f>'Xi Data'!B47</f>
        <v>0</v>
      </c>
      <c r="L50" s="542"/>
      <c r="M50" s="3"/>
      <c r="N50" s="1"/>
      <c r="O50" s="2"/>
      <c r="P50" s="2"/>
      <c r="Q50" s="2"/>
      <c r="R50" s="2"/>
      <c r="S50" s="2"/>
    </row>
    <row r="51" spans="1:19" s="20" customFormat="1" ht="14.25" customHeight="1">
      <c r="A51" s="123"/>
      <c r="B51" s="747">
        <v>3</v>
      </c>
      <c r="C51" s="759" t="s">
        <v>448</v>
      </c>
      <c r="D51" s="760"/>
      <c r="E51" s="760"/>
      <c r="F51" s="760"/>
      <c r="G51" s="761"/>
      <c r="H51" s="537"/>
      <c r="I51" s="538"/>
      <c r="J51" s="538"/>
      <c r="K51" s="545"/>
      <c r="L51" s="539"/>
      <c r="M51" s="1"/>
      <c r="N51" s="1"/>
      <c r="O51" s="2"/>
      <c r="P51" s="2"/>
      <c r="Q51" s="2"/>
      <c r="R51" s="2"/>
      <c r="S51" s="2"/>
    </row>
    <row r="52" spans="1:19" s="20" customFormat="1" ht="14.25" customHeight="1">
      <c r="A52" s="123"/>
      <c r="B52" s="736"/>
      <c r="C52" s="762"/>
      <c r="D52" s="763"/>
      <c r="E52" s="763"/>
      <c r="F52" s="763"/>
      <c r="G52" s="764"/>
      <c r="H52" s="540"/>
      <c r="I52" s="547"/>
      <c r="J52" s="3"/>
      <c r="K52" s="544">
        <f>'Xi Data'!B48</f>
        <v>0</v>
      </c>
      <c r="L52" s="66"/>
      <c r="M52" s="1"/>
      <c r="N52" s="1"/>
      <c r="O52" s="2"/>
      <c r="P52" s="2"/>
      <c r="Q52" s="2"/>
      <c r="R52" s="2"/>
      <c r="S52" s="2"/>
    </row>
    <row r="53" spans="1:19" s="20" customFormat="1" ht="14.25" customHeight="1">
      <c r="A53" s="123"/>
      <c r="B53" s="736"/>
      <c r="C53" s="762"/>
      <c r="D53" s="763"/>
      <c r="E53" s="763"/>
      <c r="F53" s="763"/>
      <c r="G53" s="764"/>
      <c r="H53" s="540"/>
      <c r="I53" s="752" t="s">
        <v>387</v>
      </c>
      <c r="J53" s="753"/>
      <c r="K53" s="544">
        <f>'Xi Data'!B49</f>
        <v>0</v>
      </c>
      <c r="L53" s="66"/>
      <c r="M53" s="1"/>
      <c r="N53" s="1"/>
      <c r="O53" s="2"/>
      <c r="P53" s="2"/>
      <c r="Q53" s="2"/>
      <c r="R53" s="2"/>
      <c r="S53" s="2"/>
    </row>
    <row r="54" spans="1:19" s="20" customFormat="1" ht="14.25" customHeight="1">
      <c r="A54" s="123"/>
      <c r="B54" s="748"/>
      <c r="C54" s="765"/>
      <c r="D54" s="766"/>
      <c r="E54" s="766"/>
      <c r="F54" s="766"/>
      <c r="G54" s="767"/>
      <c r="H54" s="541"/>
      <c r="I54" s="5"/>
      <c r="J54" s="5"/>
      <c r="K54" s="544">
        <f>'Xi Data'!B50</f>
        <v>0</v>
      </c>
      <c r="L54" s="542"/>
      <c r="M54" s="1"/>
      <c r="N54" s="1"/>
      <c r="O54" s="2"/>
      <c r="P54" s="2"/>
      <c r="Q54" s="2"/>
      <c r="R54" s="2"/>
      <c r="S54" s="2"/>
    </row>
    <row r="55" spans="1:19" s="20" customFormat="1" ht="14.25" customHeight="1">
      <c r="A55" s="123"/>
      <c r="B55" s="747">
        <v>4</v>
      </c>
      <c r="C55" s="759" t="s">
        <v>449</v>
      </c>
      <c r="D55" s="760"/>
      <c r="E55" s="760"/>
      <c r="F55" s="760"/>
      <c r="G55" s="761"/>
      <c r="H55" s="537"/>
      <c r="I55" s="538"/>
      <c r="J55" s="538"/>
      <c r="K55" s="545"/>
      <c r="L55" s="539"/>
      <c r="M55" s="1"/>
      <c r="N55" s="1"/>
      <c r="O55" s="2"/>
      <c r="P55" s="2"/>
      <c r="Q55" s="2"/>
      <c r="R55" s="2"/>
      <c r="S55" s="2"/>
    </row>
    <row r="56" spans="1:19" s="20" customFormat="1" ht="14.25" customHeight="1">
      <c r="A56" s="123"/>
      <c r="B56" s="736"/>
      <c r="C56" s="762"/>
      <c r="D56" s="763"/>
      <c r="E56" s="763"/>
      <c r="F56" s="763"/>
      <c r="G56" s="764"/>
      <c r="H56" s="540"/>
      <c r="I56" s="39"/>
      <c r="J56" s="3"/>
      <c r="K56" s="544">
        <f>'Xi Data'!B51</f>
        <v>0</v>
      </c>
      <c r="L56" s="66"/>
      <c r="M56" s="1"/>
      <c r="N56" s="1"/>
      <c r="O56" s="2"/>
      <c r="P56" s="2"/>
      <c r="Q56" s="2"/>
      <c r="R56" s="2"/>
      <c r="S56" s="2"/>
    </row>
    <row r="57" spans="1:19" s="20" customFormat="1" ht="14.25" customHeight="1">
      <c r="A57" s="123"/>
      <c r="B57" s="736"/>
      <c r="C57" s="762"/>
      <c r="D57" s="763"/>
      <c r="E57" s="763"/>
      <c r="F57" s="763"/>
      <c r="G57" s="764"/>
      <c r="H57" s="540"/>
      <c r="I57" s="2"/>
      <c r="J57" s="2"/>
      <c r="K57" s="544">
        <f>'Xi Data'!B52</f>
        <v>0</v>
      </c>
      <c r="L57" s="66"/>
      <c r="M57" s="1"/>
      <c r="N57" s="1"/>
      <c r="O57" s="2"/>
      <c r="P57" s="2"/>
      <c r="Q57" s="2"/>
      <c r="R57" s="2"/>
      <c r="S57" s="2"/>
    </row>
    <row r="58" spans="1:19" s="20" customFormat="1" ht="14.25" customHeight="1">
      <c r="A58" s="123"/>
      <c r="B58" s="736"/>
      <c r="C58" s="762"/>
      <c r="D58" s="763"/>
      <c r="E58" s="763"/>
      <c r="F58" s="763"/>
      <c r="G58" s="764"/>
      <c r="H58" s="540"/>
      <c r="I58" s="752" t="s">
        <v>387</v>
      </c>
      <c r="J58" s="753"/>
      <c r="K58" s="544">
        <f>'Xi Data'!B53</f>
        <v>0</v>
      </c>
      <c r="L58" s="66"/>
      <c r="M58" s="1"/>
      <c r="N58" s="1"/>
      <c r="O58" s="2"/>
      <c r="P58" s="2"/>
      <c r="Q58" s="2"/>
      <c r="R58" s="2"/>
      <c r="S58" s="2"/>
    </row>
    <row r="59" spans="1:19" s="20" customFormat="1" ht="14.25" customHeight="1">
      <c r="A59" s="123"/>
      <c r="B59" s="736"/>
      <c r="C59" s="762"/>
      <c r="D59" s="763"/>
      <c r="E59" s="763"/>
      <c r="F59" s="763"/>
      <c r="G59" s="764"/>
      <c r="H59" s="540"/>
      <c r="I59" s="59"/>
      <c r="J59" s="546"/>
      <c r="K59" s="544">
        <f>'Xi Data'!B54</f>
        <v>0</v>
      </c>
      <c r="L59" s="66"/>
      <c r="M59" s="1"/>
      <c r="N59" s="1"/>
      <c r="O59" s="2"/>
      <c r="P59" s="2"/>
      <c r="Q59" s="2"/>
      <c r="R59" s="2"/>
      <c r="S59" s="2"/>
    </row>
    <row r="60" spans="1:19" s="20" customFormat="1" ht="14.25" customHeight="1">
      <c r="A60" s="123"/>
      <c r="B60" s="736"/>
      <c r="C60" s="762"/>
      <c r="D60" s="763"/>
      <c r="E60" s="763"/>
      <c r="F60" s="763"/>
      <c r="G60" s="764"/>
      <c r="H60" s="540"/>
      <c r="I60" s="31"/>
      <c r="J60" s="546"/>
      <c r="K60" s="544">
        <f>'Xi Data'!B55</f>
        <v>0</v>
      </c>
      <c r="L60" s="66"/>
      <c r="M60" s="1"/>
      <c r="N60" s="1"/>
      <c r="O60" s="2"/>
      <c r="P60" s="2"/>
      <c r="Q60" s="2"/>
      <c r="R60" s="2"/>
      <c r="S60" s="2"/>
    </row>
    <row r="61" spans="1:19" s="20" customFormat="1" ht="14.25" customHeight="1">
      <c r="A61" s="123"/>
      <c r="B61" s="748"/>
      <c r="C61" s="765"/>
      <c r="D61" s="766"/>
      <c r="E61" s="766"/>
      <c r="F61" s="766"/>
      <c r="G61" s="767"/>
      <c r="H61" s="541"/>
      <c r="I61" s="5"/>
      <c r="J61" s="5"/>
      <c r="K61" s="544">
        <f>'Xi Data'!B56</f>
        <v>0</v>
      </c>
      <c r="L61" s="542"/>
      <c r="M61" s="1"/>
      <c r="N61" s="1"/>
      <c r="O61" s="2"/>
      <c r="P61" s="2"/>
      <c r="Q61" s="2"/>
      <c r="R61" s="2"/>
      <c r="S61" s="2"/>
    </row>
    <row r="62" spans="1:19" s="20" customFormat="1" ht="14.25" customHeight="1">
      <c r="A62" s="123"/>
      <c r="B62" s="747">
        <v>5</v>
      </c>
      <c r="C62" s="759" t="s">
        <v>450</v>
      </c>
      <c r="D62" s="760"/>
      <c r="E62" s="760"/>
      <c r="F62" s="760"/>
      <c r="G62" s="761"/>
      <c r="H62" s="537"/>
      <c r="I62" s="538"/>
      <c r="J62" s="538"/>
      <c r="K62" s="545"/>
      <c r="L62" s="539"/>
      <c r="M62" s="1"/>
      <c r="N62" s="1"/>
      <c r="O62" s="2"/>
      <c r="P62" s="2"/>
      <c r="Q62" s="2"/>
      <c r="R62" s="2"/>
      <c r="S62" s="2"/>
    </row>
    <row r="63" spans="1:19" s="20" customFormat="1" ht="14.25" customHeight="1">
      <c r="A63" s="123"/>
      <c r="B63" s="736"/>
      <c r="C63" s="762"/>
      <c r="D63" s="763"/>
      <c r="E63" s="763"/>
      <c r="F63" s="763"/>
      <c r="G63" s="764"/>
      <c r="H63" s="540"/>
      <c r="I63" s="547"/>
      <c r="J63" s="3"/>
      <c r="K63" s="544">
        <f>'Xi Data'!B57</f>
        <v>0</v>
      </c>
      <c r="L63" s="66"/>
      <c r="M63" s="1"/>
      <c r="N63" s="1"/>
      <c r="O63" s="2"/>
      <c r="P63" s="2"/>
      <c r="Q63" s="2"/>
      <c r="R63" s="2"/>
      <c r="S63" s="2"/>
    </row>
    <row r="64" spans="1:19" s="20" customFormat="1" ht="14.25" customHeight="1">
      <c r="A64" s="123"/>
      <c r="B64" s="736"/>
      <c r="C64" s="762"/>
      <c r="D64" s="763"/>
      <c r="E64" s="763"/>
      <c r="F64" s="763"/>
      <c r="G64" s="764"/>
      <c r="H64" s="540"/>
      <c r="I64" s="752" t="s">
        <v>387</v>
      </c>
      <c r="J64" s="753"/>
      <c r="K64" s="544">
        <f>'Xi Data'!B58</f>
        <v>0</v>
      </c>
      <c r="L64" s="66"/>
      <c r="M64" s="1"/>
      <c r="N64" s="1"/>
      <c r="O64" s="2"/>
      <c r="P64" s="2"/>
      <c r="Q64" s="2"/>
      <c r="R64" s="2"/>
      <c r="S64" s="2"/>
    </row>
    <row r="65" spans="1:19" s="20" customFormat="1" ht="14.25" customHeight="1">
      <c r="A65" s="123"/>
      <c r="B65" s="748"/>
      <c r="C65" s="765"/>
      <c r="D65" s="766"/>
      <c r="E65" s="766"/>
      <c r="F65" s="766"/>
      <c r="G65" s="767"/>
      <c r="H65" s="541"/>
      <c r="I65" s="5"/>
      <c r="J65" s="5"/>
      <c r="K65" s="544">
        <f>'Xi Data'!B59</f>
        <v>0</v>
      </c>
      <c r="L65" s="542"/>
      <c r="M65" s="1"/>
      <c r="N65" s="1"/>
      <c r="O65" s="2"/>
      <c r="P65" s="2"/>
      <c r="Q65" s="2"/>
      <c r="R65" s="2"/>
      <c r="S65" s="2"/>
    </row>
    <row r="66" spans="1:19" s="20" customFormat="1" ht="14.25" customHeight="1">
      <c r="A66" s="123"/>
      <c r="B66" s="747">
        <v>6</v>
      </c>
      <c r="C66" s="759" t="s">
        <v>451</v>
      </c>
      <c r="D66" s="760"/>
      <c r="E66" s="760"/>
      <c r="F66" s="760"/>
      <c r="G66" s="761"/>
      <c r="H66" s="537"/>
      <c r="I66" s="538"/>
      <c r="J66" s="538"/>
      <c r="K66" s="545"/>
      <c r="L66" s="539"/>
      <c r="M66" s="1"/>
      <c r="N66" s="1"/>
      <c r="O66" s="2"/>
      <c r="P66" s="2"/>
      <c r="Q66" s="2"/>
      <c r="R66" s="2"/>
      <c r="S66" s="2"/>
    </row>
    <row r="67" spans="1:19" s="20" customFormat="1" ht="14.25" customHeight="1">
      <c r="A67" s="123"/>
      <c r="B67" s="736"/>
      <c r="C67" s="762"/>
      <c r="D67" s="763"/>
      <c r="E67" s="763"/>
      <c r="F67" s="763"/>
      <c r="G67" s="764"/>
      <c r="H67" s="540"/>
      <c r="I67" s="547"/>
      <c r="J67" s="3"/>
      <c r="K67" s="544">
        <f>'Xi Data'!B60</f>
        <v>0</v>
      </c>
      <c r="L67" s="66"/>
      <c r="M67" s="1"/>
      <c r="N67" s="1"/>
      <c r="O67" s="2"/>
      <c r="P67" s="2"/>
      <c r="Q67" s="2"/>
      <c r="R67" s="2"/>
      <c r="S67" s="2"/>
    </row>
    <row r="68" spans="1:19" s="20" customFormat="1" ht="14.25" customHeight="1">
      <c r="A68" s="123"/>
      <c r="B68" s="736"/>
      <c r="C68" s="762"/>
      <c r="D68" s="763"/>
      <c r="E68" s="763"/>
      <c r="F68" s="763"/>
      <c r="G68" s="764"/>
      <c r="H68" s="540"/>
      <c r="I68" s="752" t="s">
        <v>387</v>
      </c>
      <c r="J68" s="753"/>
      <c r="K68" s="544">
        <f>'Xi Data'!B61</f>
        <v>0</v>
      </c>
      <c r="L68" s="66"/>
      <c r="M68" s="1"/>
      <c r="N68" s="1"/>
      <c r="O68" s="2"/>
      <c r="P68" s="2"/>
      <c r="Q68" s="2"/>
      <c r="R68" s="2"/>
      <c r="S68" s="2"/>
    </row>
    <row r="69" spans="1:19" s="20" customFormat="1" ht="14.25" customHeight="1">
      <c r="A69" s="123"/>
      <c r="B69" s="748"/>
      <c r="C69" s="765"/>
      <c r="D69" s="766"/>
      <c r="E69" s="766"/>
      <c r="F69" s="766"/>
      <c r="G69" s="767"/>
      <c r="H69" s="541"/>
      <c r="I69" s="5"/>
      <c r="J69" s="5"/>
      <c r="K69" s="544">
        <f>'Xi Data'!B62</f>
        <v>0</v>
      </c>
      <c r="L69" s="542"/>
      <c r="M69" s="1"/>
      <c r="N69" s="1"/>
      <c r="O69" s="2"/>
      <c r="P69" s="2"/>
      <c r="Q69" s="2"/>
      <c r="R69" s="2"/>
      <c r="S69" s="2"/>
    </row>
    <row r="70" spans="1:19" s="20" customFormat="1" ht="14.25" customHeight="1">
      <c r="A70" s="123"/>
      <c r="B70" s="125"/>
      <c r="C70" s="1"/>
      <c r="D70" s="1"/>
      <c r="E70" s="1"/>
      <c r="F70" s="1"/>
      <c r="G70" s="1"/>
      <c r="H70" s="1"/>
      <c r="I70" s="1"/>
      <c r="J70" s="1"/>
      <c r="K70" s="1"/>
      <c r="L70" s="1"/>
      <c r="M70" s="1"/>
      <c r="N70" s="1"/>
      <c r="O70" s="2"/>
      <c r="P70" s="2"/>
      <c r="Q70" s="2"/>
      <c r="R70" s="2"/>
      <c r="S70" s="2"/>
    </row>
    <row r="71" spans="1:19" s="20" customFormat="1" ht="14.25" customHeight="1">
      <c r="A71" s="123"/>
      <c r="B71" s="125"/>
      <c r="C71" s="1"/>
      <c r="D71" s="1"/>
      <c r="E71" s="1"/>
      <c r="F71" s="1"/>
      <c r="G71" s="1"/>
      <c r="H71" s="1"/>
      <c r="I71" s="1"/>
      <c r="J71" s="1"/>
      <c r="K71" s="1"/>
      <c r="L71" s="1"/>
      <c r="M71" s="1"/>
      <c r="N71" s="1"/>
      <c r="O71" s="2"/>
      <c r="P71" s="2"/>
      <c r="Q71" s="2"/>
      <c r="R71" s="2"/>
      <c r="S71" s="2"/>
    </row>
    <row r="72" spans="1:19" s="1" customFormat="1">
      <c r="A72" s="5"/>
      <c r="B72" s="5"/>
      <c r="C72" s="5"/>
      <c r="D72" s="5"/>
      <c r="E72" s="128"/>
      <c r="F72" s="129"/>
      <c r="G72" s="5"/>
      <c r="H72" s="5"/>
      <c r="I72" s="5"/>
      <c r="J72" s="5"/>
      <c r="K72" s="5"/>
    </row>
    <row r="73" spans="1:19" s="1" customFormat="1" ht="14.25">
      <c r="A73" s="123" t="s">
        <v>146</v>
      </c>
      <c r="E73" s="72"/>
      <c r="F73" s="130"/>
    </row>
    <row r="74" spans="1:19" s="1" customFormat="1" ht="15">
      <c r="A74" s="123"/>
      <c r="E74" s="47" t="s">
        <v>205</v>
      </c>
      <c r="F74" s="130"/>
      <c r="H74" s="47" t="s">
        <v>208</v>
      </c>
    </row>
    <row r="75" spans="1:19" s="1" customFormat="1" ht="15">
      <c r="A75" s="123"/>
      <c r="D75" s="47"/>
      <c r="E75" s="72"/>
      <c r="F75" s="130"/>
      <c r="H75" s="47"/>
    </row>
    <row r="76" spans="1:19" s="1" customFormat="1" ht="14.25">
      <c r="A76" s="123"/>
      <c r="E76" s="2" t="s">
        <v>209</v>
      </c>
      <c r="F76" s="59" t="s">
        <v>207</v>
      </c>
    </row>
    <row r="77" spans="1:19" s="1" customFormat="1" ht="14.25">
      <c r="A77" s="123"/>
      <c r="D77" s="215" t="s">
        <v>72</v>
      </c>
      <c r="E77" s="236">
        <f>ABS(AVERAGE(K48:K50)-26)</f>
        <v>26</v>
      </c>
      <c r="F77" s="238">
        <f>E77/26</f>
        <v>1</v>
      </c>
      <c r="H77" s="2" t="s">
        <v>206</v>
      </c>
      <c r="I77" s="237">
        <f>STDEV(K56:K61)</f>
        <v>0</v>
      </c>
      <c r="J77" s="2" t="s">
        <v>82</v>
      </c>
    </row>
    <row r="78" spans="1:19" s="1" customFormat="1" ht="14.25">
      <c r="A78" s="123"/>
      <c r="D78" s="215" t="s">
        <v>73</v>
      </c>
      <c r="E78" s="236">
        <f>ABS(AVERAGE(K52:K54)-29)</f>
        <v>29</v>
      </c>
      <c r="F78" s="238">
        <f>E78/29</f>
        <v>1</v>
      </c>
      <c r="H78" s="235" t="s">
        <v>207</v>
      </c>
      <c r="I78" s="239" t="e">
        <f>STDEV(K56:K61)/AVERAGE(K56:K61)</f>
        <v>#DIV/0!</v>
      </c>
    </row>
    <row r="79" spans="1:19" s="1" customFormat="1" ht="14.25">
      <c r="A79" s="123"/>
      <c r="D79" s="215" t="s">
        <v>74</v>
      </c>
      <c r="E79" s="236">
        <f>ABS(AVERAGE(K56:K61)-32)</f>
        <v>32</v>
      </c>
      <c r="F79" s="238">
        <f>E79/32</f>
        <v>1</v>
      </c>
      <c r="H79" s="221"/>
      <c r="I79" s="3"/>
    </row>
    <row r="80" spans="1:19" s="1" customFormat="1" ht="14.25">
      <c r="A80" s="123"/>
      <c r="D80" s="215" t="s">
        <v>75</v>
      </c>
      <c r="E80" s="236">
        <f>ABS(AVERAGE(K63:K65)-35)</f>
        <v>35</v>
      </c>
      <c r="F80" s="238">
        <f>E80/35</f>
        <v>1</v>
      </c>
      <c r="H80" s="221"/>
      <c r="I80" s="3"/>
    </row>
    <row r="81" spans="1:23" s="1" customFormat="1" ht="14.25">
      <c r="A81" s="123"/>
      <c r="D81" s="215" t="s">
        <v>76</v>
      </c>
      <c r="E81" s="236">
        <f>ABS(AVERAGE(K67:K69)-38)</f>
        <v>38</v>
      </c>
      <c r="F81" s="238">
        <f>E81/38</f>
        <v>1</v>
      </c>
      <c r="H81" s="221"/>
      <c r="I81" s="3"/>
    </row>
    <row r="82" spans="1:23" s="1" customFormat="1">
      <c r="A82" s="5"/>
      <c r="B82" s="5"/>
      <c r="C82" s="5"/>
      <c r="D82" s="5"/>
      <c r="E82" s="5"/>
      <c r="F82" s="5"/>
      <c r="G82" s="5"/>
      <c r="H82" s="5"/>
      <c r="I82" s="5"/>
      <c r="J82" s="5"/>
      <c r="K82" s="5"/>
    </row>
    <row r="83" spans="1:23" s="1" customFormat="1" ht="14.25">
      <c r="A83" s="123" t="s">
        <v>148</v>
      </c>
    </row>
    <row r="84" spans="1:23" s="1" customFormat="1">
      <c r="C84" s="1" t="s">
        <v>210</v>
      </c>
    </row>
    <row r="85" spans="1:23" s="1" customFormat="1">
      <c r="C85" s="1" t="s">
        <v>211</v>
      </c>
    </row>
    <row r="86" spans="1:23" s="1" customFormat="1">
      <c r="A86" s="5"/>
      <c r="B86" s="5"/>
      <c r="C86" s="5"/>
      <c r="D86" s="5"/>
      <c r="E86" s="5"/>
      <c r="F86" s="5"/>
      <c r="G86" s="5"/>
      <c r="H86" s="5"/>
      <c r="I86" s="5"/>
      <c r="J86" s="5"/>
      <c r="K86" s="5"/>
    </row>
    <row r="87" spans="1:23" s="1" customFormat="1" ht="15" thickBot="1">
      <c r="A87" s="131" t="s">
        <v>160</v>
      </c>
      <c r="B87" s="132"/>
      <c r="C87" s="132"/>
    </row>
    <row r="88" spans="1:23" s="1" customFormat="1" ht="16.5" thickBot="1">
      <c r="E88" s="122" t="str">
        <f>IF(K69&gt;0,IF(AND(MAX(E77:E81)&lt;=1,I77&lt;=0.5),"PASS","FAIL"),"---")</f>
        <v>---</v>
      </c>
    </row>
    <row r="89" spans="1:23" s="1" customFormat="1">
      <c r="A89" s="5"/>
      <c r="B89" s="5"/>
      <c r="C89" s="5"/>
      <c r="D89" s="5"/>
      <c r="E89" s="5"/>
      <c r="F89" s="5"/>
      <c r="G89" s="5"/>
      <c r="H89" s="5"/>
      <c r="I89" s="5"/>
      <c r="J89" s="5"/>
      <c r="K89" s="5"/>
    </row>
    <row r="90" spans="1:23" s="1" customFormat="1" ht="14.25">
      <c r="A90" s="123" t="s">
        <v>158</v>
      </c>
    </row>
    <row r="91" spans="1:23" s="64" customFormat="1" ht="24" customHeight="1">
      <c r="A91" s="568"/>
      <c r="B91" s="568"/>
      <c r="C91" s="568"/>
      <c r="D91" s="568"/>
      <c r="E91" s="568"/>
      <c r="F91" s="568"/>
      <c r="G91" s="568"/>
      <c r="H91" s="568"/>
      <c r="I91" s="568"/>
      <c r="J91" s="568"/>
      <c r="K91" s="568"/>
      <c r="L91" s="1"/>
      <c r="M91" s="1"/>
      <c r="N91" s="1"/>
      <c r="O91" s="62"/>
      <c r="P91" s="62"/>
      <c r="Q91" s="62"/>
      <c r="R91" s="78"/>
      <c r="S91" s="78"/>
    </row>
    <row r="92" spans="1:23" ht="12.75" customHeight="1">
      <c r="A92" s="569"/>
      <c r="B92" s="741"/>
      <c r="C92" s="741"/>
      <c r="D92" s="741"/>
      <c r="E92" s="742"/>
      <c r="F92" s="741"/>
      <c r="G92" s="570"/>
      <c r="H92" s="570"/>
      <c r="I92" s="569"/>
      <c r="J92" s="569"/>
      <c r="K92" s="569"/>
      <c r="L92" s="62"/>
      <c r="M92" s="62"/>
      <c r="N92" s="62"/>
      <c r="O92" s="1"/>
      <c r="P92" s="1"/>
      <c r="Q92" s="1"/>
      <c r="R92" s="1"/>
      <c r="S92" s="1"/>
      <c r="T92" s="1"/>
      <c r="U92" s="1"/>
      <c r="V92" s="1"/>
      <c r="W92" s="1"/>
    </row>
    <row r="93" spans="1:23" ht="12.75" customHeight="1">
      <c r="A93" s="568"/>
      <c r="B93" s="568"/>
      <c r="C93" s="568"/>
      <c r="D93" s="572"/>
      <c r="E93" s="572"/>
      <c r="F93" s="572"/>
      <c r="G93" s="572"/>
      <c r="H93" s="572"/>
      <c r="I93" s="572"/>
      <c r="J93" s="572"/>
      <c r="K93" s="572"/>
      <c r="L93" s="3"/>
      <c r="M93" s="1"/>
      <c r="N93" s="1"/>
      <c r="O93" s="1"/>
      <c r="P93" s="1"/>
      <c r="Q93" s="1"/>
      <c r="R93" s="1"/>
      <c r="S93" s="1"/>
      <c r="T93" s="1"/>
      <c r="U93" s="1"/>
      <c r="V93" s="1"/>
      <c r="W93" s="1"/>
    </row>
    <row r="94" spans="1:23" ht="12.75" customHeight="1">
      <c r="A94" s="568"/>
      <c r="B94" s="568"/>
      <c r="C94" s="568"/>
      <c r="D94" s="572"/>
      <c r="E94" s="572"/>
      <c r="F94" s="572"/>
      <c r="G94" s="572"/>
      <c r="H94" s="572"/>
      <c r="I94" s="572"/>
      <c r="J94" s="572"/>
      <c r="K94" s="572"/>
      <c r="L94" s="3"/>
      <c r="M94" s="1"/>
      <c r="N94" s="1"/>
      <c r="O94" s="1"/>
      <c r="P94" s="1"/>
      <c r="Q94" s="1"/>
      <c r="R94" s="1"/>
      <c r="S94" s="1"/>
      <c r="T94" s="1"/>
      <c r="U94" s="1"/>
      <c r="V94" s="1"/>
      <c r="W94" s="1"/>
    </row>
    <row r="95" spans="1:23" ht="12.75" customHeight="1">
      <c r="A95" s="568"/>
      <c r="B95" s="568"/>
      <c r="C95" s="568"/>
      <c r="D95" s="572"/>
      <c r="E95" s="572"/>
      <c r="F95" s="572"/>
      <c r="G95" s="572"/>
      <c r="H95" s="572"/>
      <c r="I95" s="572"/>
      <c r="J95" s="572"/>
      <c r="K95" s="572"/>
      <c r="L95" s="3"/>
      <c r="M95" s="1"/>
      <c r="N95" s="1"/>
      <c r="O95" s="1"/>
      <c r="P95" s="1"/>
      <c r="Q95" s="1"/>
      <c r="R95" s="1"/>
      <c r="S95" s="1"/>
      <c r="T95" s="1"/>
      <c r="U95" s="1"/>
      <c r="V95" s="1"/>
      <c r="W95" s="1"/>
    </row>
    <row r="96" spans="1:23" ht="12.75" customHeight="1">
      <c r="A96" s="568"/>
      <c r="B96" s="568"/>
      <c r="C96" s="568"/>
      <c r="D96" s="572"/>
      <c r="E96" s="572"/>
      <c r="F96" s="572"/>
      <c r="G96" s="572"/>
      <c r="H96" s="572"/>
      <c r="I96" s="572"/>
      <c r="J96" s="572"/>
      <c r="K96" s="572"/>
      <c r="L96" s="3"/>
      <c r="M96" s="1"/>
      <c r="N96" s="1"/>
      <c r="O96" s="1"/>
      <c r="P96" s="1"/>
      <c r="Q96" s="1"/>
      <c r="R96" s="1"/>
      <c r="S96" s="1"/>
      <c r="T96" s="1"/>
      <c r="U96" s="1"/>
      <c r="V96" s="1"/>
      <c r="W96" s="1"/>
    </row>
    <row r="97" spans="1:23" ht="12.75" customHeight="1">
      <c r="A97" s="568"/>
      <c r="B97" s="568"/>
      <c r="C97" s="568"/>
      <c r="D97" s="572"/>
      <c r="E97" s="572"/>
      <c r="F97" s="572"/>
      <c r="G97" s="572"/>
      <c r="H97" s="572"/>
      <c r="I97" s="572"/>
      <c r="J97" s="572"/>
      <c r="K97" s="572"/>
      <c r="L97" s="3"/>
      <c r="M97" s="1"/>
      <c r="N97" s="1"/>
      <c r="O97" s="1"/>
      <c r="P97" s="1"/>
      <c r="Q97" s="1"/>
      <c r="R97" s="1"/>
      <c r="S97" s="1"/>
      <c r="T97" s="1"/>
      <c r="U97" s="1"/>
      <c r="V97" s="1"/>
      <c r="W97" s="1"/>
    </row>
    <row r="98" spans="1:23" ht="12.75" customHeight="1">
      <c r="A98" s="568"/>
      <c r="B98" s="568"/>
      <c r="C98" s="568"/>
      <c r="D98" s="572"/>
      <c r="E98" s="572"/>
      <c r="F98" s="572"/>
      <c r="G98" s="572"/>
      <c r="H98" s="572"/>
      <c r="I98" s="572"/>
      <c r="J98" s="572"/>
      <c r="K98" s="572"/>
      <c r="L98" s="3"/>
      <c r="M98" s="1"/>
      <c r="N98" s="1"/>
      <c r="O98" s="1"/>
      <c r="P98" s="1"/>
      <c r="Q98" s="1"/>
      <c r="R98" s="1"/>
      <c r="S98" s="1"/>
      <c r="T98" s="1"/>
      <c r="U98" s="1"/>
      <c r="V98" s="1"/>
      <c r="W98" s="1"/>
    </row>
    <row r="99" spans="1:23" ht="12.75" customHeight="1">
      <c r="A99" s="568"/>
      <c r="B99" s="568"/>
      <c r="C99" s="568"/>
      <c r="D99" s="572"/>
      <c r="E99" s="572"/>
      <c r="F99" s="572"/>
      <c r="G99" s="572"/>
      <c r="H99" s="572"/>
      <c r="I99" s="572"/>
      <c r="J99" s="572"/>
      <c r="K99" s="572"/>
      <c r="L99" s="3"/>
      <c r="M99" s="1"/>
      <c r="N99" s="1"/>
      <c r="O99" s="1"/>
      <c r="P99" s="1"/>
      <c r="Q99" s="1"/>
      <c r="R99" s="1"/>
      <c r="S99" s="1"/>
      <c r="T99" s="1"/>
      <c r="U99" s="1"/>
      <c r="V99" s="1"/>
      <c r="W99" s="1"/>
    </row>
    <row r="100" spans="1:23" ht="12.75" customHeight="1">
      <c r="A100" s="568"/>
      <c r="B100" s="568"/>
      <c r="C100" s="568"/>
      <c r="D100" s="572"/>
      <c r="E100" s="572"/>
      <c r="F100" s="572"/>
      <c r="G100" s="572"/>
      <c r="H100" s="572"/>
      <c r="I100" s="572"/>
      <c r="J100" s="572"/>
      <c r="K100" s="572"/>
      <c r="L100" s="3"/>
      <c r="M100" s="1"/>
      <c r="N100" s="1"/>
      <c r="O100" s="1"/>
      <c r="P100" s="1"/>
      <c r="Q100" s="1"/>
      <c r="R100" s="1"/>
      <c r="S100" s="1"/>
      <c r="T100" s="1"/>
      <c r="U100" s="1"/>
      <c r="V100" s="1"/>
      <c r="W100" s="1"/>
    </row>
    <row r="101" spans="1:23" ht="12.75" customHeight="1">
      <c r="A101" s="568"/>
      <c r="B101" s="568"/>
      <c r="C101" s="568"/>
      <c r="D101" s="572"/>
      <c r="E101" s="572"/>
      <c r="F101" s="572"/>
      <c r="G101" s="572"/>
      <c r="H101" s="572"/>
      <c r="I101" s="572"/>
      <c r="J101" s="572"/>
      <c r="K101" s="572"/>
      <c r="L101" s="3"/>
      <c r="M101" s="1"/>
      <c r="N101" s="1"/>
      <c r="O101" s="1"/>
      <c r="P101" s="1"/>
      <c r="Q101" s="1"/>
      <c r="R101" s="1"/>
      <c r="S101" s="1"/>
      <c r="T101" s="1"/>
      <c r="U101" s="1"/>
      <c r="V101" s="1"/>
      <c r="W101" s="1"/>
    </row>
    <row r="102" spans="1:23" ht="12.75" customHeight="1">
      <c r="A102" s="568"/>
      <c r="B102" s="568"/>
      <c r="C102" s="568"/>
      <c r="D102" s="572"/>
      <c r="E102" s="572"/>
      <c r="F102" s="572"/>
      <c r="G102" s="572"/>
      <c r="H102" s="572"/>
      <c r="I102" s="572"/>
      <c r="J102" s="572"/>
      <c r="K102" s="572"/>
      <c r="L102" s="3"/>
      <c r="M102" s="1"/>
      <c r="N102" s="1"/>
      <c r="O102" s="1"/>
      <c r="P102" s="1"/>
      <c r="Q102" s="1"/>
      <c r="R102" s="1"/>
      <c r="S102" s="1"/>
      <c r="T102" s="1"/>
      <c r="U102" s="1"/>
      <c r="V102" s="1"/>
      <c r="W102" s="1"/>
    </row>
    <row r="103" spans="1:23" ht="12.75" customHeight="1">
      <c r="A103" s="568"/>
      <c r="B103" s="568"/>
      <c r="C103" s="568"/>
      <c r="D103" s="572"/>
      <c r="E103" s="572"/>
      <c r="F103" s="572"/>
      <c r="G103" s="572"/>
      <c r="H103" s="572"/>
      <c r="I103" s="572"/>
      <c r="J103" s="572"/>
      <c r="K103" s="572"/>
      <c r="L103" s="3"/>
      <c r="M103" s="1"/>
      <c r="N103" s="1"/>
      <c r="O103" s="1"/>
      <c r="P103" s="1"/>
      <c r="Q103" s="1"/>
      <c r="R103" s="1"/>
      <c r="S103" s="1"/>
      <c r="T103" s="1"/>
      <c r="U103" s="1"/>
      <c r="V103" s="1"/>
      <c r="W103" s="1"/>
    </row>
    <row r="104" spans="1:23" ht="12.75" customHeight="1">
      <c r="A104" s="1"/>
      <c r="B104" s="1"/>
      <c r="C104" s="1"/>
      <c r="D104" s="3"/>
      <c r="E104" s="3"/>
      <c r="F104" s="3"/>
      <c r="G104" s="3"/>
      <c r="H104" s="3"/>
      <c r="I104" s="3"/>
      <c r="J104" s="3"/>
      <c r="K104" s="3"/>
      <c r="L104" s="3"/>
      <c r="M104" s="1"/>
      <c r="N104" s="1"/>
      <c r="O104" s="1"/>
      <c r="P104" s="1"/>
      <c r="Q104" s="1"/>
      <c r="R104" s="1"/>
      <c r="S104" s="1"/>
      <c r="T104" s="1"/>
      <c r="U104" s="1"/>
      <c r="V104" s="1"/>
      <c r="W104" s="1"/>
    </row>
    <row r="105" spans="1:23" ht="12.75" customHeight="1">
      <c r="A105" s="1"/>
      <c r="B105" s="1"/>
      <c r="C105" s="1"/>
      <c r="D105" s="3"/>
      <c r="E105" s="3"/>
      <c r="F105" s="3"/>
      <c r="G105" s="3"/>
      <c r="H105" s="3"/>
      <c r="I105" s="3"/>
      <c r="J105" s="3"/>
      <c r="K105" s="3"/>
      <c r="L105" s="3"/>
      <c r="M105" s="1"/>
      <c r="N105" s="1"/>
      <c r="O105" s="1"/>
      <c r="P105" s="1"/>
      <c r="Q105" s="1"/>
      <c r="R105" s="1"/>
      <c r="S105" s="1"/>
      <c r="T105" s="1"/>
      <c r="U105" s="1"/>
      <c r="V105" s="1"/>
      <c r="W105" s="1"/>
    </row>
    <row r="106" spans="1:23" ht="12.75" customHeight="1">
      <c r="A106" s="1"/>
      <c r="B106" s="1"/>
      <c r="C106" s="1"/>
      <c r="D106" s="3"/>
      <c r="E106" s="3"/>
      <c r="F106" s="3"/>
      <c r="G106" s="3"/>
      <c r="H106" s="3"/>
      <c r="I106" s="3"/>
      <c r="J106" s="3"/>
      <c r="K106" s="3"/>
      <c r="L106" s="3"/>
      <c r="M106" s="1"/>
      <c r="N106" s="1"/>
      <c r="O106" s="1"/>
      <c r="P106" s="1"/>
      <c r="Q106" s="1"/>
      <c r="R106" s="1"/>
      <c r="S106" s="1"/>
      <c r="T106" s="1"/>
      <c r="U106" s="1"/>
      <c r="V106" s="1"/>
      <c r="W106" s="1"/>
    </row>
    <row r="107" spans="1:23" ht="12.75" customHeight="1">
      <c r="A107" s="1"/>
      <c r="B107" s="1"/>
      <c r="C107" s="1"/>
      <c r="D107" s="3"/>
      <c r="E107" s="3"/>
      <c r="F107" s="3"/>
      <c r="G107" s="3"/>
      <c r="H107" s="3"/>
      <c r="I107" s="3"/>
      <c r="J107" s="3"/>
      <c r="K107" s="3"/>
      <c r="L107" s="3"/>
      <c r="M107" s="1"/>
      <c r="N107" s="1"/>
      <c r="O107" s="1"/>
      <c r="P107" s="1"/>
      <c r="Q107" s="1"/>
      <c r="R107" s="1"/>
      <c r="S107" s="1"/>
      <c r="T107" s="1"/>
      <c r="U107" s="1"/>
      <c r="V107" s="1"/>
      <c r="W107" s="1"/>
    </row>
    <row r="108" spans="1:23" ht="12.75" customHeight="1">
      <c r="A108" s="1"/>
      <c r="B108" s="1"/>
      <c r="C108" s="1"/>
      <c r="D108" s="3"/>
      <c r="E108" s="3"/>
      <c r="F108" s="3"/>
      <c r="G108" s="3"/>
      <c r="H108" s="3"/>
      <c r="I108" s="3"/>
      <c r="J108" s="3"/>
      <c r="K108" s="3"/>
      <c r="L108" s="3"/>
      <c r="M108" s="1"/>
      <c r="N108" s="1"/>
      <c r="O108" s="1"/>
      <c r="P108" s="1"/>
      <c r="Q108" s="1"/>
      <c r="R108" s="1"/>
      <c r="S108" s="1"/>
      <c r="T108" s="1"/>
      <c r="U108" s="1"/>
      <c r="V108" s="1"/>
      <c r="W108" s="1"/>
    </row>
    <row r="109" spans="1:23" ht="12.75" customHeight="1">
      <c r="A109" s="1"/>
      <c r="B109" s="1"/>
      <c r="C109" s="1"/>
      <c r="D109" s="3"/>
      <c r="E109" s="3"/>
      <c r="F109" s="3"/>
      <c r="G109" s="3"/>
      <c r="H109" s="3"/>
      <c r="I109" s="3"/>
      <c r="J109" s="3"/>
      <c r="K109" s="3"/>
      <c r="L109" s="3"/>
      <c r="M109" s="1"/>
      <c r="N109" s="1"/>
      <c r="O109" s="1"/>
      <c r="P109" s="1"/>
      <c r="Q109" s="1"/>
      <c r="R109" s="1"/>
      <c r="S109" s="1"/>
      <c r="T109" s="1"/>
      <c r="U109" s="1"/>
      <c r="V109" s="1"/>
      <c r="W109" s="1"/>
    </row>
    <row r="110" spans="1:23" ht="12.75" customHeight="1">
      <c r="A110" s="1"/>
      <c r="B110" s="1"/>
      <c r="C110" s="1"/>
      <c r="D110" s="3"/>
      <c r="E110" s="3"/>
      <c r="F110" s="3"/>
      <c r="G110" s="3"/>
      <c r="H110" s="3"/>
      <c r="I110" s="3"/>
      <c r="J110" s="3"/>
      <c r="K110" s="3"/>
      <c r="L110" s="3"/>
      <c r="M110" s="1"/>
      <c r="N110" s="1"/>
      <c r="O110" s="1"/>
      <c r="P110" s="1"/>
      <c r="Q110" s="1"/>
      <c r="R110" s="1"/>
      <c r="S110" s="1"/>
      <c r="T110" s="1"/>
      <c r="U110" s="1"/>
      <c r="V110" s="1"/>
      <c r="W110" s="1"/>
    </row>
    <row r="111" spans="1:23" ht="12.75" customHeight="1">
      <c r="A111" s="1"/>
      <c r="B111" s="1"/>
      <c r="C111" s="1"/>
      <c r="D111" s="3"/>
      <c r="E111" s="3"/>
      <c r="F111" s="3"/>
      <c r="G111" s="3"/>
      <c r="H111" s="3"/>
      <c r="I111" s="3"/>
      <c r="J111" s="3"/>
      <c r="K111" s="3"/>
      <c r="L111" s="3"/>
      <c r="M111" s="1"/>
      <c r="N111" s="1"/>
      <c r="O111" s="1"/>
      <c r="P111" s="1"/>
      <c r="Q111" s="1"/>
      <c r="R111" s="1"/>
      <c r="S111" s="1"/>
      <c r="T111" s="1"/>
      <c r="U111" s="1"/>
      <c r="V111" s="1"/>
      <c r="W111" s="1"/>
    </row>
    <row r="112" spans="1:23" ht="12.75" customHeight="1">
      <c r="A112" s="1"/>
      <c r="B112" s="1"/>
      <c r="C112" s="1"/>
      <c r="D112" s="3"/>
      <c r="E112" s="3"/>
      <c r="F112" s="3"/>
      <c r="G112" s="3"/>
      <c r="H112" s="3"/>
      <c r="I112" s="3"/>
      <c r="J112" s="3"/>
      <c r="K112" s="3"/>
      <c r="L112" s="3"/>
      <c r="M112" s="1"/>
      <c r="N112" s="1"/>
      <c r="O112" s="1"/>
      <c r="P112" s="1"/>
      <c r="Q112" s="1"/>
      <c r="R112" s="1"/>
      <c r="S112" s="1"/>
      <c r="T112" s="1"/>
      <c r="U112" s="1"/>
      <c r="V112" s="1"/>
      <c r="W112" s="1"/>
    </row>
    <row r="113" spans="1:23" ht="12.75" customHeight="1">
      <c r="A113" s="1"/>
      <c r="B113" s="1"/>
      <c r="C113" s="1"/>
      <c r="D113" s="3"/>
      <c r="E113" s="3"/>
      <c r="F113" s="3"/>
      <c r="G113" s="3"/>
      <c r="H113" s="3"/>
      <c r="I113" s="3"/>
      <c r="J113" s="3"/>
      <c r="K113" s="3"/>
      <c r="L113" s="3"/>
      <c r="M113" s="1"/>
      <c r="N113" s="1"/>
      <c r="O113" s="1"/>
      <c r="P113" s="1"/>
      <c r="Q113" s="1"/>
      <c r="R113" s="1"/>
      <c r="S113" s="1"/>
      <c r="T113" s="1"/>
      <c r="U113" s="1"/>
      <c r="V113" s="1"/>
      <c r="W113" s="1"/>
    </row>
    <row r="114" spans="1:23" ht="12.75" customHeight="1">
      <c r="A114" s="1"/>
      <c r="B114" s="1"/>
      <c r="C114" s="1"/>
      <c r="D114" s="1"/>
      <c r="E114" s="1"/>
      <c r="F114" s="1"/>
      <c r="G114" s="1"/>
      <c r="H114" s="3"/>
      <c r="I114" s="3"/>
      <c r="J114" s="3"/>
      <c r="K114" s="3"/>
      <c r="L114" s="3"/>
      <c r="M114" s="1"/>
      <c r="N114" s="1"/>
      <c r="O114" s="1"/>
      <c r="P114" s="1"/>
      <c r="Q114" s="1"/>
      <c r="R114" s="1"/>
      <c r="S114" s="1"/>
      <c r="T114" s="1"/>
      <c r="U114" s="1"/>
      <c r="V114" s="1"/>
      <c r="W114" s="1"/>
    </row>
    <row r="115" spans="1:23" ht="12.75" customHeight="1">
      <c r="A115" s="1"/>
      <c r="B115" s="1"/>
      <c r="C115" s="1"/>
      <c r="D115" s="1"/>
      <c r="E115" s="1"/>
      <c r="F115" s="1"/>
      <c r="G115" s="1"/>
      <c r="H115" s="3"/>
      <c r="I115" s="3"/>
      <c r="J115" s="3"/>
      <c r="K115" s="3"/>
      <c r="L115" s="3"/>
      <c r="M115" s="1"/>
      <c r="N115" s="1"/>
    </row>
    <row r="116" spans="1:23" ht="12.75" customHeight="1">
      <c r="D116" s="90"/>
      <c r="E116" s="90"/>
      <c r="F116" s="90"/>
      <c r="G116" s="90"/>
      <c r="H116" s="25"/>
      <c r="I116" s="25"/>
      <c r="J116" s="25"/>
      <c r="K116" s="25"/>
      <c r="L116" s="25"/>
    </row>
    <row r="117" spans="1:23" ht="12.75" customHeight="1">
      <c r="D117" s="90"/>
      <c r="E117" s="90"/>
      <c r="F117" s="90"/>
      <c r="G117" s="90"/>
      <c r="H117" s="25"/>
      <c r="I117" s="25"/>
      <c r="J117" s="25"/>
      <c r="K117" s="25"/>
      <c r="L117" s="25"/>
    </row>
    <row r="118" spans="1:23" ht="12.75" customHeight="1">
      <c r="D118" s="90"/>
      <c r="E118" s="90"/>
      <c r="F118" s="90"/>
      <c r="G118" s="90"/>
      <c r="H118" s="25"/>
      <c r="I118" s="25"/>
      <c r="J118" s="25"/>
      <c r="K118" s="25"/>
      <c r="L118" s="25"/>
    </row>
    <row r="119" spans="1:23" ht="12.75" customHeight="1">
      <c r="D119" s="90"/>
      <c r="E119" s="90"/>
      <c r="F119" s="90"/>
      <c r="G119" s="90"/>
      <c r="H119" s="25"/>
      <c r="I119" s="25"/>
      <c r="J119" s="25"/>
      <c r="K119" s="25"/>
      <c r="L119" s="25"/>
    </row>
    <row r="120" spans="1:23" ht="14.25">
      <c r="D120" s="90"/>
      <c r="E120" s="90"/>
      <c r="F120" s="90"/>
      <c r="G120" s="90"/>
      <c r="H120" s="25"/>
      <c r="I120" s="25"/>
      <c r="J120" s="25"/>
      <c r="K120" s="25"/>
      <c r="L120" s="25"/>
    </row>
    <row r="121" spans="1:23">
      <c r="D121" s="25"/>
      <c r="E121" s="25"/>
      <c r="F121" s="25"/>
      <c r="G121" s="25"/>
      <c r="H121" s="25"/>
      <c r="I121" s="25"/>
      <c r="J121" s="25"/>
      <c r="K121" s="25"/>
      <c r="L121" s="25"/>
    </row>
  </sheetData>
  <protectedRanges>
    <protectedRange sqref="K48:K50 K52:K54 K63:K65 K67:K69 K56:K61" name="Range1_1_1"/>
  </protectedRanges>
  <mergeCells count="21">
    <mergeCell ref="I53:J53"/>
    <mergeCell ref="B55:B61"/>
    <mergeCell ref="C55:G61"/>
    <mergeCell ref="I58:J58"/>
    <mergeCell ref="C51:G54"/>
    <mergeCell ref="B62:B65"/>
    <mergeCell ref="H43:L43"/>
    <mergeCell ref="I49:J49"/>
    <mergeCell ref="B92:D92"/>
    <mergeCell ref="E92:F92"/>
    <mergeCell ref="C43:G43"/>
    <mergeCell ref="C44:G46"/>
    <mergeCell ref="B44:B46"/>
    <mergeCell ref="B47:B50"/>
    <mergeCell ref="C47:G50"/>
    <mergeCell ref="B51:B54"/>
    <mergeCell ref="C62:G65"/>
    <mergeCell ref="I64:J64"/>
    <mergeCell ref="B66:B69"/>
    <mergeCell ref="C66:G69"/>
    <mergeCell ref="I68:J68"/>
  </mergeCells>
  <phoneticPr fontId="0" type="noConversion"/>
  <pageMargins left="0.75" right="0.75" top="1" bottom="1" header="0.5" footer="0.5"/>
  <pageSetup paperSize="9" orientation="landscape" horizont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tabColor indexed="34"/>
  </sheetPr>
  <dimension ref="A1:J78"/>
  <sheetViews>
    <sheetView topLeftCell="A37" zoomScale="85" zoomScaleNormal="100" zoomScaleSheetLayoutView="100" workbookViewId="0">
      <selection activeCell="Q64" sqref="Q64"/>
    </sheetView>
  </sheetViews>
  <sheetFormatPr defaultRowHeight="12.75"/>
  <cols>
    <col min="1" max="1" width="3.7109375" customWidth="1"/>
    <col min="2" max="2" width="11.140625" customWidth="1"/>
    <col min="4" max="4" width="9.28515625" customWidth="1"/>
    <col min="5" max="5" width="10.7109375" customWidth="1"/>
    <col min="6" max="6" width="10.42578125" customWidth="1"/>
    <col min="7" max="7" width="8.140625" style="51" customWidth="1"/>
    <col min="8" max="9" width="8.7109375" customWidth="1"/>
    <col min="10" max="10" width="8.140625" customWidth="1"/>
  </cols>
  <sheetData>
    <row r="1" spans="1:10" s="64" customFormat="1" ht="24.75" customHeight="1">
      <c r="A1" s="250" t="s">
        <v>446</v>
      </c>
      <c r="B1" s="62"/>
      <c r="C1" s="62"/>
      <c r="D1" s="62"/>
      <c r="E1" s="62"/>
      <c r="F1" s="62"/>
      <c r="G1" s="88"/>
      <c r="H1" s="62"/>
      <c r="I1" s="62"/>
      <c r="J1" s="62"/>
    </row>
    <row r="2" spans="1:10" s="64" customFormat="1" ht="12.75" customHeight="1">
      <c r="A2" s="36"/>
      <c r="B2" s="62"/>
      <c r="C2" s="62"/>
      <c r="D2" s="62"/>
      <c r="E2" s="62"/>
      <c r="F2" s="62"/>
      <c r="G2" s="88"/>
      <c r="H2" s="62"/>
      <c r="I2" s="62"/>
      <c r="J2" s="62"/>
    </row>
    <row r="3" spans="1:10" ht="14.25">
      <c r="A3" s="123" t="s">
        <v>90</v>
      </c>
      <c r="B3" s="2"/>
      <c r="C3" s="1"/>
      <c r="D3" s="1"/>
      <c r="E3" s="1"/>
      <c r="F3" s="1"/>
      <c r="G3" s="1"/>
      <c r="H3" s="1"/>
      <c r="I3" s="1"/>
      <c r="J3" s="1"/>
    </row>
    <row r="4" spans="1:10">
      <c r="A4" s="1"/>
      <c r="B4" s="2" t="s">
        <v>221</v>
      </c>
      <c r="C4" s="1"/>
      <c r="D4" s="1"/>
      <c r="E4" s="1"/>
      <c r="F4" s="1"/>
      <c r="G4" s="1"/>
      <c r="H4" s="1"/>
      <c r="I4" s="1"/>
      <c r="J4" s="1"/>
    </row>
    <row r="5" spans="1:10" ht="24.75" customHeight="1">
      <c r="A5" s="1"/>
      <c r="B5" s="661" t="s">
        <v>222</v>
      </c>
      <c r="C5" s="651"/>
      <c r="D5" s="651"/>
      <c r="E5" s="651"/>
      <c r="F5" s="651"/>
      <c r="G5" s="651"/>
      <c r="H5" s="651"/>
      <c r="I5" s="651"/>
      <c r="J5" s="651"/>
    </row>
    <row r="6" spans="1:10">
      <c r="A6" s="5"/>
      <c r="B6" s="124"/>
      <c r="C6" s="5"/>
      <c r="D6" s="5"/>
      <c r="E6" s="5"/>
      <c r="F6" s="5"/>
      <c r="G6" s="5"/>
      <c r="H6" s="5"/>
      <c r="I6" s="1"/>
      <c r="J6" s="1"/>
    </row>
    <row r="7" spans="1:10" ht="14.25">
      <c r="A7" s="123" t="s">
        <v>143</v>
      </c>
      <c r="B7" s="1"/>
      <c r="C7" s="1"/>
      <c r="D7" s="1"/>
      <c r="E7" s="1"/>
      <c r="F7" s="1"/>
      <c r="G7" s="1"/>
      <c r="H7" s="1"/>
      <c r="I7" s="1"/>
      <c r="J7" s="1"/>
    </row>
    <row r="8" spans="1:10">
      <c r="A8" s="125"/>
      <c r="B8" s="44" t="s">
        <v>223</v>
      </c>
      <c r="C8" s="1"/>
      <c r="D8" s="1"/>
      <c r="E8" s="1"/>
      <c r="F8" s="1"/>
      <c r="G8" s="1"/>
      <c r="H8" s="1"/>
      <c r="I8" s="1"/>
      <c r="J8" s="1"/>
    </row>
    <row r="9" spans="1:10">
      <c r="A9" s="125"/>
      <c r="B9" s="44" t="s">
        <v>224</v>
      </c>
      <c r="C9" s="1"/>
      <c r="D9" s="1"/>
      <c r="E9" s="1"/>
      <c r="F9" s="1"/>
      <c r="G9" s="1"/>
      <c r="H9" s="1"/>
      <c r="I9" s="1"/>
      <c r="J9" s="1"/>
    </row>
    <row r="10" spans="1:10">
      <c r="A10" s="126"/>
      <c r="B10" s="126"/>
      <c r="C10" s="5"/>
      <c r="D10" s="5"/>
      <c r="E10" s="5"/>
      <c r="F10" s="5"/>
      <c r="G10" s="5"/>
      <c r="H10" s="5"/>
      <c r="I10" s="1"/>
      <c r="J10" s="1"/>
    </row>
    <row r="11" spans="1:10" ht="14.25">
      <c r="A11" s="123" t="s">
        <v>145</v>
      </c>
      <c r="B11" s="125"/>
      <c r="C11" s="1"/>
      <c r="D11" s="1"/>
      <c r="E11" s="1"/>
      <c r="F11" s="1"/>
      <c r="G11" s="1"/>
      <c r="H11" s="1"/>
      <c r="I11" s="1"/>
      <c r="J11" s="1"/>
    </row>
    <row r="12" spans="1:10">
      <c r="A12" s="1"/>
      <c r="B12" s="44" t="s">
        <v>225</v>
      </c>
      <c r="C12" s="1"/>
      <c r="D12" s="422"/>
      <c r="E12" s="251" t="s">
        <v>226</v>
      </c>
      <c r="F12" s="45"/>
      <c r="G12" s="1"/>
      <c r="H12" s="1"/>
      <c r="I12" s="1"/>
      <c r="J12" s="1"/>
    </row>
    <row r="13" spans="1:10">
      <c r="A13" s="1"/>
      <c r="B13" s="1"/>
      <c r="C13" s="1"/>
      <c r="D13" s="3"/>
      <c r="E13" s="127"/>
      <c r="F13" s="45"/>
      <c r="G13" s="1"/>
      <c r="H13" s="1"/>
      <c r="I13" s="1"/>
      <c r="J13" s="1"/>
    </row>
    <row r="14" spans="1:10">
      <c r="A14" s="1"/>
      <c r="B14" s="1" t="s">
        <v>377</v>
      </c>
      <c r="C14" s="1"/>
      <c r="F14" s="422"/>
      <c r="G14" s="251" t="s">
        <v>226</v>
      </c>
      <c r="H14" s="45"/>
      <c r="I14" s="1"/>
      <c r="J14" s="1"/>
    </row>
    <row r="15" spans="1:10">
      <c r="A15" s="1"/>
      <c r="B15" s="1"/>
      <c r="C15" s="1"/>
      <c r="D15" s="3"/>
      <c r="E15" s="127"/>
      <c r="F15" s="45"/>
      <c r="G15" s="1"/>
      <c r="H15" s="1"/>
      <c r="I15" s="1"/>
      <c r="J15" s="1"/>
    </row>
    <row r="16" spans="1:10">
      <c r="A16" s="5"/>
      <c r="B16" s="5"/>
      <c r="C16" s="5"/>
      <c r="D16" s="5"/>
      <c r="E16" s="128"/>
      <c r="F16" s="129"/>
      <c r="G16" s="124"/>
      <c r="H16" s="5"/>
      <c r="I16" s="1"/>
      <c r="J16" s="1"/>
    </row>
    <row r="17" spans="1:10" ht="14.25">
      <c r="A17" s="123" t="s">
        <v>231</v>
      </c>
      <c r="B17" s="1"/>
      <c r="C17" s="1"/>
      <c r="D17" s="1"/>
      <c r="E17" s="72"/>
      <c r="F17" s="130"/>
      <c r="G17" s="1"/>
      <c r="H17" s="1"/>
      <c r="I17" s="1"/>
      <c r="J17" s="1"/>
    </row>
    <row r="18" spans="1:10" ht="14.25">
      <c r="A18" s="123"/>
      <c r="B18" s="1"/>
      <c r="C18" s="1"/>
      <c r="D18" s="1"/>
      <c r="E18" s="72"/>
      <c r="F18" s="130"/>
      <c r="G18" s="1"/>
      <c r="H18" s="1"/>
      <c r="I18" s="1"/>
      <c r="J18" s="1"/>
    </row>
    <row r="19" spans="1:10" ht="15.75" customHeight="1">
      <c r="A19" s="1"/>
      <c r="B19" s="2"/>
      <c r="C19" s="252" t="s">
        <v>227</v>
      </c>
      <c r="D19" s="252" t="s">
        <v>228</v>
      </c>
      <c r="E19" s="252" t="s">
        <v>229</v>
      </c>
      <c r="F19" s="768"/>
      <c r="G19" s="768"/>
      <c r="H19" s="1"/>
      <c r="I19" s="1"/>
      <c r="J19" s="1"/>
    </row>
    <row r="20" spans="1:10" ht="15">
      <c r="A20" s="1"/>
      <c r="B20" s="255" t="s">
        <v>72</v>
      </c>
      <c r="C20" s="423"/>
      <c r="D20" s="424"/>
      <c r="E20" s="260" t="str">
        <f>IF(D20="","---",D20/D20)</f>
        <v>---</v>
      </c>
      <c r="F20" s="254" t="s">
        <v>230</v>
      </c>
      <c r="G20" s="262" t="str">
        <f>IF(D$12="y",AVERAGE('Xi Data'!R2:R4),IF(D22="","---",(C21*LN(2*D22/D20)-C22*LN(2*D21/D20))/LN(D22/D21)))</f>
        <v>---</v>
      </c>
      <c r="H20" s="1" t="s">
        <v>227</v>
      </c>
      <c r="I20" s="1"/>
      <c r="J20" s="1"/>
    </row>
    <row r="21" spans="1:10">
      <c r="A21" s="1"/>
      <c r="B21" s="2"/>
      <c r="C21" s="423"/>
      <c r="D21" s="424"/>
      <c r="E21" s="261" t="str">
        <f>IF(D21="","---",D21/D20)</f>
        <v>---</v>
      </c>
      <c r="F21" s="254"/>
      <c r="G21" s="253"/>
      <c r="H21" s="1"/>
      <c r="I21" s="1"/>
      <c r="J21" s="1"/>
    </row>
    <row r="22" spans="1:10" ht="15" customHeight="1">
      <c r="A22" s="1"/>
      <c r="B22" s="1"/>
      <c r="C22" s="423"/>
      <c r="D22" s="424"/>
      <c r="E22" s="261" t="str">
        <f>IF(D22="","---",D22/D20)</f>
        <v>---</v>
      </c>
      <c r="F22" s="768"/>
      <c r="G22" s="768"/>
      <c r="H22" s="1"/>
      <c r="I22" s="1"/>
      <c r="J22" s="1"/>
    </row>
    <row r="23" spans="1:10" ht="15" customHeight="1">
      <c r="A23" s="1"/>
      <c r="B23" s="109"/>
      <c r="C23" s="257"/>
      <c r="D23" s="258"/>
      <c r="E23" s="259"/>
      <c r="F23" s="256"/>
      <c r="G23" s="42"/>
      <c r="H23" s="1"/>
      <c r="I23" s="1"/>
      <c r="J23" s="1"/>
    </row>
    <row r="24" spans="1:10" ht="15.75" customHeight="1">
      <c r="A24" s="1"/>
      <c r="B24" s="2"/>
      <c r="C24" s="252" t="s">
        <v>227</v>
      </c>
      <c r="D24" s="252" t="s">
        <v>228</v>
      </c>
      <c r="E24" s="252" t="s">
        <v>229</v>
      </c>
      <c r="F24" s="768"/>
      <c r="G24" s="768"/>
      <c r="H24" s="1"/>
      <c r="I24" s="1"/>
      <c r="J24" s="1"/>
    </row>
    <row r="25" spans="1:10" ht="15">
      <c r="A25" s="1"/>
      <c r="B25" s="255" t="s">
        <v>73</v>
      </c>
      <c r="C25" s="423"/>
      <c r="D25" s="424"/>
      <c r="E25" s="260" t="str">
        <f>IF(D25="","---",D25/D25)</f>
        <v>---</v>
      </c>
      <c r="F25" s="254" t="s">
        <v>230</v>
      </c>
      <c r="G25" s="262" t="str">
        <f>IF(D$12="y",AVERAGE('Xi Data'!R5:R7),IF(D27="","---",(C26*LN(2*D27/D25)-C27*LN(2*D26/D25))/LN(D27/D26)))</f>
        <v>---</v>
      </c>
      <c r="H25" s="1" t="s">
        <v>227</v>
      </c>
      <c r="I25" s="1"/>
      <c r="J25" s="1"/>
    </row>
    <row r="26" spans="1:10">
      <c r="A26" s="1"/>
      <c r="B26" s="2"/>
      <c r="C26" s="423"/>
      <c r="D26" s="424"/>
      <c r="E26" s="261" t="str">
        <f>IF(D26="","---",D26/D25)</f>
        <v>---</v>
      </c>
      <c r="F26" s="254"/>
      <c r="G26" s="253"/>
      <c r="H26" s="1"/>
      <c r="I26" s="1"/>
      <c r="J26" s="1"/>
    </row>
    <row r="27" spans="1:10" ht="15" customHeight="1">
      <c r="A27" s="1"/>
      <c r="B27" s="1"/>
      <c r="C27" s="423"/>
      <c r="D27" s="424"/>
      <c r="E27" s="261" t="str">
        <f>IF(D27="","---",D27/D25)</f>
        <v>---</v>
      </c>
      <c r="F27" s="768"/>
      <c r="G27" s="768"/>
      <c r="H27" s="1"/>
      <c r="I27" s="1"/>
      <c r="J27" s="1"/>
    </row>
    <row r="28" spans="1:10" ht="15" customHeight="1">
      <c r="A28" s="1"/>
      <c r="B28" s="109"/>
      <c r="C28" s="257"/>
      <c r="D28" s="258"/>
      <c r="E28" s="259"/>
      <c r="F28" s="256"/>
      <c r="G28" s="42"/>
      <c r="H28" s="1"/>
      <c r="I28" s="1"/>
      <c r="J28" s="1"/>
    </row>
    <row r="29" spans="1:10" ht="15.75" customHeight="1">
      <c r="A29" s="1"/>
      <c r="B29" s="2"/>
      <c r="C29" s="252" t="s">
        <v>227</v>
      </c>
      <c r="D29" s="252" t="s">
        <v>228</v>
      </c>
      <c r="E29" s="252" t="s">
        <v>229</v>
      </c>
      <c r="F29" s="768"/>
      <c r="G29" s="768"/>
      <c r="H29" s="1"/>
      <c r="I29" s="1"/>
      <c r="J29" s="1"/>
    </row>
    <row r="30" spans="1:10" ht="15">
      <c r="A30" s="1"/>
      <c r="B30" s="255" t="s">
        <v>74</v>
      </c>
      <c r="C30" s="423"/>
      <c r="D30" s="424"/>
      <c r="E30" s="260" t="str">
        <f>IF(D30="","---",D30/D30)</f>
        <v>---</v>
      </c>
      <c r="F30" s="254" t="s">
        <v>230</v>
      </c>
      <c r="G30" s="262" t="str">
        <f>IF(D$12="y",AVERAGE('Xi Data'!R14:R26),IF(D32="","---",(C31*LN(2*D32/D30)-C32*LN(2*D31/D30))/LN(D32/D31)))</f>
        <v>---</v>
      </c>
      <c r="H30" s="1" t="s">
        <v>227</v>
      </c>
      <c r="I30" s="1"/>
      <c r="J30" s="1"/>
    </row>
    <row r="31" spans="1:10">
      <c r="A31" s="1"/>
      <c r="B31" s="2"/>
      <c r="C31" s="423"/>
      <c r="D31" s="424"/>
      <c r="E31" s="261" t="str">
        <f>IF(D31="","---",D31/D30)</f>
        <v>---</v>
      </c>
      <c r="F31" s="254"/>
      <c r="G31" s="253"/>
      <c r="H31" s="1"/>
      <c r="I31" s="1"/>
      <c r="J31" s="1"/>
    </row>
    <row r="32" spans="1:10" ht="15" customHeight="1">
      <c r="A32" s="1"/>
      <c r="B32" s="1"/>
      <c r="C32" s="423"/>
      <c r="D32" s="424"/>
      <c r="E32" s="261" t="str">
        <f>IF(D32="","---",D32/D30)</f>
        <v>---</v>
      </c>
      <c r="F32" s="768"/>
      <c r="G32" s="768"/>
      <c r="H32" s="1"/>
      <c r="I32" s="1"/>
      <c r="J32" s="1"/>
    </row>
    <row r="33" spans="1:10" ht="15" customHeight="1">
      <c r="A33" s="1"/>
      <c r="B33" s="109"/>
      <c r="C33" s="257"/>
      <c r="D33" s="258"/>
      <c r="E33" s="259"/>
      <c r="F33" s="256"/>
      <c r="G33" s="42"/>
      <c r="H33" s="1"/>
      <c r="I33" s="1"/>
      <c r="J33" s="1"/>
    </row>
    <row r="34" spans="1:10" ht="15.75" customHeight="1">
      <c r="A34" s="1"/>
      <c r="B34" s="2"/>
      <c r="C34" s="252" t="s">
        <v>227</v>
      </c>
      <c r="D34" s="252" t="s">
        <v>228</v>
      </c>
      <c r="E34" s="252" t="s">
        <v>229</v>
      </c>
      <c r="F34" s="768"/>
      <c r="G34" s="768"/>
      <c r="H34" s="1"/>
      <c r="I34" s="1"/>
      <c r="J34" s="1"/>
    </row>
    <row r="35" spans="1:10" ht="15">
      <c r="A35" s="1"/>
      <c r="B35" s="255" t="s">
        <v>75</v>
      </c>
      <c r="C35" s="423"/>
      <c r="D35" s="424"/>
      <c r="E35" s="260" t="str">
        <f>IF(D35="","---",D35/D35)</f>
        <v>---</v>
      </c>
      <c r="F35" s="254" t="s">
        <v>230</v>
      </c>
      <c r="G35" s="262" t="str">
        <f>IF(D$12="y",AVERAGE('Xi Data'!R8:R10),IF(D37="","---",(C36*LN(2*D37/D35)-C37*LN(2*D36/D35))/LN(D37/D36)))</f>
        <v>---</v>
      </c>
      <c r="H35" s="1" t="s">
        <v>227</v>
      </c>
      <c r="I35" s="1"/>
      <c r="J35" s="1"/>
    </row>
    <row r="36" spans="1:10">
      <c r="A36" s="1"/>
      <c r="B36" s="2"/>
      <c r="C36" s="423"/>
      <c r="D36" s="424"/>
      <c r="E36" s="261" t="str">
        <f>IF(D36="","---",D36/D35)</f>
        <v>---</v>
      </c>
      <c r="F36" s="254"/>
      <c r="G36" s="253"/>
      <c r="H36" s="1"/>
      <c r="I36" s="1"/>
      <c r="J36" s="1"/>
    </row>
    <row r="37" spans="1:10" ht="15" customHeight="1">
      <c r="A37" s="1"/>
      <c r="B37" s="1"/>
      <c r="C37" s="423"/>
      <c r="D37" s="424"/>
      <c r="E37" s="261" t="str">
        <f>IF(D37="","---",D37/D35)</f>
        <v>---</v>
      </c>
      <c r="F37" s="768"/>
      <c r="G37" s="768"/>
      <c r="H37" s="1"/>
      <c r="I37" s="1"/>
      <c r="J37" s="1"/>
    </row>
    <row r="38" spans="1:10" ht="15" customHeight="1">
      <c r="A38" s="1"/>
      <c r="B38" s="3"/>
      <c r="C38" s="264"/>
      <c r="D38" s="265"/>
      <c r="E38" s="266"/>
      <c r="F38" s="42"/>
      <c r="G38" s="42"/>
      <c r="H38" s="3"/>
      <c r="I38" s="3"/>
      <c r="J38" s="1"/>
    </row>
    <row r="39" spans="1:10" ht="15.75" customHeight="1">
      <c r="A39" s="1"/>
      <c r="B39" s="2"/>
      <c r="C39" s="263" t="s">
        <v>227</v>
      </c>
      <c r="D39" s="263" t="s">
        <v>228</v>
      </c>
      <c r="E39" s="263" t="s">
        <v>229</v>
      </c>
      <c r="F39" s="768"/>
      <c r="G39" s="768"/>
      <c r="H39" s="1"/>
      <c r="I39" s="1"/>
      <c r="J39" s="1"/>
    </row>
    <row r="40" spans="1:10" ht="15">
      <c r="A40" s="1"/>
      <c r="B40" s="255" t="s">
        <v>76</v>
      </c>
      <c r="C40" s="423"/>
      <c r="D40" s="424"/>
      <c r="E40" s="260" t="str">
        <f>IF(D40="","---",D40/D40)</f>
        <v>---</v>
      </c>
      <c r="F40" s="254" t="s">
        <v>230</v>
      </c>
      <c r="G40" s="262" t="str">
        <f>IF(D$12="y",AVERAGE('Xi Data'!R11:R13),IF(D42="","---",(C41*LN(2*D42/D40)-C42*LN(2*D41/D40))/LN(D42/D41)))</f>
        <v>---</v>
      </c>
      <c r="H40" s="1" t="s">
        <v>227</v>
      </c>
      <c r="I40" s="1"/>
      <c r="J40" s="1"/>
    </row>
    <row r="41" spans="1:10">
      <c r="A41" s="1"/>
      <c r="B41" s="2"/>
      <c r="C41" s="423"/>
      <c r="D41" s="424"/>
      <c r="E41" s="261" t="str">
        <f>IF(D41="","---",D41/D40)</f>
        <v>---</v>
      </c>
      <c r="F41" s="254"/>
      <c r="G41" s="253"/>
      <c r="H41" s="1"/>
      <c r="I41" s="1"/>
      <c r="J41" s="1"/>
    </row>
    <row r="42" spans="1:10" ht="15" customHeight="1">
      <c r="A42" s="1"/>
      <c r="B42" s="1"/>
      <c r="C42" s="423"/>
      <c r="D42" s="424"/>
      <c r="E42" s="261" t="str">
        <f>IF(D42="","---",D42/D40)</f>
        <v>---</v>
      </c>
      <c r="F42" s="768"/>
      <c r="G42" s="768"/>
      <c r="H42" s="1"/>
      <c r="I42" s="1"/>
      <c r="J42" s="1"/>
    </row>
    <row r="43" spans="1:10">
      <c r="A43" s="5"/>
      <c r="B43" s="5"/>
      <c r="C43" s="5"/>
      <c r="D43" s="5"/>
      <c r="E43" s="5"/>
      <c r="F43" s="5"/>
      <c r="G43" s="5"/>
      <c r="H43" s="5"/>
      <c r="I43" s="1"/>
      <c r="J43" s="1"/>
    </row>
    <row r="44" spans="1:10" ht="14.25">
      <c r="A44" s="123" t="s">
        <v>382</v>
      </c>
      <c r="B44" s="1"/>
      <c r="C44" s="1"/>
      <c r="D44" s="1"/>
      <c r="E44" s="1"/>
      <c r="F44" s="1"/>
      <c r="G44" s="1"/>
      <c r="H44" s="3"/>
      <c r="I44" s="1"/>
      <c r="J44" s="1"/>
    </row>
    <row r="45" spans="1:10" ht="28.5" customHeight="1">
      <c r="A45" s="123"/>
      <c r="B45" s="769" t="s">
        <v>378</v>
      </c>
      <c r="C45" s="769"/>
      <c r="D45" s="769"/>
      <c r="E45" s="769"/>
      <c r="F45" s="769"/>
      <c r="G45" s="769"/>
      <c r="H45" s="769"/>
      <c r="I45" s="1"/>
      <c r="J45" s="1"/>
    </row>
    <row r="46" spans="1:10" ht="13.5" thickBot="1">
      <c r="A46" s="1"/>
      <c r="B46" s="1"/>
      <c r="C46" s="1"/>
      <c r="D46" s="1"/>
      <c r="E46" s="1"/>
      <c r="F46" s="1"/>
      <c r="G46" s="1"/>
      <c r="H46" s="3"/>
      <c r="I46" s="1"/>
      <c r="J46" s="1"/>
    </row>
    <row r="47" spans="1:10" ht="13.5" thickBot="1">
      <c r="A47" s="1"/>
      <c r="B47" s="268" t="s">
        <v>82</v>
      </c>
      <c r="C47" s="514" t="s">
        <v>375</v>
      </c>
      <c r="D47" s="514" t="s">
        <v>376</v>
      </c>
      <c r="E47" s="269" t="s">
        <v>234</v>
      </c>
      <c r="F47" s="270" t="s">
        <v>235</v>
      </c>
      <c r="G47" s="1"/>
      <c r="H47" s="3"/>
      <c r="I47" s="1"/>
      <c r="J47" s="1"/>
    </row>
    <row r="48" spans="1:10">
      <c r="A48" s="1"/>
      <c r="B48" s="271">
        <v>26</v>
      </c>
      <c r="C48" s="515">
        <v>0.31</v>
      </c>
      <c r="D48" s="515">
        <v>0.41</v>
      </c>
      <c r="E48" s="267" t="str">
        <f>IF(F$14="y",G20,"---")</f>
        <v>---</v>
      </c>
      <c r="F48" s="272" t="str">
        <f>IF(AND(E48&lt;=D48,E48&gt;=C48),"OK","not OK")</f>
        <v>not OK</v>
      </c>
      <c r="G48" s="1"/>
      <c r="H48" s="3"/>
      <c r="I48" s="1"/>
      <c r="J48" s="1"/>
    </row>
    <row r="49" spans="1:10">
      <c r="A49" s="1"/>
      <c r="B49" s="273">
        <v>29</v>
      </c>
      <c r="C49" s="516">
        <v>0.36</v>
      </c>
      <c r="D49" s="516">
        <v>0.46</v>
      </c>
      <c r="E49" s="267" t="str">
        <f>IF(F$14="y",G25,"---")</f>
        <v>---</v>
      </c>
      <c r="F49" s="272" t="str">
        <f>IF(AND(E49&lt;=D49,E49&gt;=C49),"OK","not OK")</f>
        <v>not OK</v>
      </c>
      <c r="G49" s="1"/>
      <c r="H49" s="3"/>
      <c r="I49" s="1"/>
      <c r="J49" s="1"/>
    </row>
    <row r="50" spans="1:10">
      <c r="A50" s="1"/>
      <c r="B50" s="273">
        <v>32</v>
      </c>
      <c r="C50" s="516">
        <v>0.41</v>
      </c>
      <c r="D50" s="516">
        <v>0.51</v>
      </c>
      <c r="E50" s="267" t="str">
        <f>IF(F$14="y",G30,"---")</f>
        <v>---</v>
      </c>
      <c r="F50" s="272" t="str">
        <f>IF(AND(E50&lt;=D50,E50&gt;=C50),"OK","not OK")</f>
        <v>not OK</v>
      </c>
      <c r="G50" s="1"/>
      <c r="H50" s="3"/>
      <c r="I50" s="1"/>
      <c r="J50" s="1"/>
    </row>
    <row r="51" spans="1:10">
      <c r="A51" s="1"/>
      <c r="B51" s="273">
        <v>35</v>
      </c>
      <c r="C51" s="516">
        <v>0.46</v>
      </c>
      <c r="D51" s="516">
        <v>0.56000000000000005</v>
      </c>
      <c r="E51" s="267" t="str">
        <f>IF(F$14="y",G35,"---")</f>
        <v>---</v>
      </c>
      <c r="F51" s="272" t="str">
        <f>IF(AND(E51&lt;=D51,E51&gt;=C51),"OK","not OK")</f>
        <v>not OK</v>
      </c>
      <c r="G51" s="1"/>
      <c r="H51" s="3"/>
      <c r="I51" s="1"/>
      <c r="J51" s="1"/>
    </row>
    <row r="52" spans="1:10" ht="13.5" thickBot="1">
      <c r="A52" s="1"/>
      <c r="B52" s="275">
        <v>38</v>
      </c>
      <c r="C52" s="517">
        <v>0.51</v>
      </c>
      <c r="D52" s="517">
        <v>0.61</v>
      </c>
      <c r="E52" s="578" t="str">
        <f>IF(F$14="y",G40,"---")</f>
        <v>---</v>
      </c>
      <c r="F52" s="276" t="str">
        <f>IF(AND(E52&lt;=D52,E52&gt;=C52),"OK","not OK")</f>
        <v>not OK</v>
      </c>
      <c r="G52" s="1"/>
      <c r="H52" s="3"/>
      <c r="I52" s="1"/>
      <c r="J52" s="1"/>
    </row>
    <row r="53" spans="1:10">
      <c r="A53" s="5"/>
      <c r="B53" s="5"/>
      <c r="C53" s="5"/>
      <c r="D53" s="5"/>
      <c r="E53" s="5"/>
      <c r="F53" s="5"/>
      <c r="G53" s="5"/>
      <c r="H53" s="5"/>
      <c r="I53" s="1"/>
      <c r="J53" s="1"/>
    </row>
    <row r="54" spans="1:10" ht="14.25">
      <c r="A54" s="123" t="s">
        <v>148</v>
      </c>
      <c r="B54" s="1"/>
      <c r="C54" s="1"/>
      <c r="D54" s="1"/>
      <c r="E54" s="1"/>
      <c r="F54" s="1"/>
      <c r="G54" s="1"/>
      <c r="H54" s="1"/>
      <c r="I54" s="1"/>
      <c r="J54" s="1"/>
    </row>
    <row r="55" spans="1:10">
      <c r="A55" s="1"/>
      <c r="B55" s="1" t="s">
        <v>232</v>
      </c>
      <c r="C55" s="1"/>
      <c r="D55" s="1"/>
      <c r="E55" s="1"/>
      <c r="F55" s="1"/>
      <c r="G55" s="1"/>
      <c r="H55" s="1"/>
      <c r="I55" s="1"/>
      <c r="J55" s="1"/>
    </row>
    <row r="56" spans="1:10" ht="13.5" thickBot="1">
      <c r="A56" s="1"/>
      <c r="B56" s="1"/>
      <c r="C56" s="1"/>
      <c r="D56" s="1"/>
      <c r="E56" s="1"/>
      <c r="F56" s="1"/>
      <c r="G56" s="1"/>
      <c r="H56" s="1"/>
      <c r="I56" s="1"/>
      <c r="J56" s="1"/>
    </row>
    <row r="57" spans="1:10" ht="13.5" thickBot="1">
      <c r="A57" s="1"/>
      <c r="B57" s="1"/>
      <c r="C57" s="268" t="s">
        <v>82</v>
      </c>
      <c r="D57" s="269" t="s">
        <v>233</v>
      </c>
      <c r="E57" s="269" t="s">
        <v>234</v>
      </c>
      <c r="F57" s="270" t="s">
        <v>235</v>
      </c>
      <c r="G57" s="1"/>
      <c r="H57" s="1"/>
      <c r="I57" s="1"/>
      <c r="J57" s="1"/>
    </row>
    <row r="58" spans="1:10">
      <c r="A58" s="1"/>
      <c r="B58" s="1"/>
      <c r="C58" s="271">
        <v>26</v>
      </c>
      <c r="D58" s="425"/>
      <c r="E58" s="267" t="str">
        <f>IF(F$14="n",G20,"---")</f>
        <v>---</v>
      </c>
      <c r="F58" s="272" t="e">
        <f>IF(ABS(E58-D58)&lt;=0.03,"OK","not OK")</f>
        <v>#VALUE!</v>
      </c>
      <c r="G58" s="1"/>
      <c r="H58" s="1"/>
      <c r="I58" s="1"/>
      <c r="J58" s="1"/>
    </row>
    <row r="59" spans="1:10">
      <c r="A59" s="1"/>
      <c r="B59" s="1"/>
      <c r="C59" s="273">
        <v>29</v>
      </c>
      <c r="D59" s="426"/>
      <c r="E59" s="267" t="str">
        <f>IF(F$14="n",G25,"---")</f>
        <v>---</v>
      </c>
      <c r="F59" s="274" t="e">
        <f>IF(ABS(E59-D59)&lt;=0.03,"OK","not OK")</f>
        <v>#VALUE!</v>
      </c>
      <c r="G59" s="1"/>
      <c r="H59" s="1"/>
      <c r="I59" s="1"/>
      <c r="J59" s="1"/>
    </row>
    <row r="60" spans="1:10">
      <c r="A60" s="1"/>
      <c r="B60" s="1"/>
      <c r="C60" s="273">
        <v>32</v>
      </c>
      <c r="D60" s="426"/>
      <c r="E60" s="267" t="str">
        <f>IF(F$14="n",G30,"---")</f>
        <v>---</v>
      </c>
      <c r="F60" s="274" t="e">
        <f>IF(ABS(E60-D60)&lt;=0.03,"OK","not OK")</f>
        <v>#VALUE!</v>
      </c>
      <c r="G60" s="1"/>
      <c r="H60" s="1"/>
      <c r="I60" s="1"/>
      <c r="J60" s="1"/>
    </row>
    <row r="61" spans="1:10">
      <c r="A61" s="1"/>
      <c r="B61" s="1"/>
      <c r="C61" s="273">
        <v>35</v>
      </c>
      <c r="D61" s="426"/>
      <c r="E61" s="267" t="str">
        <f>IF(F$14="n",G35,"---")</f>
        <v>---</v>
      </c>
      <c r="F61" s="274" t="e">
        <f>IF(ABS(E61-D61)&lt;=0.03,"OK","not OK")</f>
        <v>#VALUE!</v>
      </c>
      <c r="G61" s="1"/>
      <c r="H61" s="1"/>
      <c r="I61" s="1"/>
      <c r="J61" s="1"/>
    </row>
    <row r="62" spans="1:10" ht="13.5" thickBot="1">
      <c r="A62" s="1"/>
      <c r="B62" s="1"/>
      <c r="C62" s="275">
        <v>38</v>
      </c>
      <c r="D62" s="427"/>
      <c r="E62" s="578" t="str">
        <f>IF(F$14="n",G40,"---")</f>
        <v>---</v>
      </c>
      <c r="F62" s="276" t="e">
        <f>IF(ABS(E62-D62)&lt;=0.03,"OK","not OK")</f>
        <v>#VALUE!</v>
      </c>
      <c r="G62" s="1"/>
      <c r="H62" s="1"/>
      <c r="I62" s="1"/>
      <c r="J62" s="1"/>
    </row>
    <row r="63" spans="1:10">
      <c r="A63" s="5"/>
      <c r="B63" s="5"/>
      <c r="C63" s="5"/>
      <c r="D63" s="5"/>
      <c r="E63" s="5"/>
      <c r="F63" s="5"/>
      <c r="G63" s="5"/>
      <c r="H63" s="5"/>
      <c r="I63" s="1"/>
      <c r="J63" s="1"/>
    </row>
    <row r="64" spans="1:10" ht="15" thickBot="1">
      <c r="A64" s="131" t="s">
        <v>160</v>
      </c>
      <c r="B64" s="132"/>
      <c r="C64" s="132"/>
      <c r="D64" s="1"/>
      <c r="E64" s="1"/>
      <c r="F64" s="1"/>
      <c r="G64" s="1"/>
      <c r="H64" s="1"/>
      <c r="I64" s="1"/>
      <c r="J64" s="1"/>
    </row>
    <row r="65" spans="1:10" ht="16.5" thickBot="1">
      <c r="A65" s="1"/>
      <c r="B65" s="1"/>
      <c r="C65" s="1"/>
      <c r="D65" s="1"/>
      <c r="E65" s="122" t="str">
        <f>IF(ISNUMBER(G40),IF(COUNTIF(IF(F14="y",F48:F52,F58:F62),"OK")=5,"PASS","FAIL"),"---")</f>
        <v>---</v>
      </c>
      <c r="F65" s="1"/>
      <c r="G65" s="1"/>
      <c r="H65" s="1"/>
      <c r="I65" s="1"/>
      <c r="J65" s="1"/>
    </row>
    <row r="66" spans="1:10">
      <c r="A66" s="5"/>
      <c r="B66" s="5"/>
      <c r="C66" s="5"/>
      <c r="D66" s="5"/>
      <c r="E66" s="5"/>
      <c r="F66" s="5"/>
      <c r="G66" s="5"/>
      <c r="H66" s="5"/>
      <c r="I66" s="1"/>
      <c r="J66" s="1"/>
    </row>
    <row r="67" spans="1:10" ht="14.25">
      <c r="A67" s="123" t="s">
        <v>158</v>
      </c>
      <c r="B67" s="1"/>
      <c r="C67" s="1"/>
      <c r="D67" s="1"/>
      <c r="E67" s="1"/>
      <c r="F67" s="1"/>
      <c r="G67" s="1"/>
      <c r="H67" s="1"/>
      <c r="I67" s="1"/>
      <c r="J67" s="1"/>
    </row>
    <row r="68" spans="1:10">
      <c r="A68" s="568"/>
      <c r="B68" s="568"/>
      <c r="C68" s="568"/>
      <c r="D68" s="568"/>
      <c r="E68" s="568"/>
      <c r="F68" s="568"/>
      <c r="G68" s="568"/>
      <c r="H68" s="568"/>
      <c r="I68" s="568"/>
      <c r="J68" s="1"/>
    </row>
    <row r="69" spans="1:10">
      <c r="A69" s="568"/>
      <c r="B69" s="568"/>
      <c r="C69" s="568"/>
      <c r="D69" s="568"/>
      <c r="E69" s="568"/>
      <c r="F69" s="568"/>
      <c r="G69" s="568"/>
      <c r="H69" s="568"/>
      <c r="I69" s="568"/>
      <c r="J69" s="1"/>
    </row>
    <row r="70" spans="1:10">
      <c r="A70" s="568"/>
      <c r="B70" s="568"/>
      <c r="C70" s="568"/>
      <c r="D70" s="568"/>
      <c r="E70" s="568"/>
      <c r="F70" s="568"/>
      <c r="G70" s="568"/>
      <c r="H70" s="568"/>
      <c r="I70" s="568"/>
      <c r="J70" s="1"/>
    </row>
    <row r="71" spans="1:10">
      <c r="A71" s="568"/>
      <c r="B71" s="568"/>
      <c r="C71" s="568"/>
      <c r="D71" s="568"/>
      <c r="E71" s="568"/>
      <c r="F71" s="568"/>
      <c r="G71" s="574"/>
      <c r="H71" s="568"/>
      <c r="I71" s="568"/>
      <c r="J71" s="1"/>
    </row>
    <row r="72" spans="1:10">
      <c r="A72" s="564"/>
      <c r="B72" s="564"/>
      <c r="C72" s="564"/>
      <c r="D72" s="564"/>
      <c r="E72" s="564"/>
      <c r="F72" s="564"/>
      <c r="G72" s="575"/>
      <c r="H72" s="564"/>
      <c r="I72" s="564"/>
    </row>
    <row r="73" spans="1:10">
      <c r="A73" s="564"/>
      <c r="B73" s="564"/>
      <c r="C73" s="564"/>
      <c r="D73" s="564"/>
      <c r="E73" s="564"/>
      <c r="F73" s="564"/>
      <c r="G73" s="575"/>
      <c r="H73" s="564"/>
      <c r="I73" s="564"/>
    </row>
    <row r="74" spans="1:10">
      <c r="A74" s="564"/>
      <c r="B74" s="564"/>
      <c r="C74" s="564"/>
      <c r="D74" s="564"/>
      <c r="E74" s="564"/>
      <c r="F74" s="564"/>
      <c r="G74" s="575"/>
      <c r="H74" s="564"/>
      <c r="I74" s="564"/>
    </row>
    <row r="75" spans="1:10">
      <c r="A75" s="564"/>
      <c r="B75" s="564"/>
      <c r="C75" s="564"/>
      <c r="D75" s="564"/>
      <c r="E75" s="564"/>
      <c r="F75" s="564"/>
      <c r="G75" s="575"/>
      <c r="H75" s="564"/>
      <c r="I75" s="564"/>
    </row>
    <row r="76" spans="1:10">
      <c r="A76" s="564"/>
      <c r="B76" s="564"/>
      <c r="C76" s="564"/>
      <c r="D76" s="564"/>
      <c r="E76" s="564"/>
      <c r="F76" s="564"/>
      <c r="G76" s="575"/>
      <c r="H76" s="564"/>
      <c r="I76" s="564"/>
    </row>
    <row r="77" spans="1:10">
      <c r="A77" s="564"/>
      <c r="B77" s="564"/>
      <c r="C77" s="564"/>
      <c r="D77" s="564"/>
      <c r="E77" s="564"/>
      <c r="F77" s="564"/>
      <c r="G77" s="575"/>
      <c r="H77" s="564"/>
      <c r="I77" s="564"/>
    </row>
    <row r="78" spans="1:10">
      <c r="A78" s="564"/>
      <c r="B78" s="564"/>
      <c r="C78" s="564"/>
      <c r="D78" s="564"/>
      <c r="E78" s="564"/>
      <c r="F78" s="564"/>
      <c r="G78" s="575"/>
      <c r="H78" s="564"/>
      <c r="I78" s="564"/>
    </row>
  </sheetData>
  <protectedRanges>
    <protectedRange sqref="D20:D23 D35:D38 D25:D28 D30:D33 D40:D42" name="Range1_1_3"/>
    <protectedRange sqref="C20:C23 C35:C38 C25:C28 C30:C33 C40:C42" name="Range1_1_2_1"/>
  </protectedRanges>
  <mergeCells count="12">
    <mergeCell ref="B45:H45"/>
    <mergeCell ref="F34:G34"/>
    <mergeCell ref="F37:G37"/>
    <mergeCell ref="F39:G39"/>
    <mergeCell ref="F42:G42"/>
    <mergeCell ref="F29:G29"/>
    <mergeCell ref="F32:G32"/>
    <mergeCell ref="B5:J5"/>
    <mergeCell ref="F19:G19"/>
    <mergeCell ref="F22:G22"/>
    <mergeCell ref="F24:G24"/>
    <mergeCell ref="F27:G27"/>
  </mergeCells>
  <phoneticPr fontId="0" type="noConversion"/>
  <pageMargins left="0.75" right="0.75" top="1" bottom="1" header="0.5" footer="0.5"/>
  <pageSetup paperSize="9" orientation="landscape" horizont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J78"/>
  <sheetViews>
    <sheetView topLeftCell="A28" zoomScale="85" zoomScaleNormal="100" zoomScaleSheetLayoutView="100" workbookViewId="0">
      <selection activeCell="N47" sqref="N47"/>
    </sheetView>
  </sheetViews>
  <sheetFormatPr defaultRowHeight="12.75"/>
  <cols>
    <col min="1" max="1" width="3.7109375" customWidth="1"/>
    <col min="2" max="2" width="11.140625" customWidth="1"/>
    <col min="4" max="4" width="9.28515625" customWidth="1"/>
    <col min="5" max="5" width="10.7109375" customWidth="1"/>
    <col min="6" max="6" width="10.42578125" customWidth="1"/>
    <col min="7" max="7" width="8.140625" style="51" customWidth="1"/>
    <col min="8" max="9" width="8.7109375" customWidth="1"/>
    <col min="10" max="10" width="8.140625" customWidth="1"/>
  </cols>
  <sheetData>
    <row r="1" spans="1:10" s="64" customFormat="1" ht="24.75" customHeight="1">
      <c r="A1" s="250" t="s">
        <v>445</v>
      </c>
      <c r="B1" s="62"/>
      <c r="C1" s="62"/>
      <c r="D1" s="62"/>
      <c r="E1" s="62"/>
      <c r="F1" s="62"/>
      <c r="G1" s="88"/>
      <c r="H1" s="62"/>
      <c r="I1" s="62"/>
      <c r="J1" s="62"/>
    </row>
    <row r="2" spans="1:10" s="64" customFormat="1" ht="12.75" customHeight="1">
      <c r="A2" s="36"/>
      <c r="B2" s="62"/>
      <c r="C2" s="62"/>
      <c r="D2" s="62"/>
      <c r="E2" s="62"/>
      <c r="F2" s="62"/>
      <c r="G2" s="88"/>
      <c r="H2" s="62"/>
      <c r="I2" s="62"/>
      <c r="J2" s="62"/>
    </row>
    <row r="3" spans="1:10" ht="14.25">
      <c r="A3" s="123" t="s">
        <v>90</v>
      </c>
      <c r="B3" s="2"/>
      <c r="C3" s="1"/>
      <c r="D3" s="1"/>
      <c r="E3" s="1"/>
      <c r="F3" s="1"/>
      <c r="G3" s="1"/>
      <c r="H3" s="1"/>
      <c r="I3" s="1"/>
      <c r="J3" s="1"/>
    </row>
    <row r="4" spans="1:10">
      <c r="A4" s="1"/>
      <c r="B4" s="2" t="s">
        <v>221</v>
      </c>
      <c r="C4" s="1"/>
      <c r="D4" s="1"/>
      <c r="E4" s="1"/>
      <c r="F4" s="1"/>
      <c r="G4" s="1"/>
      <c r="H4" s="1"/>
      <c r="I4" s="1"/>
      <c r="J4" s="1"/>
    </row>
    <row r="5" spans="1:10" ht="24.75" customHeight="1">
      <c r="A5" s="1"/>
      <c r="B5" s="661" t="s">
        <v>222</v>
      </c>
      <c r="C5" s="651"/>
      <c r="D5" s="651"/>
      <c r="E5" s="651"/>
      <c r="F5" s="651"/>
      <c r="G5" s="651"/>
      <c r="H5" s="651"/>
      <c r="I5" s="651"/>
      <c r="J5" s="651"/>
    </row>
    <row r="6" spans="1:10">
      <c r="A6" s="5"/>
      <c r="B6" s="124"/>
      <c r="C6" s="5"/>
      <c r="D6" s="5"/>
      <c r="E6" s="5"/>
      <c r="F6" s="5"/>
      <c r="G6" s="5"/>
      <c r="H6" s="5"/>
      <c r="I6" s="1"/>
      <c r="J6" s="1"/>
    </row>
    <row r="7" spans="1:10" ht="14.25">
      <c r="A7" s="123" t="s">
        <v>143</v>
      </c>
      <c r="B7" s="1"/>
      <c r="C7" s="1"/>
      <c r="D7" s="1"/>
      <c r="E7" s="1"/>
      <c r="F7" s="1"/>
      <c r="G7" s="1"/>
      <c r="H7" s="1"/>
      <c r="I7" s="1"/>
      <c r="J7" s="1"/>
    </row>
    <row r="8" spans="1:10">
      <c r="A8" s="125"/>
      <c r="B8" s="44" t="s">
        <v>223</v>
      </c>
      <c r="C8" s="1"/>
      <c r="D8" s="1"/>
      <c r="E8" s="1"/>
      <c r="F8" s="1"/>
      <c r="G8" s="1"/>
      <c r="H8" s="1"/>
      <c r="I8" s="1"/>
      <c r="J8" s="1"/>
    </row>
    <row r="9" spans="1:10">
      <c r="A9" s="125"/>
      <c r="B9" s="44" t="s">
        <v>224</v>
      </c>
      <c r="C9" s="1"/>
      <c r="D9" s="1"/>
      <c r="E9" s="1"/>
      <c r="F9" s="1"/>
      <c r="G9" s="1"/>
      <c r="H9" s="1"/>
      <c r="I9" s="1"/>
      <c r="J9" s="1"/>
    </row>
    <row r="10" spans="1:10">
      <c r="A10" s="126"/>
      <c r="B10" s="126"/>
      <c r="C10" s="5"/>
      <c r="D10" s="5"/>
      <c r="E10" s="5"/>
      <c r="F10" s="5"/>
      <c r="G10" s="5"/>
      <c r="H10" s="5"/>
      <c r="I10" s="1"/>
      <c r="J10" s="1"/>
    </row>
    <row r="11" spans="1:10" ht="14.25">
      <c r="A11" s="123" t="s">
        <v>145</v>
      </c>
      <c r="B11" s="125"/>
      <c r="C11" s="1"/>
      <c r="D11" s="1"/>
      <c r="E11" s="1"/>
      <c r="F11" s="1"/>
      <c r="G11" s="1"/>
      <c r="H11" s="1"/>
      <c r="I11" s="1"/>
      <c r="J11" s="1"/>
    </row>
    <row r="12" spans="1:10">
      <c r="A12" s="1"/>
      <c r="B12" s="44" t="s">
        <v>225</v>
      </c>
      <c r="C12" s="1"/>
      <c r="D12" s="422" t="s">
        <v>444</v>
      </c>
      <c r="E12" s="251" t="s">
        <v>226</v>
      </c>
      <c r="F12" s="45"/>
      <c r="G12" s="1"/>
      <c r="H12" s="1"/>
      <c r="I12" s="1"/>
      <c r="J12" s="1"/>
    </row>
    <row r="13" spans="1:10">
      <c r="A13" s="1"/>
      <c r="B13" s="1"/>
      <c r="C13" s="1"/>
      <c r="D13" s="3"/>
      <c r="E13" s="127"/>
      <c r="F13" s="45"/>
      <c r="G13" s="1"/>
      <c r="H13" s="1"/>
      <c r="I13" s="1"/>
      <c r="J13" s="1"/>
    </row>
    <row r="14" spans="1:10">
      <c r="A14" s="1"/>
      <c r="B14" s="1" t="s">
        <v>377</v>
      </c>
      <c r="C14" s="1"/>
      <c r="F14" s="422"/>
      <c r="G14" s="251" t="s">
        <v>226</v>
      </c>
      <c r="H14" s="45"/>
      <c r="I14" s="1"/>
      <c r="J14" s="1"/>
    </row>
    <row r="15" spans="1:10">
      <c r="A15" s="1"/>
      <c r="B15" s="1"/>
      <c r="C15" s="1"/>
      <c r="D15" s="3"/>
      <c r="E15" s="127"/>
      <c r="F15" s="45"/>
      <c r="G15" s="1"/>
      <c r="H15" s="1"/>
      <c r="I15" s="1"/>
      <c r="J15" s="1"/>
    </row>
    <row r="16" spans="1:10">
      <c r="A16" s="5"/>
      <c r="B16" s="5"/>
      <c r="C16" s="5"/>
      <c r="D16" s="5"/>
      <c r="E16" s="128"/>
      <c r="F16" s="129"/>
      <c r="G16" s="124"/>
      <c r="H16" s="5"/>
      <c r="I16" s="1"/>
      <c r="J16" s="1"/>
    </row>
    <row r="17" spans="1:10" ht="14.25">
      <c r="A17" s="123" t="s">
        <v>231</v>
      </c>
      <c r="B17" s="1"/>
      <c r="C17" s="1"/>
      <c r="D17" s="1"/>
      <c r="E17" s="72"/>
      <c r="F17" s="130"/>
      <c r="G17" s="1"/>
      <c r="H17" s="1"/>
      <c r="I17" s="1"/>
      <c r="J17" s="1"/>
    </row>
    <row r="18" spans="1:10" ht="14.25">
      <c r="A18" s="123"/>
      <c r="B18" s="1"/>
      <c r="C18" s="1"/>
      <c r="D18" s="1"/>
      <c r="E18" s="72"/>
      <c r="F18" s="130"/>
      <c r="G18" s="1"/>
      <c r="H18" s="1"/>
      <c r="I18" s="1"/>
      <c r="J18" s="1"/>
    </row>
    <row r="19" spans="1:10" ht="15.75" customHeight="1">
      <c r="A19" s="1"/>
      <c r="B19" s="2"/>
      <c r="C19" s="252" t="s">
        <v>227</v>
      </c>
      <c r="D19" s="252" t="s">
        <v>228</v>
      </c>
      <c r="E19" s="252" t="s">
        <v>229</v>
      </c>
      <c r="F19" s="768"/>
      <c r="G19" s="768"/>
      <c r="H19" s="1"/>
      <c r="I19" s="1"/>
      <c r="J19" s="1"/>
    </row>
    <row r="20" spans="1:10" ht="15">
      <c r="A20" s="1"/>
      <c r="B20" s="255" t="s">
        <v>72</v>
      </c>
      <c r="C20" s="423"/>
      <c r="D20" s="424"/>
      <c r="E20" s="260" t="str">
        <f>IF(D20="","---",D20/D20)</f>
        <v>---</v>
      </c>
      <c r="F20" s="254" t="s">
        <v>230</v>
      </c>
      <c r="G20" s="262" t="e">
        <f>IF(D$12="y",AVERAGE('Xi Data'!R27:R29),IF(D22="","---",(C21*LN(2*D22/D20)-C22*LN(2*D21/D20))/LN(D22/D21)))</f>
        <v>#DIV/0!</v>
      </c>
      <c r="H20" s="1" t="s">
        <v>227</v>
      </c>
      <c r="I20" s="1"/>
      <c r="J20" s="1"/>
    </row>
    <row r="21" spans="1:10">
      <c r="A21" s="1"/>
      <c r="B21" s="2"/>
      <c r="C21" s="423"/>
      <c r="D21" s="424"/>
      <c r="E21" s="261" t="str">
        <f>IF(D21="","---",D21/D20)</f>
        <v>---</v>
      </c>
      <c r="F21" s="254"/>
      <c r="G21" s="253"/>
      <c r="H21" s="1"/>
      <c r="I21" s="1"/>
      <c r="J21" s="1"/>
    </row>
    <row r="22" spans="1:10" ht="15" customHeight="1">
      <c r="A22" s="1"/>
      <c r="B22" s="1"/>
      <c r="C22" s="423"/>
      <c r="D22" s="424"/>
      <c r="E22" s="261" t="str">
        <f>IF(D22="","---",D22/D20)</f>
        <v>---</v>
      </c>
      <c r="F22" s="768"/>
      <c r="G22" s="768"/>
      <c r="H22" s="1"/>
      <c r="I22" s="1"/>
      <c r="J22" s="1"/>
    </row>
    <row r="23" spans="1:10" ht="15" customHeight="1">
      <c r="A23" s="1"/>
      <c r="B23" s="109"/>
      <c r="C23" s="257"/>
      <c r="D23" s="258"/>
      <c r="E23" s="259"/>
      <c r="F23" s="256"/>
      <c r="G23" s="42"/>
      <c r="H23" s="1"/>
      <c r="I23" s="1"/>
      <c r="J23" s="1"/>
    </row>
    <row r="24" spans="1:10" ht="15.75" customHeight="1">
      <c r="A24" s="1"/>
      <c r="B24" s="2"/>
      <c r="C24" s="252" t="s">
        <v>227</v>
      </c>
      <c r="D24" s="252" t="s">
        <v>228</v>
      </c>
      <c r="E24" s="252" t="s">
        <v>229</v>
      </c>
      <c r="F24" s="768"/>
      <c r="G24" s="768"/>
      <c r="H24" s="1"/>
      <c r="I24" s="1"/>
      <c r="J24" s="1"/>
    </row>
    <row r="25" spans="1:10" ht="15">
      <c r="A25" s="1"/>
      <c r="B25" s="255" t="s">
        <v>73</v>
      </c>
      <c r="C25" s="423"/>
      <c r="D25" s="424"/>
      <c r="E25" s="260" t="str">
        <f>IF(D25="","---",D25/D25)</f>
        <v>---</v>
      </c>
      <c r="F25" s="254" t="s">
        <v>230</v>
      </c>
      <c r="G25" s="262" t="e">
        <f>IF(D$12="y",AVERAGE('Xi Data'!R30:R32),IF(D27="","---",(C26*LN(2*D27/D25)-C27*LN(2*D26/D25))/LN(D27/D26)))</f>
        <v>#DIV/0!</v>
      </c>
      <c r="H25" s="1" t="s">
        <v>227</v>
      </c>
      <c r="I25" s="1"/>
      <c r="J25" s="1"/>
    </row>
    <row r="26" spans="1:10">
      <c r="A26" s="1"/>
      <c r="B26" s="2"/>
      <c r="C26" s="423"/>
      <c r="D26" s="424"/>
      <c r="E26" s="261" t="str">
        <f>IF(D26="","---",D26/D25)</f>
        <v>---</v>
      </c>
      <c r="F26" s="254"/>
      <c r="G26" s="253"/>
      <c r="H26" s="1"/>
      <c r="I26" s="1"/>
      <c r="J26" s="1"/>
    </row>
    <row r="27" spans="1:10" ht="15" customHeight="1">
      <c r="A27" s="1"/>
      <c r="B27" s="1"/>
      <c r="C27" s="423"/>
      <c r="D27" s="424"/>
      <c r="E27" s="261" t="str">
        <f>IF(D27="","---",D27/D25)</f>
        <v>---</v>
      </c>
      <c r="F27" s="768"/>
      <c r="G27" s="768"/>
      <c r="H27" s="1"/>
      <c r="I27" s="1"/>
      <c r="J27" s="1"/>
    </row>
    <row r="28" spans="1:10" ht="15" customHeight="1">
      <c r="A28" s="1"/>
      <c r="B28" s="109"/>
      <c r="C28" s="257"/>
      <c r="D28" s="258"/>
      <c r="E28" s="259"/>
      <c r="F28" s="256"/>
      <c r="G28" s="42"/>
      <c r="H28" s="1"/>
      <c r="I28" s="1"/>
      <c r="J28" s="1"/>
    </row>
    <row r="29" spans="1:10" ht="15.75" customHeight="1">
      <c r="A29" s="1"/>
      <c r="B29" s="2"/>
      <c r="C29" s="252" t="s">
        <v>227</v>
      </c>
      <c r="D29" s="252" t="s">
        <v>228</v>
      </c>
      <c r="E29" s="252" t="s">
        <v>229</v>
      </c>
      <c r="F29" s="768"/>
      <c r="G29" s="768"/>
      <c r="H29" s="1"/>
      <c r="I29" s="1"/>
      <c r="J29" s="1"/>
    </row>
    <row r="30" spans="1:10" ht="15">
      <c r="A30" s="1"/>
      <c r="B30" s="255" t="s">
        <v>74</v>
      </c>
      <c r="C30" s="423"/>
      <c r="D30" s="424"/>
      <c r="E30" s="260" t="str">
        <f>IF(D30="","---",D30/D30)</f>
        <v>---</v>
      </c>
      <c r="F30" s="254" t="s">
        <v>230</v>
      </c>
      <c r="G30" s="262" t="e">
        <f>IF(D$12="y",AVERAGE('Xi Data'!R33:R35),IF(D32="","---",(C31*LN(2*D32/D30)-C32*LN(2*D31/D30))/LN(D32/D31)))</f>
        <v>#DIV/0!</v>
      </c>
      <c r="H30" s="1" t="s">
        <v>227</v>
      </c>
      <c r="I30" s="1"/>
      <c r="J30" s="1"/>
    </row>
    <row r="31" spans="1:10">
      <c r="A31" s="1"/>
      <c r="B31" s="2"/>
      <c r="C31" s="423"/>
      <c r="D31" s="424"/>
      <c r="E31" s="261" t="str">
        <f>IF(D31="","---",D31/D30)</f>
        <v>---</v>
      </c>
      <c r="F31" s="254"/>
      <c r="G31" s="253"/>
      <c r="H31" s="1"/>
      <c r="I31" s="1"/>
      <c r="J31" s="1"/>
    </row>
    <row r="32" spans="1:10" ht="15" customHeight="1">
      <c r="A32" s="1"/>
      <c r="B32" s="1"/>
      <c r="C32" s="423"/>
      <c r="D32" s="424"/>
      <c r="E32" s="261" t="str">
        <f>IF(D32="","---",D32/D30)</f>
        <v>---</v>
      </c>
      <c r="F32" s="768"/>
      <c r="G32" s="768"/>
      <c r="H32" s="1"/>
      <c r="I32" s="1"/>
      <c r="J32" s="1"/>
    </row>
    <row r="33" spans="1:10" ht="15" customHeight="1">
      <c r="A33" s="1"/>
      <c r="B33" s="109"/>
      <c r="C33" s="257"/>
      <c r="D33" s="258"/>
      <c r="E33" s="259"/>
      <c r="F33" s="256"/>
      <c r="G33" s="42"/>
      <c r="H33" s="1"/>
      <c r="I33" s="1"/>
      <c r="J33" s="1"/>
    </row>
    <row r="34" spans="1:10" ht="15.75" customHeight="1">
      <c r="A34" s="1"/>
      <c r="B34" s="2"/>
      <c r="C34" s="252" t="s">
        <v>227</v>
      </c>
      <c r="D34" s="252" t="s">
        <v>228</v>
      </c>
      <c r="E34" s="252" t="s">
        <v>229</v>
      </c>
      <c r="F34" s="768"/>
      <c r="G34" s="768"/>
      <c r="H34" s="1"/>
      <c r="I34" s="1"/>
      <c r="J34" s="1"/>
    </row>
    <row r="35" spans="1:10" ht="15">
      <c r="A35" s="1"/>
      <c r="B35" s="255" t="s">
        <v>75</v>
      </c>
      <c r="C35" s="423"/>
      <c r="D35" s="424"/>
      <c r="E35" s="260" t="str">
        <f>IF(D35="","---",D35/D35)</f>
        <v>---</v>
      </c>
      <c r="F35" s="254" t="s">
        <v>230</v>
      </c>
      <c r="G35" s="262" t="e">
        <f>IF(D$12="y",AVERAGE('Xi Data'!R36:R38),IF(D37="","---",(C36*LN(2*D37/D35)-C37*LN(2*D36/D35))/LN(D37/D36)))</f>
        <v>#DIV/0!</v>
      </c>
      <c r="H35" s="1" t="s">
        <v>227</v>
      </c>
      <c r="I35" s="1"/>
      <c r="J35" s="1"/>
    </row>
    <row r="36" spans="1:10">
      <c r="A36" s="1"/>
      <c r="B36" s="2"/>
      <c r="C36" s="423"/>
      <c r="D36" s="424"/>
      <c r="E36" s="261" t="str">
        <f>IF(D36="","---",D36/D35)</f>
        <v>---</v>
      </c>
      <c r="F36" s="254"/>
      <c r="G36" s="253"/>
      <c r="H36" s="1"/>
      <c r="I36" s="1"/>
      <c r="J36" s="1"/>
    </row>
    <row r="37" spans="1:10" ht="15" customHeight="1">
      <c r="A37" s="1"/>
      <c r="B37" s="1"/>
      <c r="C37" s="423"/>
      <c r="D37" s="424"/>
      <c r="E37" s="261" t="str">
        <f>IF(D37="","---",D37/D35)</f>
        <v>---</v>
      </c>
      <c r="F37" s="768"/>
      <c r="G37" s="768"/>
      <c r="H37" s="1"/>
      <c r="I37" s="1"/>
      <c r="J37" s="1"/>
    </row>
    <row r="38" spans="1:10" ht="15" customHeight="1">
      <c r="A38" s="1"/>
      <c r="B38" s="3"/>
      <c r="C38" s="264"/>
      <c r="D38" s="265"/>
      <c r="E38" s="266"/>
      <c r="F38" s="42"/>
      <c r="G38" s="42"/>
      <c r="H38" s="3"/>
      <c r="I38" s="3"/>
      <c r="J38" s="1"/>
    </row>
    <row r="39" spans="1:10" ht="15.75" customHeight="1">
      <c r="A39" s="1"/>
      <c r="B39" s="2"/>
      <c r="C39" s="263" t="s">
        <v>227</v>
      </c>
      <c r="D39" s="263" t="s">
        <v>228</v>
      </c>
      <c r="E39" s="263" t="s">
        <v>229</v>
      </c>
      <c r="F39" s="768"/>
      <c r="G39" s="768"/>
      <c r="H39" s="1"/>
      <c r="I39" s="1"/>
      <c r="J39" s="1"/>
    </row>
    <row r="40" spans="1:10" ht="15">
      <c r="A40" s="1"/>
      <c r="B40" s="255" t="s">
        <v>76</v>
      </c>
      <c r="C40" s="423"/>
      <c r="D40" s="424"/>
      <c r="E40" s="260" t="str">
        <f>IF(D40="","---",D40/D40)</f>
        <v>---</v>
      </c>
      <c r="F40" s="254" t="s">
        <v>230</v>
      </c>
      <c r="G40" s="262" t="e">
        <f>IF(D$12="y",AVERAGE('Xi Data'!R39:R41),IF(D42="","---",(C41*LN(2*D42/D40)-C42*LN(2*D41/D40))/LN(D42/D41)))</f>
        <v>#DIV/0!</v>
      </c>
      <c r="H40" s="1" t="s">
        <v>227</v>
      </c>
      <c r="I40" s="1"/>
      <c r="J40" s="1"/>
    </row>
    <row r="41" spans="1:10">
      <c r="A41" s="1"/>
      <c r="B41" s="2"/>
      <c r="C41" s="423"/>
      <c r="D41" s="424"/>
      <c r="E41" s="261" t="str">
        <f>IF(D41="","---",D41/D40)</f>
        <v>---</v>
      </c>
      <c r="F41" s="254"/>
      <c r="G41" s="253"/>
      <c r="H41" s="1"/>
      <c r="I41" s="1"/>
      <c r="J41" s="1"/>
    </row>
    <row r="42" spans="1:10" ht="15" customHeight="1">
      <c r="A42" s="1"/>
      <c r="B42" s="1"/>
      <c r="C42" s="423"/>
      <c r="D42" s="424"/>
      <c r="E42" s="261" t="str">
        <f>IF(D42="","---",D42/D40)</f>
        <v>---</v>
      </c>
      <c r="F42" s="768"/>
      <c r="G42" s="768"/>
      <c r="H42" s="1"/>
      <c r="I42" s="1"/>
      <c r="J42" s="1"/>
    </row>
    <row r="43" spans="1:10">
      <c r="A43" s="5"/>
      <c r="B43" s="5"/>
      <c r="C43" s="5"/>
      <c r="D43" s="5"/>
      <c r="E43" s="5"/>
      <c r="F43" s="5"/>
      <c r="G43" s="5"/>
      <c r="H43" s="5"/>
      <c r="I43" s="1"/>
      <c r="J43" s="1"/>
    </row>
    <row r="44" spans="1:10" ht="14.25">
      <c r="A44" s="123" t="s">
        <v>382</v>
      </c>
      <c r="B44" s="1"/>
      <c r="C44" s="1"/>
      <c r="D44" s="1"/>
      <c r="E44" s="1"/>
      <c r="F44" s="1"/>
      <c r="G44" s="1"/>
      <c r="H44" s="3"/>
      <c r="I44" s="1"/>
      <c r="J44" s="1"/>
    </row>
    <row r="45" spans="1:10" ht="28.5" customHeight="1">
      <c r="A45" s="123"/>
      <c r="B45" s="769" t="s">
        <v>378</v>
      </c>
      <c r="C45" s="769"/>
      <c r="D45" s="769"/>
      <c r="E45" s="769"/>
      <c r="F45" s="769"/>
      <c r="G45" s="769"/>
      <c r="H45" s="769"/>
      <c r="I45" s="1"/>
      <c r="J45" s="1"/>
    </row>
    <row r="46" spans="1:10" ht="13.5" thickBot="1">
      <c r="A46" s="1"/>
      <c r="B46" s="1"/>
      <c r="C46" s="1"/>
      <c r="D46" s="1"/>
      <c r="E46" s="1"/>
      <c r="F46" s="1"/>
      <c r="G46" s="1"/>
      <c r="H46" s="3"/>
      <c r="I46" s="1"/>
      <c r="J46" s="1"/>
    </row>
    <row r="47" spans="1:10" ht="13.5" thickBot="1">
      <c r="A47" s="1"/>
      <c r="B47" s="268" t="s">
        <v>82</v>
      </c>
      <c r="C47" s="514" t="s">
        <v>375</v>
      </c>
      <c r="D47" s="514" t="s">
        <v>376</v>
      </c>
      <c r="E47" s="269" t="s">
        <v>234</v>
      </c>
      <c r="F47" s="270" t="s">
        <v>235</v>
      </c>
      <c r="G47" s="1"/>
      <c r="H47" s="3"/>
      <c r="I47" s="1"/>
      <c r="J47" s="1"/>
    </row>
    <row r="48" spans="1:10">
      <c r="A48" s="1"/>
      <c r="B48" s="271">
        <v>26</v>
      </c>
      <c r="C48" s="515">
        <v>0.31</v>
      </c>
      <c r="D48" s="515">
        <v>0.41</v>
      </c>
      <c r="E48" s="267" t="str">
        <f>IF(F$14="y",G20,"---")</f>
        <v>---</v>
      </c>
      <c r="F48" s="272" t="str">
        <f>IF(AND(E48&lt;=D48,E48&gt;=C48),"OK","not OK")</f>
        <v>not OK</v>
      </c>
      <c r="G48" s="1"/>
      <c r="H48" s="3"/>
      <c r="I48" s="1"/>
      <c r="J48" s="1"/>
    </row>
    <row r="49" spans="1:10">
      <c r="A49" s="1"/>
      <c r="B49" s="273">
        <v>29</v>
      </c>
      <c r="C49" s="516">
        <v>0.36</v>
      </c>
      <c r="D49" s="516">
        <v>0.46</v>
      </c>
      <c r="E49" s="267" t="str">
        <f>IF(F$14="y",G25,"---")</f>
        <v>---</v>
      </c>
      <c r="F49" s="272" t="str">
        <f>IF(AND(E49&lt;=D49,E49&gt;=C49),"OK","not OK")</f>
        <v>not OK</v>
      </c>
      <c r="G49" s="1"/>
      <c r="H49" s="3"/>
      <c r="I49" s="1"/>
      <c r="J49" s="1"/>
    </row>
    <row r="50" spans="1:10">
      <c r="A50" s="1"/>
      <c r="B50" s="273">
        <v>32</v>
      </c>
      <c r="C50" s="516">
        <v>0.41</v>
      </c>
      <c r="D50" s="516">
        <v>0.51</v>
      </c>
      <c r="E50" s="267" t="str">
        <f>IF(F$14="y",G30,"---")</f>
        <v>---</v>
      </c>
      <c r="F50" s="272" t="str">
        <f>IF(AND(E50&lt;=D50,E50&gt;=C50),"OK","not OK")</f>
        <v>not OK</v>
      </c>
      <c r="G50" s="1"/>
      <c r="H50" s="3"/>
      <c r="I50" s="1"/>
      <c r="J50" s="1"/>
    </row>
    <row r="51" spans="1:10">
      <c r="A51" s="1"/>
      <c r="B51" s="273">
        <v>35</v>
      </c>
      <c r="C51" s="516">
        <v>0.46</v>
      </c>
      <c r="D51" s="516">
        <v>0.56000000000000005</v>
      </c>
      <c r="E51" s="267" t="str">
        <f>IF(F$14="y",G35,"---")</f>
        <v>---</v>
      </c>
      <c r="F51" s="272" t="str">
        <f>IF(AND(E51&lt;=D51,E51&gt;=C51),"OK","not OK")</f>
        <v>not OK</v>
      </c>
      <c r="G51" s="1"/>
      <c r="H51" s="3"/>
      <c r="I51" s="1"/>
      <c r="J51" s="1"/>
    </row>
    <row r="52" spans="1:10" ht="13.5" thickBot="1">
      <c r="A52" s="1"/>
      <c r="B52" s="275">
        <v>38</v>
      </c>
      <c r="C52" s="517">
        <v>0.51</v>
      </c>
      <c r="D52" s="517">
        <v>0.61</v>
      </c>
      <c r="E52" s="578" t="str">
        <f>IF(F$14="y",G40,"---")</f>
        <v>---</v>
      </c>
      <c r="F52" s="276" t="str">
        <f>IF(AND(E52&lt;=D52,E52&gt;=C52),"OK","not OK")</f>
        <v>not OK</v>
      </c>
      <c r="G52" s="1"/>
      <c r="H52" s="3"/>
      <c r="I52" s="1"/>
      <c r="J52" s="1"/>
    </row>
    <row r="53" spans="1:10">
      <c r="A53" s="5"/>
      <c r="B53" s="5"/>
      <c r="C53" s="5"/>
      <c r="D53" s="5"/>
      <c r="E53" s="5"/>
      <c r="F53" s="5"/>
      <c r="G53" s="5"/>
      <c r="H53" s="5"/>
      <c r="I53" s="1"/>
      <c r="J53" s="1"/>
    </row>
    <row r="54" spans="1:10" ht="14.25">
      <c r="A54" s="123" t="s">
        <v>148</v>
      </c>
      <c r="B54" s="1"/>
      <c r="C54" s="1"/>
      <c r="D54" s="1"/>
      <c r="E54" s="1"/>
      <c r="F54" s="1"/>
      <c r="G54" s="1"/>
      <c r="H54" s="1"/>
      <c r="I54" s="1"/>
      <c r="J54" s="1"/>
    </row>
    <row r="55" spans="1:10">
      <c r="A55" s="1"/>
      <c r="B55" s="1" t="s">
        <v>232</v>
      </c>
      <c r="C55" s="1"/>
      <c r="D55" s="1"/>
      <c r="E55" s="1"/>
      <c r="F55" s="1"/>
      <c r="G55" s="1"/>
      <c r="H55" s="1"/>
      <c r="I55" s="1"/>
      <c r="J55" s="1"/>
    </row>
    <row r="56" spans="1:10" ht="13.5" thickBot="1">
      <c r="A56" s="1"/>
      <c r="B56" s="1"/>
      <c r="C56" s="1"/>
      <c r="D56" s="1"/>
      <c r="E56" s="1"/>
      <c r="F56" s="1"/>
      <c r="G56" s="1"/>
      <c r="H56" s="1"/>
      <c r="I56" s="1"/>
      <c r="J56" s="1"/>
    </row>
    <row r="57" spans="1:10" ht="13.5" thickBot="1">
      <c r="A57" s="1"/>
      <c r="B57" s="1"/>
      <c r="C57" s="268" t="s">
        <v>82</v>
      </c>
      <c r="D57" s="269" t="s">
        <v>233</v>
      </c>
      <c r="E57" s="269" t="s">
        <v>234</v>
      </c>
      <c r="F57" s="270" t="s">
        <v>235</v>
      </c>
      <c r="G57" s="1"/>
      <c r="H57" s="1"/>
      <c r="I57" s="1"/>
      <c r="J57" s="1"/>
    </row>
    <row r="58" spans="1:10">
      <c r="A58" s="1"/>
      <c r="B58" s="1"/>
      <c r="C58" s="271">
        <v>26</v>
      </c>
      <c r="D58" s="425"/>
      <c r="E58" s="267" t="str">
        <f>IF(F$14="n",G20,"---")</f>
        <v>---</v>
      </c>
      <c r="F58" s="272" t="e">
        <f>IF(ABS(E58-D58)&lt;=0.03,"OK","not OK")</f>
        <v>#VALUE!</v>
      </c>
      <c r="G58" s="1"/>
      <c r="H58" s="1"/>
      <c r="I58" s="1"/>
      <c r="J58" s="1"/>
    </row>
    <row r="59" spans="1:10">
      <c r="A59" s="1"/>
      <c r="B59" s="1"/>
      <c r="C59" s="273">
        <v>29</v>
      </c>
      <c r="D59" s="426"/>
      <c r="E59" s="267" t="str">
        <f>IF(F$14="n",G25,"---")</f>
        <v>---</v>
      </c>
      <c r="F59" s="274" t="e">
        <f>IF(ABS(E59-D59)&lt;=0.03,"OK","not OK")</f>
        <v>#VALUE!</v>
      </c>
      <c r="G59" s="1"/>
      <c r="H59" s="1"/>
      <c r="I59" s="1"/>
      <c r="J59" s="1"/>
    </row>
    <row r="60" spans="1:10">
      <c r="A60" s="1"/>
      <c r="B60" s="1"/>
      <c r="C60" s="273">
        <v>32</v>
      </c>
      <c r="D60" s="426"/>
      <c r="E60" s="267" t="str">
        <f>IF(F$14="n",G30,"---")</f>
        <v>---</v>
      </c>
      <c r="F60" s="274" t="e">
        <f>IF(ABS(E60-D60)&lt;=0.03,"OK","not OK")</f>
        <v>#VALUE!</v>
      </c>
      <c r="G60" s="1"/>
      <c r="H60" s="1"/>
      <c r="I60" s="1"/>
      <c r="J60" s="1"/>
    </row>
    <row r="61" spans="1:10">
      <c r="A61" s="1"/>
      <c r="B61" s="1"/>
      <c r="C61" s="273">
        <v>35</v>
      </c>
      <c r="D61" s="426"/>
      <c r="E61" s="267" t="str">
        <f>IF(F$14="n",G35,"---")</f>
        <v>---</v>
      </c>
      <c r="F61" s="274" t="e">
        <f>IF(ABS(E61-D61)&lt;=0.03,"OK","not OK")</f>
        <v>#VALUE!</v>
      </c>
      <c r="G61" s="1"/>
      <c r="H61" s="1"/>
      <c r="I61" s="1"/>
      <c r="J61" s="1"/>
    </row>
    <row r="62" spans="1:10" ht="13.5" thickBot="1">
      <c r="A62" s="1"/>
      <c r="B62" s="1"/>
      <c r="C62" s="275">
        <v>38</v>
      </c>
      <c r="D62" s="427"/>
      <c r="E62" s="578" t="str">
        <f>IF(F$14="n",G40,"---")</f>
        <v>---</v>
      </c>
      <c r="F62" s="276" t="e">
        <f>IF(ABS(E62-D62)&lt;=0.03,"OK","not OK")</f>
        <v>#VALUE!</v>
      </c>
      <c r="G62" s="1"/>
      <c r="H62" s="1"/>
      <c r="I62" s="1"/>
      <c r="J62" s="1"/>
    </row>
    <row r="63" spans="1:10">
      <c r="A63" s="5"/>
      <c r="B63" s="5"/>
      <c r="C63" s="5"/>
      <c r="D63" s="5"/>
      <c r="E63" s="5"/>
      <c r="F63" s="5"/>
      <c r="G63" s="5"/>
      <c r="H63" s="5"/>
      <c r="I63" s="1"/>
      <c r="J63" s="1"/>
    </row>
    <row r="64" spans="1:10" ht="15" thickBot="1">
      <c r="A64" s="131" t="s">
        <v>160</v>
      </c>
      <c r="B64" s="132"/>
      <c r="C64" s="132"/>
      <c r="D64" s="1"/>
      <c r="E64" s="1"/>
      <c r="F64" s="1"/>
      <c r="G64" s="1"/>
      <c r="H64" s="1"/>
      <c r="I64" s="1"/>
      <c r="J64" s="1"/>
    </row>
    <row r="65" spans="1:10" ht="16.5" thickBot="1">
      <c r="A65" s="1"/>
      <c r="B65" s="1"/>
      <c r="C65" s="1"/>
      <c r="D65" s="1"/>
      <c r="E65" s="122" t="str">
        <f>IF(ISNUMBER(G40),IF(COUNTIF(IF(F14="y",F48:F52,F58:F62),"OK")=5,"PASS","FAIL"),"---")</f>
        <v>---</v>
      </c>
      <c r="F65" s="1"/>
      <c r="G65" s="1"/>
      <c r="H65" s="1"/>
      <c r="I65" s="1"/>
      <c r="J65" s="1"/>
    </row>
    <row r="66" spans="1:10">
      <c r="A66" s="5"/>
      <c r="B66" s="5"/>
      <c r="C66" s="5"/>
      <c r="D66" s="5"/>
      <c r="E66" s="5"/>
      <c r="F66" s="5"/>
      <c r="G66" s="5"/>
      <c r="H66" s="5"/>
      <c r="I66" s="1"/>
      <c r="J66" s="1"/>
    </row>
    <row r="67" spans="1:10" ht="14.25">
      <c r="A67" s="123" t="s">
        <v>158</v>
      </c>
      <c r="B67" s="1"/>
      <c r="C67" s="1"/>
      <c r="D67" s="1"/>
      <c r="E67" s="1"/>
      <c r="F67" s="1"/>
      <c r="G67" s="1"/>
      <c r="H67" s="1"/>
      <c r="I67" s="1"/>
      <c r="J67" s="1"/>
    </row>
    <row r="68" spans="1:10">
      <c r="A68" s="568"/>
      <c r="B68" s="568"/>
      <c r="C68" s="568"/>
      <c r="D68" s="568"/>
      <c r="E68" s="568"/>
      <c r="F68" s="568"/>
      <c r="G68" s="568"/>
      <c r="H68" s="568"/>
      <c r="I68" s="568"/>
      <c r="J68" s="1"/>
    </row>
    <row r="69" spans="1:10">
      <c r="A69" s="568"/>
      <c r="B69" s="568"/>
      <c r="C69" s="568"/>
      <c r="D69" s="568"/>
      <c r="E69" s="568"/>
      <c r="F69" s="568"/>
      <c r="G69" s="568"/>
      <c r="H69" s="568"/>
      <c r="I69" s="568"/>
      <c r="J69" s="1"/>
    </row>
    <row r="70" spans="1:10">
      <c r="A70" s="568"/>
      <c r="B70" s="568"/>
      <c r="C70" s="568"/>
      <c r="D70" s="568"/>
      <c r="E70" s="568"/>
      <c r="F70" s="568"/>
      <c r="G70" s="568"/>
      <c r="H70" s="568"/>
      <c r="I70" s="568"/>
      <c r="J70" s="1"/>
    </row>
    <row r="71" spans="1:10">
      <c r="A71" s="568"/>
      <c r="B71" s="568"/>
      <c r="C71" s="568"/>
      <c r="D71" s="568"/>
      <c r="E71" s="568"/>
      <c r="F71" s="568"/>
      <c r="G71" s="574"/>
      <c r="H71" s="568"/>
      <c r="I71" s="568"/>
      <c r="J71" s="1"/>
    </row>
    <row r="72" spans="1:10">
      <c r="A72" s="564"/>
      <c r="B72" s="564"/>
      <c r="C72" s="564"/>
      <c r="D72" s="564"/>
      <c r="E72" s="564"/>
      <c r="F72" s="564"/>
      <c r="G72" s="575"/>
      <c r="H72" s="564"/>
      <c r="I72" s="564"/>
    </row>
    <row r="73" spans="1:10">
      <c r="A73" s="564"/>
      <c r="B73" s="564"/>
      <c r="C73" s="564"/>
      <c r="D73" s="564"/>
      <c r="E73" s="564"/>
      <c r="F73" s="564"/>
      <c r="G73" s="575"/>
      <c r="H73" s="564"/>
      <c r="I73" s="564"/>
    </row>
    <row r="74" spans="1:10">
      <c r="A74" s="564"/>
      <c r="B74" s="564"/>
      <c r="C74" s="564"/>
      <c r="D74" s="564"/>
      <c r="E74" s="564"/>
      <c r="F74" s="564"/>
      <c r="G74" s="575"/>
      <c r="H74" s="564"/>
      <c r="I74" s="564"/>
    </row>
    <row r="75" spans="1:10">
      <c r="A75" s="564"/>
      <c r="B75" s="564"/>
      <c r="C75" s="564"/>
      <c r="D75" s="564"/>
      <c r="E75" s="564"/>
      <c r="F75" s="564"/>
      <c r="G75" s="575"/>
      <c r="H75" s="564"/>
      <c r="I75" s="564"/>
    </row>
    <row r="76" spans="1:10">
      <c r="A76" s="564"/>
      <c r="B76" s="564"/>
      <c r="C76" s="564"/>
      <c r="D76" s="564"/>
      <c r="E76" s="564"/>
      <c r="F76" s="564"/>
      <c r="G76" s="575"/>
      <c r="H76" s="564"/>
      <c r="I76" s="564"/>
    </row>
    <row r="77" spans="1:10">
      <c r="A77" s="564"/>
      <c r="B77" s="564"/>
      <c r="C77" s="564"/>
      <c r="D77" s="564"/>
      <c r="E77" s="564"/>
      <c r="F77" s="564"/>
      <c r="G77" s="575"/>
      <c r="H77" s="564"/>
      <c r="I77" s="564"/>
    </row>
    <row r="78" spans="1:10">
      <c r="A78" s="564"/>
      <c r="B78" s="564"/>
      <c r="C78" s="564"/>
      <c r="D78" s="564"/>
      <c r="E78" s="564"/>
      <c r="F78" s="564"/>
      <c r="G78" s="575"/>
      <c r="H78" s="564"/>
      <c r="I78" s="564"/>
    </row>
  </sheetData>
  <protectedRanges>
    <protectedRange sqref="D20:D23 D35:D38 D25:D28 D30:D33 D40:D42" name="Range1_1_3"/>
    <protectedRange sqref="C20:C23 C35:C38 C25:C28 C30:C33 C40:C42" name="Range1_1_2_1"/>
  </protectedRanges>
  <mergeCells count="12">
    <mergeCell ref="B45:H45"/>
    <mergeCell ref="B5:J5"/>
    <mergeCell ref="F19:G19"/>
    <mergeCell ref="F22:G22"/>
    <mergeCell ref="F24:G24"/>
    <mergeCell ref="F27:G27"/>
    <mergeCell ref="F29:G29"/>
    <mergeCell ref="F32:G32"/>
    <mergeCell ref="F34:G34"/>
    <mergeCell ref="F37:G37"/>
    <mergeCell ref="F39:G39"/>
    <mergeCell ref="F42:G42"/>
  </mergeCells>
  <pageMargins left="0.75" right="0.75" top="1" bottom="1" header="0.5" footer="0.5"/>
  <pageSetup paperSize="9" orientation="landscape" horizont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B71"/>
  <sheetViews>
    <sheetView topLeftCell="A16" zoomScale="85" workbookViewId="0">
      <selection activeCell="O15" sqref="O15"/>
    </sheetView>
  </sheetViews>
  <sheetFormatPr defaultRowHeight="12.75"/>
  <cols>
    <col min="1" max="1" width="3.7109375" customWidth="1"/>
    <col min="2" max="2" width="10.85546875" customWidth="1"/>
    <col min="3" max="3" width="10.42578125" customWidth="1"/>
    <col min="4" max="4" width="8.85546875" customWidth="1"/>
    <col min="6" max="6" width="8.7109375" customWidth="1"/>
    <col min="7" max="7" width="9" customWidth="1"/>
    <col min="8" max="8" width="8.7109375" customWidth="1"/>
    <col min="9" max="9" width="8.85546875" customWidth="1"/>
    <col min="10" max="10" width="8.5703125" customWidth="1"/>
    <col min="11" max="11" width="9.42578125" customWidth="1"/>
    <col min="12" max="14" width="7.28515625" customWidth="1"/>
    <col min="15" max="15" width="8.42578125" customWidth="1"/>
    <col min="16" max="16" width="10.28515625" customWidth="1"/>
    <col min="17" max="17" width="18.140625" customWidth="1"/>
    <col min="18" max="18" width="10.85546875" customWidth="1"/>
    <col min="19" max="19" width="9.140625" style="4"/>
  </cols>
  <sheetData>
    <row r="1" spans="1:28" s="61" customFormat="1" ht="30" customHeight="1">
      <c r="A1" s="250" t="s">
        <v>427</v>
      </c>
      <c r="C1" s="60"/>
      <c r="D1" s="60"/>
      <c r="F1" s="60"/>
      <c r="G1" s="60"/>
      <c r="H1" s="60"/>
      <c r="I1" s="60"/>
      <c r="J1" s="60"/>
      <c r="K1" s="60"/>
      <c r="L1" s="60"/>
      <c r="M1" s="60"/>
      <c r="N1" s="60"/>
      <c r="O1" s="60"/>
      <c r="P1" s="60"/>
      <c r="Q1" s="60"/>
      <c r="R1" s="60"/>
      <c r="S1" s="60"/>
      <c r="T1" s="60"/>
      <c r="U1" s="60"/>
      <c r="V1" s="60"/>
      <c r="W1" s="60"/>
      <c r="X1" s="60"/>
      <c r="Y1" s="60"/>
      <c r="Z1" s="60"/>
      <c r="AA1" s="60"/>
      <c r="AB1" s="69"/>
    </row>
    <row r="2" spans="1:28" s="32" customFormat="1">
      <c r="A2" s="44"/>
      <c r="B2" s="42"/>
      <c r="C2" s="41"/>
      <c r="D2" s="41"/>
      <c r="E2" s="41"/>
      <c r="F2" s="41"/>
      <c r="G2" s="41"/>
      <c r="H2" s="41"/>
      <c r="I2" s="41"/>
      <c r="J2" s="41"/>
      <c r="K2" s="41"/>
      <c r="L2" s="42"/>
      <c r="M2" s="42"/>
      <c r="N2" s="42"/>
      <c r="O2" s="42"/>
      <c r="P2" s="42"/>
      <c r="Q2" s="45"/>
      <c r="R2" s="45"/>
      <c r="S2" s="46"/>
      <c r="T2" s="44"/>
      <c r="U2" s="44"/>
      <c r="V2" s="44"/>
      <c r="W2" s="44"/>
      <c r="X2" s="44"/>
      <c r="Y2" s="44"/>
      <c r="Z2" s="44"/>
      <c r="AA2" s="44"/>
      <c r="AB2" s="29"/>
    </row>
    <row r="3" spans="1:28" ht="14.25">
      <c r="A3" s="123" t="s">
        <v>90</v>
      </c>
      <c r="B3" s="2"/>
      <c r="C3" s="1"/>
      <c r="D3" s="1"/>
      <c r="E3" s="1"/>
      <c r="F3" s="1"/>
      <c r="G3" s="1"/>
      <c r="H3" s="1"/>
      <c r="I3" s="1"/>
      <c r="J3" s="1"/>
      <c r="K3" s="1"/>
      <c r="L3" s="1"/>
      <c r="M3" s="1"/>
      <c r="S3"/>
    </row>
    <row r="4" spans="1:28" ht="30.75" customHeight="1">
      <c r="A4" s="651" t="s">
        <v>284</v>
      </c>
      <c r="B4" s="651"/>
      <c r="C4" s="651"/>
      <c r="D4" s="651"/>
      <c r="E4" s="651"/>
      <c r="F4" s="651"/>
      <c r="G4" s="651"/>
      <c r="H4" s="651"/>
      <c r="I4" s="651"/>
      <c r="J4" s="651"/>
      <c r="K4" s="651"/>
      <c r="L4" s="651"/>
      <c r="M4" s="651"/>
      <c r="S4"/>
    </row>
    <row r="5" spans="1:28">
      <c r="A5" s="5"/>
      <c r="B5" s="124"/>
      <c r="C5" s="5"/>
      <c r="D5" s="5"/>
      <c r="E5" s="5"/>
      <c r="F5" s="5"/>
      <c r="G5" s="5"/>
      <c r="H5" s="5"/>
      <c r="I5" s="5"/>
      <c r="J5" s="5"/>
      <c r="K5" s="5"/>
      <c r="L5" s="1"/>
      <c r="M5" s="1"/>
      <c r="S5"/>
    </row>
    <row r="6" spans="1:28" ht="14.25">
      <c r="A6" s="123" t="s">
        <v>143</v>
      </c>
      <c r="B6" s="1"/>
      <c r="C6" s="1"/>
      <c r="D6" s="1"/>
      <c r="E6" s="1"/>
      <c r="F6" s="1"/>
      <c r="G6" s="1"/>
      <c r="H6" s="1"/>
      <c r="I6" s="1"/>
      <c r="J6" s="1"/>
      <c r="K6" s="1"/>
      <c r="L6" s="1"/>
      <c r="M6" s="1"/>
      <c r="S6"/>
    </row>
    <row r="7" spans="1:28">
      <c r="A7" s="44" t="s">
        <v>285</v>
      </c>
      <c r="B7" s="125"/>
      <c r="C7" s="1"/>
      <c r="D7" s="1"/>
      <c r="E7" s="1"/>
      <c r="F7" s="1"/>
      <c r="G7" s="1"/>
      <c r="H7" s="1"/>
      <c r="I7" s="1"/>
      <c r="J7" s="1"/>
      <c r="K7" s="1"/>
      <c r="L7" s="1"/>
      <c r="M7" s="1"/>
      <c r="S7"/>
    </row>
    <row r="8" spans="1:28">
      <c r="A8" s="126"/>
      <c r="B8" s="126"/>
      <c r="C8" s="5"/>
      <c r="D8" s="5"/>
      <c r="E8" s="5"/>
      <c r="F8" s="5"/>
      <c r="G8" s="5"/>
      <c r="H8" s="5"/>
      <c r="I8" s="5"/>
      <c r="J8" s="5"/>
      <c r="K8" s="5"/>
      <c r="L8" s="1"/>
      <c r="M8" s="1"/>
      <c r="S8"/>
    </row>
    <row r="9" spans="1:28" ht="14.25">
      <c r="A9" s="123" t="s">
        <v>231</v>
      </c>
      <c r="B9" s="125"/>
      <c r="C9" s="1"/>
      <c r="D9" s="1"/>
      <c r="E9" s="1"/>
      <c r="F9" s="1"/>
      <c r="G9" s="1"/>
      <c r="H9" s="1"/>
      <c r="I9" s="1"/>
      <c r="J9" s="1"/>
      <c r="K9" s="322"/>
      <c r="L9" s="1"/>
      <c r="M9" s="1"/>
      <c r="S9"/>
    </row>
    <row r="10" spans="1:28" ht="14.25">
      <c r="A10" s="123"/>
      <c r="B10" s="125"/>
      <c r="C10" s="1"/>
      <c r="D10" s="1"/>
      <c r="E10" s="215" t="s">
        <v>280</v>
      </c>
      <c r="F10" s="422"/>
      <c r="G10" s="1"/>
      <c r="H10" s="215" t="s">
        <v>286</v>
      </c>
      <c r="I10" s="422"/>
      <c r="J10" s="215" t="s">
        <v>287</v>
      </c>
      <c r="K10" s="422"/>
      <c r="L10" s="1"/>
      <c r="M10" s="1"/>
      <c r="S10"/>
    </row>
    <row r="11" spans="1:28" ht="14.25">
      <c r="A11" s="123"/>
      <c r="B11" s="125"/>
      <c r="C11" s="1"/>
      <c r="D11" s="1"/>
      <c r="E11" s="215"/>
      <c r="F11" s="1"/>
      <c r="G11" s="1"/>
      <c r="H11" s="215" t="s">
        <v>255</v>
      </c>
      <c r="I11" s="422"/>
      <c r="J11" s="1"/>
      <c r="K11" s="322"/>
      <c r="L11" s="1"/>
      <c r="M11" s="1"/>
      <c r="S11"/>
    </row>
    <row r="12" spans="1:28" ht="25.5" customHeight="1">
      <c r="A12" s="131"/>
      <c r="B12" s="774" t="s">
        <v>36</v>
      </c>
      <c r="C12" s="776" t="s">
        <v>279</v>
      </c>
      <c r="D12" s="752" t="s">
        <v>282</v>
      </c>
      <c r="E12" s="752"/>
      <c r="F12" s="752"/>
      <c r="G12" s="752"/>
      <c r="H12" s="752"/>
      <c r="I12" s="752"/>
      <c r="J12" s="752"/>
      <c r="K12" s="752" t="s">
        <v>281</v>
      </c>
      <c r="L12" s="3"/>
      <c r="M12" s="1"/>
      <c r="S12"/>
    </row>
    <row r="13" spans="1:28" ht="15.75" customHeight="1">
      <c r="A13" s="131"/>
      <c r="B13" s="775"/>
      <c r="C13" s="775"/>
      <c r="D13" s="241" t="s">
        <v>37</v>
      </c>
      <c r="E13" s="241" t="s">
        <v>38</v>
      </c>
      <c r="F13" s="241" t="s">
        <v>39</v>
      </c>
      <c r="G13" s="241" t="s">
        <v>40</v>
      </c>
      <c r="H13" s="241" t="s">
        <v>41</v>
      </c>
      <c r="I13" s="241" t="s">
        <v>42</v>
      </c>
      <c r="J13" s="241" t="s">
        <v>119</v>
      </c>
      <c r="K13" s="773"/>
      <c r="L13" s="3"/>
      <c r="M13" s="1"/>
      <c r="S13"/>
    </row>
    <row r="14" spans="1:28" ht="14.25">
      <c r="A14" s="131"/>
      <c r="B14" s="324">
        <v>1.6</v>
      </c>
      <c r="C14" s="325">
        <f>IF(F10="C70",0.111,0.074)</f>
        <v>7.3999999999999996E-2</v>
      </c>
      <c r="D14" s="437"/>
      <c r="E14" s="437"/>
      <c r="F14" s="437"/>
      <c r="G14" s="437"/>
      <c r="H14" s="437"/>
      <c r="I14" s="437"/>
      <c r="J14" s="326" t="str">
        <f>IF(ISBLANK(I14),"---",AVERAGE(D14:I14))</f>
        <v>---</v>
      </c>
      <c r="K14" s="327" t="str">
        <f>IF(J14="---","---",IF(J14&lt;C14,"PASS","FAIL"))</f>
        <v>---</v>
      </c>
      <c r="L14" s="3"/>
      <c r="M14" s="1"/>
      <c r="S14"/>
    </row>
    <row r="15" spans="1:28">
      <c r="A15" s="3"/>
      <c r="B15" s="68">
        <v>1</v>
      </c>
      <c r="C15" s="325">
        <f>IF(F10="C70",0.137,0.091)</f>
        <v>9.0999999999999998E-2</v>
      </c>
      <c r="D15" s="430"/>
      <c r="E15" s="430"/>
      <c r="F15" s="430"/>
      <c r="G15" s="430"/>
      <c r="H15" s="430"/>
      <c r="I15" s="430"/>
      <c r="J15" s="323" t="str">
        <f>IF(ISBLANK(I15),"---",AVERAGE(D15:I15))</f>
        <v>---</v>
      </c>
      <c r="K15" s="160" t="str">
        <f>IF(J15="---","---",IF(J15&lt;C15,"PASS","FAIL"))</f>
        <v>---</v>
      </c>
      <c r="L15" s="3"/>
      <c r="M15" s="1"/>
      <c r="S15"/>
    </row>
    <row r="16" spans="1:28">
      <c r="A16" s="3"/>
      <c r="B16" s="68">
        <v>0.63</v>
      </c>
      <c r="C16" s="325">
        <f>IF(F10="C70",0.185,0.123)</f>
        <v>0.123</v>
      </c>
      <c r="D16" s="430"/>
      <c r="E16" s="430"/>
      <c r="F16" s="430"/>
      <c r="G16" s="430"/>
      <c r="H16" s="430"/>
      <c r="I16" s="430"/>
      <c r="J16" s="323" t="str">
        <f>IF(ISBLANK(I16),"---",AVERAGE(D16:I16))</f>
        <v>---</v>
      </c>
      <c r="K16" s="160" t="str">
        <f>IF(J16="---","---",IF(J16&lt;C16,"PASS","FAIL"))</f>
        <v>---</v>
      </c>
      <c r="L16" s="3"/>
      <c r="M16" s="1"/>
      <c r="S16"/>
    </row>
    <row r="17" spans="1:28">
      <c r="A17" s="3"/>
      <c r="B17" s="68">
        <v>0.4</v>
      </c>
      <c r="C17" s="325">
        <f>IF(F10="C70",0.283,0.189)</f>
        <v>0.189</v>
      </c>
      <c r="D17" s="430"/>
      <c r="E17" s="430"/>
      <c r="F17" s="430"/>
      <c r="G17" s="430"/>
      <c r="H17" s="430"/>
      <c r="I17" s="430"/>
      <c r="J17" s="323" t="str">
        <f>IF(ISBLANK(I17),"---",AVERAGE(D17:I17))</f>
        <v>---</v>
      </c>
      <c r="K17" s="160" t="str">
        <f>IF(J17="---","---",IF(J17&lt;C17,"PASS","FAIL"))</f>
        <v>---</v>
      </c>
      <c r="L17" s="3"/>
      <c r="M17" s="1"/>
      <c r="S17"/>
    </row>
    <row r="18" spans="1:28">
      <c r="A18" s="25"/>
      <c r="B18" s="68">
        <v>0.25</v>
      </c>
      <c r="C18" s="325">
        <f>IF(F10="C70",0.528,0.352)</f>
        <v>0.35199999999999998</v>
      </c>
      <c r="D18" s="430"/>
      <c r="E18" s="430"/>
      <c r="F18" s="430"/>
      <c r="G18" s="430"/>
      <c r="H18" s="430"/>
      <c r="I18" s="430"/>
      <c r="J18" s="323" t="str">
        <f>IF(ISBLANK(I18),"---",AVERAGE(D18:I18))</f>
        <v>---</v>
      </c>
      <c r="K18" s="160" t="str">
        <f>IF(J18="---","---",IF(J18&lt;C18,"PASS","FAIL"))</f>
        <v>---</v>
      </c>
      <c r="L18" s="3"/>
      <c r="M18" s="1"/>
      <c r="S18"/>
    </row>
    <row r="19" spans="1:28">
      <c r="A19" s="3"/>
      <c r="B19" s="68">
        <v>0.1</v>
      </c>
      <c r="C19" s="325">
        <f>IF(F10="C70","n/a",1.68)</f>
        <v>1.68</v>
      </c>
      <c r="D19" s="430"/>
      <c r="E19" s="430"/>
      <c r="F19" s="430"/>
      <c r="G19" s="430"/>
      <c r="H19" s="430"/>
      <c r="I19" s="430"/>
      <c r="J19" s="323" t="str">
        <f>IF(F10="C70","n/a",IF(ISBLANK(I19),"---",AVERAGE(D19:I19)))</f>
        <v>---</v>
      </c>
      <c r="K19" s="160" t="str">
        <f>(IF(F10="C70","n/a",IF(J19="---","---",IF(J19&lt;C19,"PASS","FAIL"))))</f>
        <v>---</v>
      </c>
      <c r="L19" s="3"/>
      <c r="M19" s="1"/>
      <c r="S19"/>
    </row>
    <row r="20" spans="1:28">
      <c r="A20" s="3"/>
      <c r="B20" s="3"/>
      <c r="C20" s="3"/>
      <c r="D20" s="3"/>
      <c r="E20" s="127"/>
      <c r="F20" s="45"/>
      <c r="G20" s="3"/>
      <c r="H20" s="3"/>
      <c r="I20" s="3"/>
      <c r="J20" s="3"/>
      <c r="K20" s="3"/>
      <c r="L20" s="3"/>
      <c r="M20" s="1"/>
      <c r="S20"/>
    </row>
    <row r="21" spans="1:28" ht="15" customHeight="1">
      <c r="A21" s="5"/>
      <c r="B21" s="5"/>
      <c r="C21" s="5"/>
      <c r="D21" s="5"/>
      <c r="E21" s="5"/>
      <c r="F21" s="5"/>
      <c r="G21" s="5"/>
      <c r="H21" s="5"/>
      <c r="I21" s="5"/>
      <c r="J21" s="5"/>
      <c r="K21" s="5"/>
      <c r="L21" s="1"/>
      <c r="M21" s="1"/>
      <c r="S21"/>
    </row>
    <row r="22" spans="1:28" ht="15" customHeight="1">
      <c r="A22" s="123" t="s">
        <v>148</v>
      </c>
      <c r="B22" s="1"/>
      <c r="C22" s="1"/>
      <c r="D22" s="1"/>
      <c r="E22" s="1"/>
      <c r="F22" s="1"/>
      <c r="G22" s="1"/>
      <c r="H22" s="1"/>
      <c r="I22" s="1"/>
      <c r="J22" s="1"/>
      <c r="K22" s="1"/>
      <c r="L22" s="1"/>
      <c r="M22" s="1"/>
      <c r="S22"/>
    </row>
    <row r="23" spans="1:28" ht="26.25" customHeight="1">
      <c r="A23" s="1"/>
      <c r="B23" s="1"/>
      <c r="C23" s="770" t="s">
        <v>283</v>
      </c>
      <c r="D23" s="770"/>
      <c r="E23" s="771"/>
      <c r="F23" s="771"/>
      <c r="G23" s="771"/>
      <c r="H23" s="642"/>
      <c r="I23" s="642"/>
      <c r="J23" s="642"/>
      <c r="K23" s="1"/>
      <c r="L23" s="1"/>
      <c r="M23" s="1"/>
      <c r="S23"/>
    </row>
    <row r="24" spans="1:28">
      <c r="A24" s="5"/>
      <c r="B24" s="5"/>
      <c r="C24" s="5"/>
      <c r="D24" s="5"/>
      <c r="E24" s="5"/>
      <c r="F24" s="5"/>
      <c r="G24" s="5"/>
      <c r="H24" s="5"/>
      <c r="I24" s="5"/>
      <c r="J24" s="5"/>
      <c r="K24" s="5"/>
      <c r="L24" s="1"/>
      <c r="M24" s="1"/>
      <c r="S24"/>
    </row>
    <row r="25" spans="1:28" ht="15" thickBot="1">
      <c r="A25" s="131" t="s">
        <v>160</v>
      </c>
      <c r="B25" s="132"/>
      <c r="C25" s="132"/>
      <c r="D25" s="1"/>
      <c r="E25" s="1"/>
      <c r="F25" s="1"/>
      <c r="G25" s="1"/>
      <c r="H25" s="1"/>
      <c r="I25" s="1"/>
      <c r="J25" s="1"/>
      <c r="K25" s="1"/>
      <c r="L25" s="1"/>
      <c r="M25" s="1"/>
      <c r="S25"/>
    </row>
    <row r="26" spans="1:28" ht="16.5" thickBot="1">
      <c r="A26" s="1"/>
      <c r="B26" s="1"/>
      <c r="C26" s="1"/>
      <c r="D26" s="1"/>
      <c r="E26" s="122" t="str">
        <f>IF(ISBLANK(I18),"---",IF(COUNTIF(K14:K19,"PASS")&gt;=IF(F10="C70",4,5),"PASS","FAIL"))</f>
        <v>---</v>
      </c>
      <c r="F26" s="1"/>
      <c r="G26" s="1"/>
      <c r="H26" s="1"/>
      <c r="I26" s="1"/>
      <c r="J26" s="1"/>
      <c r="K26" s="1"/>
      <c r="L26" s="1"/>
      <c r="M26" s="1"/>
      <c r="S26"/>
    </row>
    <row r="27" spans="1:28">
      <c r="A27" s="5"/>
      <c r="B27" s="5"/>
      <c r="C27" s="5"/>
      <c r="D27" s="5"/>
      <c r="E27" s="5"/>
      <c r="F27" s="5"/>
      <c r="G27" s="5"/>
      <c r="H27" s="5"/>
      <c r="I27" s="5"/>
      <c r="J27" s="5"/>
      <c r="K27" s="5"/>
      <c r="L27" s="1"/>
      <c r="M27" s="1"/>
      <c r="S27"/>
    </row>
    <row r="28" spans="1:28" ht="14.25">
      <c r="A28" s="123" t="s">
        <v>158</v>
      </c>
      <c r="B28" s="1"/>
      <c r="C28" s="1"/>
      <c r="D28" s="1"/>
      <c r="E28" s="1"/>
      <c r="F28" s="1"/>
      <c r="G28" s="1"/>
      <c r="H28" s="1"/>
      <c r="I28" s="1"/>
      <c r="J28" s="1"/>
      <c r="K28" s="1"/>
      <c r="L28" s="1"/>
      <c r="M28" s="1"/>
      <c r="S28"/>
    </row>
    <row r="29" spans="1:28" s="32" customFormat="1">
      <c r="A29" s="44"/>
      <c r="B29" s="42"/>
      <c r="C29" s="41"/>
      <c r="D29" s="41"/>
      <c r="E29" s="41"/>
      <c r="F29" s="41"/>
      <c r="G29" s="41"/>
      <c r="H29" s="41"/>
      <c r="I29" s="41"/>
      <c r="J29" s="41"/>
      <c r="K29" s="41"/>
      <c r="L29" s="42"/>
      <c r="M29" s="42"/>
      <c r="N29" s="42"/>
      <c r="O29" s="42"/>
      <c r="P29" s="42"/>
      <c r="Q29" s="45"/>
      <c r="R29" s="45"/>
      <c r="S29" s="46"/>
      <c r="T29" s="44"/>
      <c r="U29" s="44"/>
      <c r="V29" s="44"/>
      <c r="W29" s="44"/>
      <c r="X29" s="44"/>
      <c r="Y29" s="44"/>
      <c r="Z29" s="44"/>
      <c r="AA29" s="44"/>
      <c r="AB29" s="29"/>
    </row>
    <row r="30" spans="1:28">
      <c r="A30" s="1"/>
      <c r="B30" s="1"/>
      <c r="C30" s="1"/>
      <c r="D30" s="1"/>
      <c r="E30" s="1"/>
      <c r="F30" s="1"/>
      <c r="G30" s="1"/>
      <c r="H30" s="1"/>
      <c r="I30" s="1"/>
      <c r="J30" s="1"/>
      <c r="K30" s="1"/>
      <c r="L30" s="1"/>
      <c r="M30" s="1"/>
    </row>
    <row r="31" spans="1:28">
      <c r="A31" s="5"/>
      <c r="B31" s="5"/>
      <c r="C31" s="5"/>
      <c r="D31" s="5"/>
      <c r="E31" s="5"/>
      <c r="F31" s="5"/>
      <c r="G31" s="5"/>
      <c r="H31" s="5"/>
      <c r="I31" s="5"/>
      <c r="J31" s="5"/>
      <c r="K31" s="5"/>
      <c r="L31" s="1"/>
      <c r="M31" s="1"/>
    </row>
    <row r="32" spans="1:28" ht="18">
      <c r="A32" s="250" t="s">
        <v>288</v>
      </c>
      <c r="B32" s="125"/>
      <c r="C32" s="1"/>
      <c r="D32" s="1"/>
      <c r="E32" s="1"/>
      <c r="F32" s="1"/>
      <c r="G32" s="1"/>
      <c r="H32" s="1"/>
      <c r="I32" s="1"/>
      <c r="J32" s="1"/>
      <c r="K32" s="322"/>
      <c r="L32" s="1"/>
      <c r="M32" s="1"/>
      <c r="S32"/>
    </row>
    <row r="33" spans="1:19" ht="12" customHeight="1">
      <c r="A33" s="250"/>
      <c r="B33" s="125"/>
      <c r="C33" s="1"/>
      <c r="D33" s="1"/>
      <c r="E33" s="1"/>
      <c r="F33" s="1"/>
      <c r="G33" s="1"/>
      <c r="H33" s="1"/>
      <c r="I33" s="1"/>
      <c r="J33" s="1"/>
      <c r="K33" s="322"/>
      <c r="L33" s="1"/>
      <c r="M33" s="1"/>
      <c r="S33"/>
    </row>
    <row r="34" spans="1:19" ht="14.25">
      <c r="A34" s="123" t="s">
        <v>289</v>
      </c>
      <c r="B34" s="125"/>
      <c r="C34" s="1"/>
      <c r="D34" s="1"/>
      <c r="E34" s="1"/>
      <c r="F34" s="1"/>
      <c r="G34" s="1"/>
      <c r="H34" s="1"/>
      <c r="I34" s="1"/>
      <c r="J34" s="1"/>
      <c r="K34" s="322"/>
      <c r="L34" s="1"/>
      <c r="M34" s="1"/>
      <c r="S34"/>
    </row>
    <row r="35" spans="1:19" ht="14.25">
      <c r="A35" s="123"/>
      <c r="B35" s="125"/>
      <c r="C35" s="1"/>
      <c r="D35" s="1"/>
      <c r="E35" s="1"/>
      <c r="F35" s="1"/>
      <c r="G35" s="1"/>
      <c r="H35" s="1"/>
      <c r="I35" s="1"/>
      <c r="J35" s="1"/>
      <c r="K35" s="322"/>
      <c r="L35" s="1"/>
      <c r="M35" s="1"/>
      <c r="S35"/>
    </row>
    <row r="36" spans="1:19" ht="27">
      <c r="A36" s="123"/>
      <c r="B36" s="125"/>
      <c r="C36" s="333" t="s">
        <v>296</v>
      </c>
      <c r="D36" s="333" t="s">
        <v>297</v>
      </c>
      <c r="E36" s="334" t="s">
        <v>298</v>
      </c>
      <c r="F36" s="331"/>
      <c r="G36" s="1"/>
      <c r="H36" s="1"/>
      <c r="I36" s="1"/>
      <c r="J36" s="1"/>
      <c r="K36" s="322"/>
      <c r="L36" s="1"/>
      <c r="M36" s="1"/>
      <c r="S36"/>
    </row>
    <row r="37" spans="1:19" ht="15.75">
      <c r="A37" s="123"/>
      <c r="B37" s="125"/>
      <c r="C37" s="330">
        <v>1</v>
      </c>
      <c r="D37" s="438"/>
      <c r="E37" s="335" t="str">
        <f>IF(ISBLANK(D37),"---",C37*D37)</f>
        <v>---</v>
      </c>
      <c r="F37" s="332"/>
      <c r="H37" s="337" t="s">
        <v>327</v>
      </c>
      <c r="I37" s="335" t="str">
        <f>IF(ISBLANK(D37),"---",IF(F10="C70",AVERAGE(E37:E45),AVERAGE(E37:E47)))</f>
        <v>---</v>
      </c>
      <c r="J37" s="1"/>
      <c r="K37" s="322"/>
      <c r="L37" s="1"/>
      <c r="M37" s="1"/>
      <c r="S37"/>
    </row>
    <row r="38" spans="1:19" ht="14.25">
      <c r="A38" s="123"/>
      <c r="B38" s="125"/>
      <c r="C38" s="330">
        <v>0.8</v>
      </c>
      <c r="D38" s="438"/>
      <c r="E38" s="335" t="str">
        <f t="shared" ref="E38:E47" si="0">IF(ISBLANK(D38),"---",C38*D38)</f>
        <v>---</v>
      </c>
      <c r="F38" s="332"/>
      <c r="G38" s="1"/>
      <c r="H38" s="367" t="s">
        <v>299</v>
      </c>
      <c r="I38" s="336" t="str">
        <f>IF(ISBLANK(D37),"---",1/I37)</f>
        <v>---</v>
      </c>
      <c r="J38" s="1"/>
      <c r="K38" s="322"/>
      <c r="L38" s="1"/>
      <c r="M38" s="1"/>
      <c r="S38"/>
    </row>
    <row r="39" spans="1:19" ht="14.25">
      <c r="A39" s="123"/>
      <c r="B39" s="125"/>
      <c r="C39" s="330">
        <v>0.63</v>
      </c>
      <c r="D39" s="438"/>
      <c r="E39" s="335" t="str">
        <f t="shared" si="0"/>
        <v>---</v>
      </c>
      <c r="F39" s="332"/>
      <c r="G39" s="1"/>
      <c r="H39" s="1"/>
      <c r="I39" s="89" t="s">
        <v>80</v>
      </c>
      <c r="J39" s="1"/>
      <c r="K39" s="322"/>
      <c r="L39" s="1"/>
      <c r="M39" s="1"/>
      <c r="S39"/>
    </row>
    <row r="40" spans="1:19" ht="14.25">
      <c r="A40" s="123"/>
      <c r="B40" s="125"/>
      <c r="C40" s="330">
        <v>0.5</v>
      </c>
      <c r="D40" s="438"/>
      <c r="E40" s="335" t="str">
        <f t="shared" si="0"/>
        <v>---</v>
      </c>
      <c r="F40" s="332"/>
      <c r="G40" s="1"/>
      <c r="H40" s="1"/>
      <c r="I40" s="1"/>
      <c r="J40" s="1"/>
      <c r="K40" s="322"/>
      <c r="L40" s="1"/>
      <c r="M40" s="1"/>
      <c r="S40"/>
    </row>
    <row r="41" spans="1:19" ht="14.25">
      <c r="A41" s="123"/>
      <c r="B41" s="125"/>
      <c r="C41" s="330">
        <v>0.4</v>
      </c>
      <c r="D41" s="438"/>
      <c r="E41" s="335" t="str">
        <f t="shared" si="0"/>
        <v>---</v>
      </c>
      <c r="F41" s="332"/>
      <c r="G41" s="1"/>
      <c r="H41" s="1"/>
      <c r="I41" s="1"/>
      <c r="J41" s="1"/>
      <c r="K41" s="322"/>
      <c r="L41" s="1"/>
      <c r="M41" s="1"/>
      <c r="S41"/>
    </row>
    <row r="42" spans="1:19" ht="14.25">
      <c r="A42" s="123"/>
      <c r="B42" s="125"/>
      <c r="C42" s="330">
        <v>0.31</v>
      </c>
      <c r="D42" s="438"/>
      <c r="E42" s="335" t="str">
        <f t="shared" si="0"/>
        <v>---</v>
      </c>
      <c r="F42" s="332"/>
      <c r="G42" s="1"/>
      <c r="H42" s="1"/>
      <c r="I42" s="1"/>
      <c r="J42" s="1"/>
      <c r="K42" s="322"/>
      <c r="L42" s="1"/>
      <c r="M42" s="1"/>
      <c r="S42"/>
    </row>
    <row r="43" spans="1:19" ht="14.25">
      <c r="A43" s="123"/>
      <c r="B43" s="125"/>
      <c r="C43" s="330">
        <v>0.25</v>
      </c>
      <c r="D43" s="438"/>
      <c r="E43" s="335" t="str">
        <f t="shared" si="0"/>
        <v>---</v>
      </c>
      <c r="F43" s="332"/>
      <c r="G43" s="1"/>
      <c r="H43" s="1"/>
      <c r="I43" s="1"/>
      <c r="J43" s="1"/>
      <c r="K43" s="322"/>
      <c r="L43" s="1"/>
      <c r="M43" s="1"/>
      <c r="S43"/>
    </row>
    <row r="44" spans="1:19" ht="14.25">
      <c r="A44" s="123"/>
      <c r="B44" s="125"/>
      <c r="C44" s="330">
        <v>0.2</v>
      </c>
      <c r="D44" s="438"/>
      <c r="E44" s="335" t="str">
        <f t="shared" si="0"/>
        <v>---</v>
      </c>
      <c r="F44" s="332"/>
      <c r="G44" s="1"/>
      <c r="H44" s="1"/>
      <c r="I44" s="1"/>
      <c r="J44" s="1"/>
      <c r="K44" s="322"/>
      <c r="L44" s="1"/>
      <c r="M44" s="1"/>
      <c r="S44"/>
    </row>
    <row r="45" spans="1:19" ht="14.25">
      <c r="A45" s="123"/>
      <c r="B45" s="125"/>
      <c r="C45" s="330">
        <v>0.16</v>
      </c>
      <c r="D45" s="438"/>
      <c r="E45" s="335" t="str">
        <f t="shared" si="0"/>
        <v>---</v>
      </c>
      <c r="F45" s="332"/>
      <c r="G45" s="1"/>
      <c r="H45" s="1"/>
      <c r="I45" s="1"/>
      <c r="J45" s="1"/>
      <c r="K45" s="322"/>
      <c r="L45" s="1"/>
      <c r="M45" s="1"/>
      <c r="S45"/>
    </row>
    <row r="46" spans="1:19" ht="14.25">
      <c r="A46" s="123"/>
      <c r="B46" s="125"/>
      <c r="C46" s="330">
        <v>0.13</v>
      </c>
      <c r="D46" s="438"/>
      <c r="E46" s="335" t="str">
        <f t="shared" si="0"/>
        <v>---</v>
      </c>
      <c r="F46" s="332"/>
      <c r="G46" s="1"/>
      <c r="H46" s="1"/>
      <c r="I46" s="1"/>
      <c r="J46" s="1"/>
      <c r="K46" s="322"/>
      <c r="L46" s="1"/>
      <c r="M46" s="1"/>
      <c r="S46"/>
    </row>
    <row r="47" spans="1:19" ht="14.25">
      <c r="A47" s="123"/>
      <c r="B47" s="125"/>
      <c r="C47" s="330">
        <v>0.1</v>
      </c>
      <c r="D47" s="438"/>
      <c r="E47" s="335" t="str">
        <f t="shared" si="0"/>
        <v>---</v>
      </c>
      <c r="F47" s="332"/>
      <c r="G47" s="1"/>
      <c r="H47" s="1"/>
      <c r="I47" s="1"/>
      <c r="J47" s="1"/>
      <c r="K47" s="322"/>
      <c r="L47" s="1"/>
      <c r="M47" s="1"/>
      <c r="S47"/>
    </row>
    <row r="48" spans="1:19" ht="14.25">
      <c r="A48" s="123"/>
      <c r="B48" s="125"/>
      <c r="C48" s="1"/>
      <c r="D48" s="1"/>
      <c r="E48" s="1"/>
      <c r="F48" s="1"/>
      <c r="G48" s="1"/>
      <c r="H48" s="1"/>
      <c r="I48" s="1"/>
      <c r="J48" s="1"/>
      <c r="K48" s="322"/>
      <c r="L48" s="1"/>
      <c r="M48" s="1"/>
      <c r="S48"/>
    </row>
    <row r="49" spans="1:19" ht="15" customHeight="1">
      <c r="A49" s="5"/>
      <c r="B49" s="5"/>
      <c r="C49" s="5"/>
      <c r="D49" s="5"/>
      <c r="E49" s="5"/>
      <c r="F49" s="5"/>
      <c r="G49" s="5"/>
      <c r="H49" s="5"/>
      <c r="I49" s="5"/>
      <c r="J49" s="5"/>
      <c r="K49" s="5"/>
      <c r="L49" s="1"/>
      <c r="M49" s="1"/>
      <c r="S49"/>
    </row>
    <row r="50" spans="1:19" ht="15" customHeight="1">
      <c r="A50" s="123" t="s">
        <v>148</v>
      </c>
      <c r="B50" s="1"/>
      <c r="C50" s="1"/>
      <c r="D50" s="1"/>
      <c r="E50" s="1"/>
      <c r="F50" s="1"/>
      <c r="G50" s="1"/>
      <c r="H50" s="1"/>
      <c r="I50" s="1"/>
      <c r="J50" s="1"/>
      <c r="K50" s="1"/>
      <c r="L50" s="1"/>
      <c r="M50" s="1"/>
      <c r="S50"/>
    </row>
    <row r="51" spans="1:19" ht="13.5" customHeight="1">
      <c r="A51" s="1"/>
      <c r="B51" s="1"/>
      <c r="C51" s="328" t="s">
        <v>290</v>
      </c>
      <c r="D51" s="772" t="s">
        <v>293</v>
      </c>
      <c r="E51" s="642"/>
      <c r="F51" s="642"/>
      <c r="G51" s="642"/>
      <c r="H51" s="642"/>
      <c r="I51" s="642"/>
      <c r="J51" s="81"/>
      <c r="K51" s="1"/>
      <c r="L51" s="1"/>
      <c r="M51" s="1"/>
      <c r="S51"/>
    </row>
    <row r="52" spans="1:19" ht="15" customHeight="1">
      <c r="A52" s="1"/>
      <c r="B52" s="1"/>
      <c r="C52" s="328" t="s">
        <v>291</v>
      </c>
      <c r="D52" s="772" t="s">
        <v>294</v>
      </c>
      <c r="E52" s="642"/>
      <c r="F52" s="642"/>
      <c r="G52" s="642"/>
      <c r="H52" s="642"/>
      <c r="I52" s="642"/>
      <c r="J52" s="81"/>
      <c r="K52" s="1"/>
      <c r="L52" s="1"/>
      <c r="M52" s="1"/>
      <c r="S52"/>
    </row>
    <row r="53" spans="1:19" ht="15" customHeight="1">
      <c r="A53" s="1"/>
      <c r="B53" s="1"/>
      <c r="C53" s="329" t="s">
        <v>292</v>
      </c>
      <c r="D53" s="772" t="s">
        <v>295</v>
      </c>
      <c r="E53" s="713"/>
      <c r="F53" s="713"/>
      <c r="G53" s="713"/>
      <c r="H53" s="713"/>
      <c r="I53" s="713"/>
      <c r="J53" s="81"/>
      <c r="K53" s="1"/>
      <c r="L53" s="1"/>
      <c r="M53" s="1"/>
      <c r="S53"/>
    </row>
    <row r="54" spans="1:19">
      <c r="A54" s="5"/>
      <c r="B54" s="5"/>
      <c r="C54" s="5"/>
      <c r="D54" s="5"/>
      <c r="E54" s="5"/>
      <c r="F54" s="5"/>
      <c r="G54" s="5"/>
      <c r="H54" s="5"/>
      <c r="I54" s="5"/>
      <c r="J54" s="5"/>
      <c r="K54" s="5"/>
      <c r="L54" s="1"/>
      <c r="M54" s="1"/>
      <c r="S54"/>
    </row>
    <row r="55" spans="1:19" ht="15" thickBot="1">
      <c r="A55" s="131" t="s">
        <v>160</v>
      </c>
      <c r="B55" s="132"/>
      <c r="C55" s="132"/>
      <c r="D55" s="1"/>
      <c r="E55" s="1"/>
      <c r="F55" s="1"/>
      <c r="G55" s="1"/>
      <c r="H55" s="1"/>
      <c r="I55" s="1"/>
      <c r="J55" s="1"/>
      <c r="K55" s="1"/>
      <c r="L55" s="1"/>
      <c r="M55" s="1"/>
      <c r="S55"/>
    </row>
    <row r="56" spans="1:19" ht="16.5" thickBot="1">
      <c r="A56" s="1"/>
      <c r="B56" s="1"/>
      <c r="C56" s="1"/>
      <c r="D56" s="1"/>
      <c r="E56" s="122" t="str">
        <f>IF(ISBLANK(D37),"---",IF(OR(AND(I38&gt;=15,F10="C70"),AND(I38&gt;=17.5,F10="C100"),AND(I38&gt;=20,F10="C120")),"PASS","FAIL"))</f>
        <v>---</v>
      </c>
      <c r="F56" s="1"/>
      <c r="G56" s="1"/>
      <c r="H56" s="1"/>
      <c r="I56" s="1"/>
      <c r="J56" s="1"/>
      <c r="K56" s="1"/>
      <c r="L56" s="1"/>
      <c r="M56" s="1"/>
      <c r="S56"/>
    </row>
    <row r="57" spans="1:19">
      <c r="A57" s="1"/>
      <c r="B57" s="1"/>
      <c r="C57" s="1"/>
      <c r="D57" s="1"/>
      <c r="E57" s="1"/>
      <c r="F57" s="1"/>
      <c r="G57" s="1"/>
      <c r="H57" s="1"/>
      <c r="I57" s="1"/>
      <c r="J57" s="1"/>
      <c r="K57" s="1"/>
      <c r="L57" s="1"/>
      <c r="M57" s="1"/>
    </row>
    <row r="58" spans="1:19">
      <c r="A58" s="568"/>
      <c r="B58" s="568"/>
      <c r="C58" s="568"/>
      <c r="D58" s="568"/>
      <c r="E58" s="568"/>
      <c r="F58" s="568"/>
      <c r="G58" s="568"/>
      <c r="H58" s="568"/>
      <c r="I58" s="568"/>
      <c r="J58" s="568"/>
      <c r="K58" s="568"/>
      <c r="L58" s="568"/>
      <c r="M58" s="1"/>
    </row>
    <row r="59" spans="1:19">
      <c r="A59" s="564"/>
      <c r="B59" s="564"/>
      <c r="C59" s="564"/>
      <c r="D59" s="564"/>
      <c r="E59" s="564"/>
      <c r="F59" s="564"/>
      <c r="G59" s="564"/>
      <c r="H59" s="564"/>
      <c r="I59" s="564"/>
      <c r="J59" s="564"/>
      <c r="K59" s="564"/>
      <c r="L59" s="564"/>
    </row>
    <row r="60" spans="1:19">
      <c r="A60" s="564"/>
      <c r="B60" s="564"/>
      <c r="C60" s="564"/>
      <c r="D60" s="564"/>
      <c r="E60" s="564"/>
      <c r="F60" s="564"/>
      <c r="G60" s="564"/>
      <c r="H60" s="564"/>
      <c r="I60" s="564"/>
      <c r="J60" s="564"/>
      <c r="K60" s="564"/>
      <c r="L60" s="564"/>
    </row>
    <row r="61" spans="1:19">
      <c r="A61" s="564"/>
      <c r="B61" s="564"/>
      <c r="C61" s="564"/>
      <c r="D61" s="564"/>
      <c r="E61" s="564"/>
      <c r="F61" s="564"/>
      <c r="G61" s="564"/>
      <c r="H61" s="564"/>
      <c r="I61" s="564"/>
      <c r="J61" s="564"/>
      <c r="K61" s="564"/>
      <c r="L61" s="564"/>
    </row>
    <row r="62" spans="1:19">
      <c r="A62" s="564"/>
      <c r="B62" s="564"/>
      <c r="C62" s="564"/>
      <c r="D62" s="564"/>
      <c r="E62" s="564"/>
      <c r="F62" s="564"/>
      <c r="G62" s="564"/>
      <c r="H62" s="564"/>
      <c r="I62" s="564"/>
      <c r="J62" s="564"/>
      <c r="K62" s="564"/>
      <c r="L62" s="564"/>
    </row>
    <row r="63" spans="1:19">
      <c r="A63" s="564"/>
      <c r="B63" s="564"/>
      <c r="C63" s="564"/>
      <c r="D63" s="564"/>
      <c r="E63" s="564"/>
      <c r="F63" s="564"/>
      <c r="G63" s="564"/>
      <c r="H63" s="564"/>
      <c r="I63" s="564"/>
      <c r="J63" s="564"/>
      <c r="K63" s="564"/>
      <c r="L63" s="564"/>
    </row>
    <row r="64" spans="1:19">
      <c r="A64" s="564"/>
      <c r="B64" s="564"/>
      <c r="C64" s="564"/>
      <c r="D64" s="564"/>
      <c r="E64" s="564"/>
      <c r="F64" s="564"/>
      <c r="G64" s="564"/>
      <c r="H64" s="564"/>
      <c r="I64" s="564"/>
      <c r="J64" s="564"/>
      <c r="K64" s="564"/>
      <c r="L64" s="564"/>
    </row>
    <row r="65" spans="1:12">
      <c r="A65" s="564"/>
      <c r="B65" s="564"/>
      <c r="C65" s="564"/>
      <c r="D65" s="564"/>
      <c r="E65" s="564"/>
      <c r="F65" s="564"/>
      <c r="G65" s="564"/>
      <c r="H65" s="564"/>
      <c r="I65" s="564"/>
      <c r="J65" s="564"/>
      <c r="K65" s="564"/>
      <c r="L65" s="564"/>
    </row>
    <row r="66" spans="1:12">
      <c r="A66" s="564"/>
      <c r="B66" s="564"/>
      <c r="C66" s="564"/>
      <c r="D66" s="564"/>
      <c r="E66" s="564"/>
      <c r="F66" s="564"/>
      <c r="G66" s="564"/>
      <c r="H66" s="564"/>
      <c r="I66" s="564"/>
      <c r="J66" s="564"/>
      <c r="K66" s="564"/>
      <c r="L66" s="564"/>
    </row>
    <row r="67" spans="1:12">
      <c r="A67" s="564"/>
      <c r="B67" s="564"/>
      <c r="C67" s="564"/>
      <c r="D67" s="564"/>
      <c r="E67" s="564"/>
      <c r="F67" s="564"/>
      <c r="G67" s="564"/>
      <c r="H67" s="564"/>
      <c r="I67" s="564"/>
      <c r="J67" s="564"/>
      <c r="K67" s="564"/>
      <c r="L67" s="564"/>
    </row>
    <row r="68" spans="1:12">
      <c r="A68" s="564"/>
      <c r="B68" s="564"/>
      <c r="C68" s="564"/>
      <c r="D68" s="564"/>
      <c r="E68" s="564"/>
      <c r="F68" s="564"/>
      <c r="G68" s="564"/>
      <c r="H68" s="564"/>
      <c r="I68" s="564"/>
      <c r="J68" s="564"/>
      <c r="K68" s="564"/>
      <c r="L68" s="564"/>
    </row>
    <row r="69" spans="1:12">
      <c r="A69" s="564"/>
      <c r="B69" s="564"/>
      <c r="C69" s="564"/>
      <c r="D69" s="564"/>
      <c r="E69" s="564"/>
      <c r="F69" s="564"/>
      <c r="G69" s="564"/>
      <c r="H69" s="564"/>
      <c r="I69" s="564"/>
      <c r="J69" s="564"/>
      <c r="K69" s="564"/>
      <c r="L69" s="564"/>
    </row>
    <row r="70" spans="1:12">
      <c r="A70" s="564"/>
      <c r="B70" s="564"/>
      <c r="C70" s="564"/>
      <c r="D70" s="564"/>
      <c r="E70" s="564"/>
      <c r="F70" s="564"/>
      <c r="G70" s="564"/>
      <c r="H70" s="564"/>
      <c r="I70" s="564"/>
      <c r="J70" s="564"/>
      <c r="K70" s="564"/>
      <c r="L70" s="564"/>
    </row>
    <row r="71" spans="1:12">
      <c r="A71" s="564"/>
      <c r="B71" s="564"/>
      <c r="C71" s="564"/>
      <c r="D71" s="564"/>
      <c r="E71" s="564"/>
      <c r="F71" s="564"/>
      <c r="G71" s="564"/>
      <c r="H71" s="564"/>
      <c r="I71" s="564"/>
      <c r="J71" s="564"/>
      <c r="K71" s="564"/>
      <c r="L71" s="564"/>
    </row>
  </sheetData>
  <protectedRanges>
    <protectedRange sqref="D14:I19" name="Range1_1"/>
    <protectedRange sqref="D37:D47" name="Range1"/>
  </protectedRanges>
  <mergeCells count="9">
    <mergeCell ref="C23:J23"/>
    <mergeCell ref="A4:M4"/>
    <mergeCell ref="D53:I53"/>
    <mergeCell ref="D52:I52"/>
    <mergeCell ref="D51:I51"/>
    <mergeCell ref="K12:K13"/>
    <mergeCell ref="D12:J12"/>
    <mergeCell ref="B12:B13"/>
    <mergeCell ref="C12:C13"/>
  </mergeCells>
  <phoneticPr fontId="7"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HY80"/>
  <sheetViews>
    <sheetView topLeftCell="A10" zoomScale="85" zoomScaleNormal="100" zoomScaleSheetLayoutView="100" workbookViewId="0">
      <selection activeCell="A2" sqref="A2"/>
    </sheetView>
  </sheetViews>
  <sheetFormatPr defaultRowHeight="12.75"/>
  <cols>
    <col min="1" max="1" width="3.7109375" customWidth="1"/>
    <col min="2" max="2" width="10" customWidth="1"/>
    <col min="3" max="3" width="11.140625" customWidth="1"/>
    <col min="4" max="4" width="16.140625" customWidth="1"/>
    <col min="5" max="5" width="15.28515625" customWidth="1"/>
    <col min="6" max="7" width="10.140625" customWidth="1"/>
    <col min="8" max="8" width="7.85546875" customWidth="1"/>
    <col min="9" max="12" width="15" style="1" customWidth="1"/>
    <col min="13" max="13" width="11.85546875" style="1" customWidth="1"/>
    <col min="14" max="14" width="12.28515625" style="1" customWidth="1"/>
    <col min="15" max="15" width="10.140625" customWidth="1"/>
    <col min="17" max="17" width="14.140625" customWidth="1"/>
  </cols>
  <sheetData>
    <row r="1" spans="1:22" s="35" customFormat="1" ht="30" customHeight="1">
      <c r="A1" s="250" t="s">
        <v>426</v>
      </c>
      <c r="D1" s="34"/>
      <c r="F1" s="33"/>
      <c r="G1" s="33"/>
      <c r="H1" s="33"/>
      <c r="I1" s="33"/>
      <c r="J1" s="33"/>
      <c r="K1" s="33"/>
      <c r="L1" s="33"/>
      <c r="M1" s="33"/>
      <c r="N1" s="33"/>
      <c r="O1" s="33"/>
      <c r="P1" s="33"/>
      <c r="Q1" s="33"/>
      <c r="R1" s="33"/>
      <c r="S1" s="33"/>
      <c r="T1" s="33"/>
      <c r="U1" s="33"/>
      <c r="V1" s="33"/>
    </row>
    <row r="2" spans="1:22" s="20" customFormat="1">
      <c r="A2" s="2"/>
      <c r="B2" s="37"/>
      <c r="C2" s="37"/>
      <c r="D2" s="37"/>
      <c r="E2" s="37"/>
      <c r="F2" s="37"/>
      <c r="G2" s="37"/>
      <c r="H2" s="37"/>
      <c r="I2" s="38"/>
      <c r="J2" s="38"/>
      <c r="K2" s="38"/>
      <c r="L2" s="38"/>
      <c r="M2" s="38"/>
      <c r="N2" s="38"/>
      <c r="O2" s="38"/>
      <c r="P2" s="38"/>
      <c r="Q2" s="38"/>
      <c r="R2" s="38"/>
      <c r="S2" s="39"/>
      <c r="T2" s="2"/>
      <c r="U2" s="2"/>
      <c r="V2" s="2"/>
    </row>
    <row r="3" spans="1:22" ht="14.25">
      <c r="A3" s="123" t="s">
        <v>90</v>
      </c>
      <c r="B3" s="2"/>
      <c r="C3" s="1"/>
      <c r="D3" s="1"/>
      <c r="E3" s="1"/>
      <c r="F3" s="1"/>
      <c r="G3" s="1"/>
      <c r="H3" s="1"/>
    </row>
    <row r="4" spans="1:22">
      <c r="B4" s="44" t="s">
        <v>142</v>
      </c>
      <c r="C4" s="1"/>
      <c r="D4" s="1"/>
      <c r="E4" s="1"/>
      <c r="F4" s="1"/>
      <c r="G4" s="1"/>
      <c r="H4" s="1"/>
    </row>
    <row r="5" spans="1:22">
      <c r="A5" s="5"/>
      <c r="B5" s="124"/>
      <c r="C5" s="5"/>
      <c r="D5" s="5"/>
      <c r="E5" s="5"/>
      <c r="F5" s="5"/>
      <c r="G5" s="5"/>
      <c r="H5" s="5"/>
    </row>
    <row r="6" spans="1:22" ht="14.25">
      <c r="A6" s="123" t="s">
        <v>143</v>
      </c>
      <c r="B6" s="1"/>
      <c r="C6" s="1"/>
      <c r="D6" s="1"/>
      <c r="E6" s="1"/>
      <c r="F6" s="1"/>
      <c r="G6" s="1"/>
      <c r="H6" s="1"/>
    </row>
    <row r="7" spans="1:22">
      <c r="A7" s="125"/>
      <c r="B7" s="44" t="s">
        <v>236</v>
      </c>
      <c r="C7" s="1"/>
      <c r="D7" s="1"/>
      <c r="E7" s="1"/>
      <c r="F7" s="1"/>
      <c r="G7" s="1"/>
      <c r="H7" s="1"/>
    </row>
    <row r="8" spans="1:22">
      <c r="A8" s="126"/>
      <c r="B8" s="126"/>
      <c r="C8" s="5"/>
      <c r="D8" s="5"/>
      <c r="E8" s="5"/>
      <c r="F8" s="5"/>
      <c r="G8" s="5"/>
      <c r="H8" s="5"/>
    </row>
    <row r="9" spans="1:22" ht="14.25">
      <c r="A9" s="123" t="s">
        <v>145</v>
      </c>
      <c r="B9" s="125"/>
      <c r="C9" s="1"/>
      <c r="D9" s="1"/>
      <c r="E9" s="1"/>
      <c r="F9" s="1"/>
      <c r="G9" s="1"/>
      <c r="H9" s="1"/>
    </row>
    <row r="10" spans="1:22">
      <c r="A10" s="1"/>
      <c r="B10" s="44"/>
      <c r="C10" s="1"/>
      <c r="D10" s="3"/>
      <c r="E10" s="127"/>
      <c r="F10" s="45"/>
      <c r="G10" s="45"/>
      <c r="H10" s="1"/>
    </row>
    <row r="11" spans="1:22" ht="15">
      <c r="A11" s="3"/>
      <c r="B11" s="71" t="s">
        <v>81</v>
      </c>
      <c r="C11" s="71" t="s">
        <v>33</v>
      </c>
      <c r="D11" s="71" t="s">
        <v>388</v>
      </c>
      <c r="E11" s="71" t="s">
        <v>389</v>
      </c>
      <c r="F11" s="59" t="s">
        <v>239</v>
      </c>
      <c r="G11" s="59" t="s">
        <v>240</v>
      </c>
      <c r="H11" s="49"/>
    </row>
    <row r="12" spans="1:22" ht="14.25">
      <c r="A12" s="1"/>
      <c r="B12" s="287" t="s">
        <v>237</v>
      </c>
      <c r="C12" s="429"/>
      <c r="D12" s="429"/>
      <c r="E12" s="429"/>
      <c r="F12" s="291" t="str">
        <f>IF(E12="","---",(D12/E12)^2)</f>
        <v>---</v>
      </c>
      <c r="G12" s="292" t="str">
        <f t="shared" ref="G12:G18" si="0">IF(F12="---","---",F12/C12)</f>
        <v>---</v>
      </c>
      <c r="H12" s="277"/>
    </row>
    <row r="13" spans="1:22" ht="14.25">
      <c r="A13" s="1"/>
      <c r="B13" s="288" t="s">
        <v>241</v>
      </c>
      <c r="C13" s="429"/>
      <c r="D13" s="429"/>
      <c r="E13" s="429"/>
      <c r="F13" s="291" t="str">
        <f t="shared" ref="F13:F18" si="1">IF(E13="","---",(D13/E13)^2)</f>
        <v>---</v>
      </c>
      <c r="G13" s="292" t="str">
        <f t="shared" si="0"/>
        <v>---</v>
      </c>
      <c r="H13" s="277"/>
    </row>
    <row r="14" spans="1:22" ht="14.25">
      <c r="A14" s="1"/>
      <c r="B14" s="288" t="s">
        <v>245</v>
      </c>
      <c r="C14" s="429"/>
      <c r="D14" s="429"/>
      <c r="E14" s="429"/>
      <c r="F14" s="291" t="str">
        <f t="shared" si="1"/>
        <v>---</v>
      </c>
      <c r="G14" s="292" t="str">
        <f t="shared" si="0"/>
        <v>---</v>
      </c>
      <c r="H14" s="277"/>
    </row>
    <row r="15" spans="1:22" ht="14.25">
      <c r="A15" s="1"/>
      <c r="B15" s="288" t="s">
        <v>244</v>
      </c>
      <c r="C15" s="429"/>
      <c r="D15" s="429"/>
      <c r="E15" s="429"/>
      <c r="F15" s="291" t="str">
        <f t="shared" si="1"/>
        <v>---</v>
      </c>
      <c r="G15" s="292" t="str">
        <f t="shared" si="0"/>
        <v>---</v>
      </c>
      <c r="H15" s="277"/>
    </row>
    <row r="16" spans="1:22" ht="14.25">
      <c r="A16" s="1"/>
      <c r="B16" s="288" t="s">
        <v>243</v>
      </c>
      <c r="C16" s="429"/>
      <c r="D16" s="429"/>
      <c r="E16" s="429"/>
      <c r="F16" s="291" t="str">
        <f t="shared" si="1"/>
        <v>---</v>
      </c>
      <c r="G16" s="292" t="str">
        <f t="shared" si="0"/>
        <v>---</v>
      </c>
      <c r="H16" s="277"/>
    </row>
    <row r="17" spans="1:233" ht="14.25">
      <c r="A17" s="1"/>
      <c r="B17" s="288" t="s">
        <v>242</v>
      </c>
      <c r="C17" s="429"/>
      <c r="D17" s="429"/>
      <c r="E17" s="429"/>
      <c r="F17" s="291" t="str">
        <f t="shared" si="1"/>
        <v>---</v>
      </c>
      <c r="G17" s="292" t="str">
        <f t="shared" si="0"/>
        <v>---</v>
      </c>
      <c r="H17" s="277"/>
      <c r="HY17" s="25"/>
    </row>
    <row r="18" spans="1:233" ht="14.25">
      <c r="A18" s="1"/>
      <c r="B18" s="287" t="s">
        <v>238</v>
      </c>
      <c r="C18" s="429"/>
      <c r="D18" s="429"/>
      <c r="E18" s="429"/>
      <c r="F18" s="291" t="str">
        <f t="shared" si="1"/>
        <v>---</v>
      </c>
      <c r="G18" s="292" t="str">
        <f t="shared" si="0"/>
        <v>---</v>
      </c>
      <c r="H18" s="277"/>
    </row>
    <row r="19" spans="1:233">
      <c r="A19" s="5"/>
      <c r="B19" s="5"/>
      <c r="C19" s="5"/>
      <c r="D19" s="5"/>
      <c r="E19" s="128"/>
      <c r="F19" s="129"/>
      <c r="G19" s="129"/>
      <c r="H19" s="124"/>
    </row>
    <row r="20" spans="1:233" ht="14.25">
      <c r="A20" s="123" t="s">
        <v>146</v>
      </c>
      <c r="B20" s="1"/>
      <c r="C20" s="1"/>
      <c r="D20" s="1"/>
      <c r="E20" s="72"/>
      <c r="F20" s="130"/>
      <c r="G20" s="130"/>
      <c r="H20" s="1"/>
    </row>
    <row r="21" spans="1:233" ht="14.25">
      <c r="A21" s="123"/>
      <c r="B21" s="1"/>
      <c r="D21" s="145" t="s">
        <v>246</v>
      </c>
      <c r="E21" s="289" t="str">
        <f>IF(ISBLANK(E18),"---",STDEV(G12:G18)/AVERAGE(G12:G18))</f>
        <v>---</v>
      </c>
      <c r="F21" s="130"/>
      <c r="G21" s="130"/>
      <c r="H21" s="1"/>
    </row>
    <row r="22" spans="1:233" ht="14.25">
      <c r="A22" s="123"/>
      <c r="B22" s="1"/>
      <c r="C22" s="1"/>
      <c r="D22" s="145" t="s">
        <v>247</v>
      </c>
      <c r="E22" s="290" t="str">
        <f>IF(F18="---","---",CORREL(F12:F18,C12:C18)^2)</f>
        <v>---</v>
      </c>
      <c r="F22" s="130"/>
      <c r="G22" s="130"/>
      <c r="H22" s="1"/>
    </row>
    <row r="23" spans="1:233">
      <c r="A23" s="3"/>
      <c r="B23" s="3"/>
      <c r="C23" s="3"/>
      <c r="D23" s="3"/>
      <c r="E23" s="127"/>
      <c r="F23" s="45"/>
      <c r="G23" s="45"/>
      <c r="H23" s="3"/>
      <c r="I23" s="81"/>
      <c r="J23" s="81"/>
      <c r="K23" s="81"/>
      <c r="L23" s="81"/>
      <c r="M23" s="81"/>
      <c r="N23" s="81"/>
      <c r="O23" s="11"/>
      <c r="P23" s="11"/>
      <c r="Q23" s="11"/>
      <c r="R23" s="11"/>
      <c r="S23" s="11"/>
      <c r="T23" s="11"/>
      <c r="U23" s="11"/>
      <c r="V23" s="11"/>
    </row>
    <row r="24" spans="1:233">
      <c r="A24" s="5"/>
      <c r="B24" s="5"/>
      <c r="C24" s="5"/>
      <c r="D24" s="5"/>
      <c r="E24" s="5"/>
      <c r="F24" s="5"/>
      <c r="G24" s="5"/>
      <c r="H24" s="5"/>
      <c r="I24" s="65"/>
      <c r="J24" s="65"/>
      <c r="K24" s="65"/>
      <c r="L24" s="65"/>
      <c r="M24" s="65"/>
      <c r="N24" s="65"/>
      <c r="O24" s="285"/>
      <c r="P24" s="285"/>
      <c r="Q24" s="285"/>
      <c r="R24" s="285"/>
      <c r="S24" s="285"/>
      <c r="T24" s="285"/>
      <c r="U24" s="285"/>
      <c r="V24" s="285"/>
    </row>
    <row r="25" spans="1:233" ht="14.25">
      <c r="A25" s="123" t="s">
        <v>148</v>
      </c>
      <c r="B25" s="1"/>
      <c r="C25" s="1"/>
      <c r="D25" s="1"/>
      <c r="E25" s="1"/>
      <c r="F25" s="1"/>
      <c r="G25" s="1"/>
      <c r="H25" s="1"/>
      <c r="I25" s="65"/>
      <c r="J25" s="65"/>
      <c r="K25" s="65"/>
      <c r="L25" s="65"/>
      <c r="M25" s="65"/>
      <c r="N25" s="65"/>
      <c r="O25" s="285"/>
      <c r="P25" s="285"/>
      <c r="Q25" s="285"/>
      <c r="R25" s="285"/>
      <c r="S25" s="285"/>
      <c r="T25" s="285"/>
      <c r="U25" s="285"/>
      <c r="V25" s="285"/>
    </row>
    <row r="26" spans="1:233" ht="26.25" customHeight="1">
      <c r="A26" s="1"/>
      <c r="B26" s="744" t="s">
        <v>390</v>
      </c>
      <c r="C26" s="744"/>
      <c r="D26" s="744"/>
      <c r="E26" s="744"/>
      <c r="F26" s="744"/>
      <c r="G26" s="549"/>
      <c r="H26" s="1"/>
      <c r="I26" s="65"/>
      <c r="J26" s="65"/>
      <c r="K26" s="65"/>
      <c r="L26" s="65"/>
      <c r="M26" s="65"/>
      <c r="N26" s="65"/>
      <c r="O26" s="285"/>
      <c r="P26" s="285"/>
      <c r="Q26" s="285"/>
      <c r="R26" s="285"/>
      <c r="S26" s="285"/>
      <c r="T26" s="285"/>
      <c r="U26" s="285"/>
      <c r="V26" s="285"/>
    </row>
    <row r="27" spans="1:233" ht="18.75" customHeight="1">
      <c r="A27" s="5"/>
      <c r="B27" s="5"/>
      <c r="C27" s="5"/>
      <c r="D27" s="5"/>
      <c r="E27" s="5"/>
      <c r="F27" s="5"/>
      <c r="G27" s="5"/>
      <c r="H27" s="5"/>
      <c r="I27" s="65"/>
      <c r="J27" s="65"/>
      <c r="K27" s="65"/>
      <c r="L27" s="65"/>
      <c r="M27" s="65"/>
      <c r="N27" s="65"/>
      <c r="O27" s="285"/>
      <c r="P27" s="285"/>
      <c r="Q27" s="285"/>
      <c r="R27" s="285"/>
      <c r="S27" s="285"/>
      <c r="T27" s="285"/>
      <c r="U27" s="285"/>
      <c r="V27" s="28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row>
    <row r="28" spans="1:233" s="48" customFormat="1" ht="15.75" customHeight="1" thickBot="1">
      <c r="A28" s="131" t="s">
        <v>160</v>
      </c>
      <c r="B28" s="132"/>
      <c r="C28" s="132"/>
      <c r="D28" s="1"/>
      <c r="E28" s="1"/>
      <c r="F28" s="1"/>
      <c r="G28" s="1"/>
      <c r="H28" s="1"/>
      <c r="I28" s="286"/>
      <c r="J28" s="286"/>
      <c r="K28" s="286"/>
      <c r="L28" s="286"/>
      <c r="M28" s="286"/>
      <c r="N28" s="50"/>
      <c r="O28" s="280"/>
      <c r="P28" s="280"/>
      <c r="Q28" s="280"/>
      <c r="R28" s="280"/>
      <c r="S28" s="280"/>
      <c r="T28" s="280"/>
      <c r="U28" s="280"/>
      <c r="V28" s="280"/>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row>
    <row r="29" spans="1:233" ht="16.5" customHeight="1" thickBot="1">
      <c r="A29" s="1"/>
      <c r="B29" s="1"/>
      <c r="C29" s="1"/>
      <c r="D29" s="1"/>
      <c r="E29" s="122" t="str">
        <f>IF(ISNUMBER(E22),IF(E22&gt;0.99,"PASS","FAIL"),"---")</f>
        <v>---</v>
      </c>
      <c r="F29" s="1"/>
      <c r="G29" s="1"/>
      <c r="H29" s="1"/>
      <c r="I29" s="49"/>
      <c r="J29" s="49"/>
      <c r="K29" s="49"/>
      <c r="L29" s="49"/>
      <c r="M29" s="49"/>
      <c r="N29" s="67"/>
      <c r="O29" s="281"/>
      <c r="P29" s="283"/>
      <c r="Q29" s="284"/>
      <c r="R29" s="285"/>
      <c r="S29" s="285"/>
      <c r="T29" s="285"/>
      <c r="U29" s="285"/>
      <c r="V29" s="28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row>
    <row r="30" spans="1:233" ht="13.5" customHeight="1">
      <c r="A30" s="5"/>
      <c r="B30" s="5"/>
      <c r="C30" s="5"/>
      <c r="D30" s="5"/>
      <c r="E30" s="5"/>
      <c r="F30" s="5"/>
      <c r="G30" s="5"/>
      <c r="H30" s="5"/>
      <c r="I30" s="278"/>
      <c r="J30" s="278"/>
      <c r="K30" s="278"/>
      <c r="L30" s="278"/>
      <c r="M30" s="277"/>
      <c r="N30" s="65"/>
      <c r="O30" s="282"/>
      <c r="P30" s="284"/>
      <c r="Q30" s="284"/>
      <c r="R30" s="285"/>
      <c r="S30" s="285"/>
      <c r="T30" s="285"/>
      <c r="U30" s="285"/>
      <c r="V30" s="28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row>
    <row r="31" spans="1:233" ht="30.95" customHeight="1">
      <c r="A31" s="123" t="s">
        <v>158</v>
      </c>
      <c r="B31" s="1"/>
      <c r="C31" s="1"/>
      <c r="D31" s="1"/>
      <c r="E31" s="1"/>
      <c r="F31" s="1"/>
      <c r="G31" s="1"/>
      <c r="H31" s="1"/>
      <c r="I31" s="278"/>
      <c r="J31" s="278"/>
      <c r="K31" s="278"/>
      <c r="L31" s="278"/>
      <c r="M31" s="277"/>
      <c r="N31" s="65"/>
      <c r="O31" s="282"/>
      <c r="P31" s="284"/>
      <c r="Q31" s="284"/>
      <c r="R31" s="285"/>
      <c r="S31" s="285"/>
      <c r="T31" s="285"/>
      <c r="U31" s="285"/>
      <c r="V31" s="28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row>
    <row r="32" spans="1:233">
      <c r="A32" s="568"/>
      <c r="B32" s="568"/>
      <c r="C32" s="568"/>
      <c r="D32" s="568"/>
      <c r="E32" s="568"/>
      <c r="F32" s="568"/>
      <c r="G32" s="568"/>
      <c r="H32" s="568"/>
      <c r="I32" s="576"/>
      <c r="J32" s="65"/>
      <c r="K32" s="65"/>
      <c r="L32" s="65"/>
      <c r="M32" s="65"/>
      <c r="N32" s="65"/>
      <c r="O32" s="285"/>
      <c r="P32" s="285"/>
      <c r="Q32" s="285"/>
      <c r="R32" s="285"/>
      <c r="S32" s="285"/>
      <c r="T32" s="285"/>
      <c r="U32" s="285"/>
      <c r="V32" s="28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row>
    <row r="33" spans="1:49">
      <c r="A33" s="568"/>
      <c r="B33" s="568"/>
      <c r="C33" s="568"/>
      <c r="D33" s="568"/>
      <c r="E33" s="568"/>
      <c r="F33" s="568"/>
      <c r="G33" s="568"/>
      <c r="H33" s="568"/>
      <c r="I33" s="576"/>
      <c r="J33" s="65"/>
      <c r="K33" s="65"/>
      <c r="L33" s="65"/>
      <c r="M33" s="65"/>
      <c r="N33" s="65"/>
      <c r="O33" s="285"/>
      <c r="P33" s="285"/>
      <c r="Q33" s="285"/>
      <c r="R33" s="285"/>
      <c r="S33" s="285"/>
      <c r="T33" s="285"/>
      <c r="U33" s="285"/>
      <c r="V33" s="28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row>
    <row r="34" spans="1:49">
      <c r="A34" s="568"/>
      <c r="B34" s="568"/>
      <c r="C34" s="568"/>
      <c r="D34" s="568"/>
      <c r="E34" s="568"/>
      <c r="F34" s="568"/>
      <c r="G34" s="568"/>
      <c r="H34" s="568"/>
      <c r="I34" s="576"/>
      <c r="J34" s="65"/>
      <c r="K34" s="65"/>
      <c r="L34" s="65"/>
      <c r="M34" s="65"/>
      <c r="N34" s="65"/>
      <c r="O34" s="285"/>
      <c r="P34" s="285"/>
      <c r="Q34" s="285"/>
      <c r="R34" s="285"/>
      <c r="S34" s="285"/>
      <c r="T34" s="285"/>
      <c r="U34" s="285"/>
      <c r="V34" s="28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row>
    <row r="35" spans="1:49">
      <c r="A35" s="568"/>
      <c r="B35" s="568"/>
      <c r="C35" s="568"/>
      <c r="D35" s="568"/>
      <c r="E35" s="568"/>
      <c r="F35" s="568"/>
      <c r="G35" s="568"/>
      <c r="H35" s="568"/>
      <c r="I35" s="568"/>
      <c r="O35" s="1"/>
      <c r="P35" s="1"/>
      <c r="Q35" s="1"/>
      <c r="R35" s="1"/>
      <c r="S35" s="1"/>
      <c r="T35" s="1"/>
      <c r="U35" s="1"/>
      <c r="V35" s="1"/>
    </row>
    <row r="36" spans="1:49">
      <c r="A36" s="568"/>
      <c r="B36" s="568"/>
      <c r="C36" s="568"/>
      <c r="D36" s="568"/>
      <c r="E36" s="568"/>
      <c r="F36" s="568"/>
      <c r="G36" s="568"/>
      <c r="H36" s="568"/>
      <c r="I36" s="568"/>
      <c r="O36" s="1"/>
      <c r="P36" s="1"/>
      <c r="Q36" s="1"/>
      <c r="R36" s="1"/>
      <c r="S36" s="1"/>
      <c r="T36" s="1"/>
      <c r="U36" s="1"/>
      <c r="V36" s="1"/>
    </row>
    <row r="37" spans="1:49">
      <c r="A37" s="568"/>
      <c r="B37" s="568"/>
      <c r="C37" s="568"/>
      <c r="D37" s="568"/>
      <c r="E37" s="568"/>
      <c r="F37" s="568"/>
      <c r="G37" s="568"/>
      <c r="H37" s="568"/>
      <c r="I37" s="568"/>
      <c r="O37" s="1"/>
      <c r="P37" s="1"/>
      <c r="Q37" s="1"/>
      <c r="R37" s="1"/>
      <c r="S37" s="1"/>
      <c r="T37" s="1"/>
      <c r="U37" s="1"/>
      <c r="V37" s="1"/>
    </row>
    <row r="38" spans="1:49">
      <c r="A38" s="568"/>
      <c r="B38" s="568"/>
      <c r="C38" s="568"/>
      <c r="D38" s="568"/>
      <c r="E38" s="568"/>
      <c r="F38" s="568"/>
      <c r="G38" s="568"/>
      <c r="H38" s="568"/>
      <c r="I38" s="568"/>
      <c r="O38" s="1"/>
      <c r="P38" s="1"/>
      <c r="Q38" s="1"/>
      <c r="R38" s="1"/>
      <c r="S38" s="1"/>
      <c r="T38" s="1"/>
      <c r="U38" s="1"/>
      <c r="V38" s="1"/>
    </row>
    <row r="39" spans="1:49">
      <c r="A39" s="568"/>
      <c r="B39" s="568"/>
      <c r="C39" s="568"/>
      <c r="D39" s="568"/>
      <c r="E39" s="568"/>
      <c r="F39" s="568"/>
      <c r="G39" s="568"/>
      <c r="H39" s="568"/>
      <c r="I39" s="568"/>
      <c r="O39" s="1"/>
      <c r="P39" s="1"/>
      <c r="Q39" s="1"/>
      <c r="R39" s="1"/>
      <c r="S39" s="1"/>
      <c r="T39" s="1"/>
      <c r="U39" s="1"/>
      <c r="V39" s="1"/>
    </row>
    <row r="40" spans="1:49">
      <c r="A40" s="568"/>
      <c r="B40" s="568"/>
      <c r="C40" s="568"/>
      <c r="D40" s="568"/>
      <c r="E40" s="568"/>
      <c r="F40" s="568"/>
      <c r="G40" s="568"/>
      <c r="H40" s="568"/>
      <c r="I40" s="568"/>
      <c r="O40" s="1"/>
      <c r="P40" s="1"/>
      <c r="Q40" s="1"/>
      <c r="R40" s="1"/>
      <c r="S40" s="1"/>
      <c r="T40" s="1"/>
      <c r="U40" s="1"/>
      <c r="V40" s="1"/>
    </row>
    <row r="41" spans="1:49">
      <c r="A41" s="568"/>
      <c r="B41" s="568"/>
      <c r="C41" s="568"/>
      <c r="D41" s="568"/>
      <c r="E41" s="568"/>
      <c r="F41" s="568"/>
      <c r="G41" s="568"/>
      <c r="H41" s="568"/>
      <c r="I41" s="568"/>
      <c r="O41" s="1"/>
      <c r="P41" s="1"/>
      <c r="Q41" s="1"/>
      <c r="R41" s="1"/>
      <c r="S41" s="1"/>
      <c r="T41" s="1"/>
      <c r="U41" s="1"/>
      <c r="V41" s="1"/>
    </row>
    <row r="42" spans="1:49">
      <c r="A42" s="568"/>
      <c r="B42" s="568"/>
      <c r="C42" s="568"/>
      <c r="D42" s="568"/>
      <c r="E42" s="568"/>
      <c r="F42" s="568"/>
      <c r="G42" s="568"/>
      <c r="H42" s="568"/>
      <c r="I42" s="568"/>
      <c r="O42" s="1"/>
      <c r="P42" s="1"/>
      <c r="Q42" s="1"/>
      <c r="R42" s="1"/>
      <c r="S42" s="1"/>
      <c r="T42" s="1"/>
      <c r="U42" s="1"/>
      <c r="V42" s="1"/>
    </row>
    <row r="43" spans="1:49">
      <c r="A43" s="568"/>
      <c r="B43" s="568"/>
      <c r="C43" s="568"/>
      <c r="D43" s="568"/>
      <c r="E43" s="568"/>
      <c r="F43" s="568"/>
      <c r="G43" s="568"/>
      <c r="H43" s="568"/>
      <c r="I43" s="568"/>
      <c r="O43" s="1"/>
      <c r="P43" s="1"/>
      <c r="Q43" s="1"/>
      <c r="R43" s="1"/>
      <c r="S43" s="1"/>
      <c r="T43" s="1"/>
      <c r="U43" s="1"/>
      <c r="V43" s="1"/>
    </row>
    <row r="44" spans="1:49">
      <c r="A44" s="568"/>
      <c r="B44" s="568"/>
      <c r="C44" s="568"/>
      <c r="D44" s="568"/>
      <c r="E44" s="568"/>
      <c r="F44" s="568"/>
      <c r="G44" s="568"/>
      <c r="H44" s="568"/>
      <c r="I44" s="568"/>
      <c r="O44" s="1"/>
      <c r="P44" s="1"/>
      <c r="Q44" s="1"/>
      <c r="R44" s="1"/>
      <c r="S44" s="1"/>
      <c r="T44" s="1"/>
      <c r="U44" s="1"/>
      <c r="V44" s="1"/>
    </row>
    <row r="45" spans="1:49">
      <c r="A45" s="1"/>
      <c r="B45" s="1"/>
      <c r="C45" s="1"/>
      <c r="D45" s="1"/>
      <c r="E45" s="1"/>
      <c r="F45" s="1"/>
      <c r="G45" s="1"/>
      <c r="H45" s="1"/>
      <c r="O45" s="1"/>
      <c r="P45" s="1"/>
      <c r="Q45" s="1"/>
      <c r="R45" s="1"/>
      <c r="S45" s="1"/>
      <c r="T45" s="1"/>
      <c r="U45" s="1"/>
      <c r="V45" s="1"/>
    </row>
    <row r="46" spans="1:49">
      <c r="A46" s="1"/>
      <c r="B46" s="1"/>
      <c r="C46" s="1"/>
      <c r="D46" s="1"/>
      <c r="E46" s="1"/>
      <c r="F46" s="1"/>
      <c r="G46" s="1"/>
      <c r="H46" s="1"/>
      <c r="O46" s="1"/>
      <c r="P46" s="1"/>
      <c r="Q46" s="1"/>
      <c r="R46" s="1"/>
      <c r="S46" s="1"/>
      <c r="T46" s="1"/>
      <c r="U46" s="1"/>
      <c r="V46" s="1"/>
    </row>
    <row r="47" spans="1:49">
      <c r="A47" s="1"/>
      <c r="B47" s="1"/>
      <c r="C47" s="1"/>
      <c r="D47" s="1"/>
      <c r="E47" s="1"/>
      <c r="F47" s="1"/>
      <c r="G47" s="1"/>
      <c r="H47" s="1"/>
      <c r="O47" s="1"/>
      <c r="P47" s="1"/>
      <c r="Q47" s="1"/>
      <c r="R47" s="1"/>
      <c r="S47" s="1"/>
      <c r="T47" s="1"/>
      <c r="U47" s="1"/>
      <c r="V47" s="1"/>
    </row>
    <row r="48" spans="1:49">
      <c r="A48" s="1"/>
      <c r="B48" s="1"/>
      <c r="C48" s="1"/>
      <c r="D48" s="1"/>
      <c r="E48" s="1"/>
      <c r="F48" s="1"/>
      <c r="G48" s="1"/>
      <c r="H48" s="1"/>
      <c r="O48" s="1"/>
      <c r="P48" s="1"/>
      <c r="Q48" s="1"/>
      <c r="R48" s="1"/>
      <c r="S48" s="1"/>
      <c r="T48" s="1"/>
      <c r="U48" s="1"/>
      <c r="V48" s="1"/>
    </row>
    <row r="49" spans="1:22">
      <c r="A49" s="1"/>
      <c r="B49" s="1"/>
      <c r="C49" s="1"/>
      <c r="D49" s="1"/>
      <c r="E49" s="1"/>
      <c r="F49" s="1"/>
      <c r="G49" s="1"/>
      <c r="H49" s="1"/>
      <c r="O49" s="1"/>
      <c r="P49" s="1"/>
      <c r="Q49" s="1"/>
      <c r="R49" s="1"/>
      <c r="S49" s="1"/>
      <c r="T49" s="1"/>
      <c r="U49" s="1"/>
      <c r="V49" s="1"/>
    </row>
    <row r="50" spans="1:22">
      <c r="A50" s="1"/>
      <c r="B50" s="1"/>
      <c r="C50" s="1"/>
      <c r="D50" s="1"/>
      <c r="E50" s="1"/>
      <c r="F50" s="1"/>
      <c r="G50" s="1"/>
      <c r="H50" s="1"/>
      <c r="O50" s="1"/>
      <c r="P50" s="1"/>
      <c r="Q50" s="1"/>
      <c r="R50" s="1"/>
      <c r="S50" s="1"/>
      <c r="T50" s="1"/>
      <c r="U50" s="1"/>
      <c r="V50" s="1"/>
    </row>
    <row r="51" spans="1:22">
      <c r="A51" s="1"/>
      <c r="B51" s="1"/>
      <c r="C51" s="1"/>
      <c r="D51" s="1"/>
      <c r="E51" s="1"/>
      <c r="F51" s="1"/>
      <c r="G51" s="1"/>
      <c r="H51" s="1"/>
      <c r="O51" s="1"/>
      <c r="P51" s="1"/>
      <c r="Q51" s="1"/>
      <c r="R51" s="1"/>
      <c r="S51" s="1"/>
      <c r="T51" s="1"/>
      <c r="U51" s="1"/>
      <c r="V51" s="1"/>
    </row>
    <row r="52" spans="1:22">
      <c r="A52" s="1"/>
      <c r="B52" s="1"/>
      <c r="C52" s="1"/>
      <c r="D52" s="1"/>
      <c r="E52" s="1"/>
      <c r="F52" s="1"/>
      <c r="G52" s="1"/>
      <c r="H52" s="1"/>
      <c r="O52" s="1"/>
      <c r="P52" s="1"/>
      <c r="Q52" s="1"/>
      <c r="R52" s="1"/>
      <c r="S52" s="1"/>
      <c r="T52" s="1"/>
      <c r="U52" s="1"/>
      <c r="V52" s="1"/>
    </row>
    <row r="53" spans="1:22">
      <c r="A53" s="1"/>
      <c r="B53" s="1"/>
      <c r="C53" s="1"/>
      <c r="D53" s="1"/>
      <c r="E53" s="1"/>
      <c r="F53" s="1"/>
      <c r="G53" s="1"/>
      <c r="H53" s="1"/>
      <c r="O53" s="1"/>
      <c r="P53" s="1"/>
      <c r="Q53" s="1"/>
      <c r="R53" s="1"/>
      <c r="S53" s="1"/>
      <c r="T53" s="1"/>
      <c r="U53" s="1"/>
      <c r="V53" s="1"/>
    </row>
    <row r="54" spans="1:22">
      <c r="A54" s="1"/>
      <c r="B54" s="1"/>
      <c r="C54" s="1"/>
      <c r="D54" s="1"/>
      <c r="E54" s="1"/>
      <c r="F54" s="1"/>
      <c r="G54" s="1"/>
      <c r="H54" s="1"/>
      <c r="O54" s="1"/>
      <c r="P54" s="1"/>
      <c r="Q54" s="1"/>
      <c r="R54" s="1"/>
      <c r="S54" s="1"/>
      <c r="T54" s="1"/>
      <c r="U54" s="1"/>
      <c r="V54" s="1"/>
    </row>
    <row r="55" spans="1:22">
      <c r="A55" s="1"/>
      <c r="B55" s="1"/>
      <c r="C55" s="1"/>
      <c r="D55" s="1"/>
      <c r="E55" s="1"/>
      <c r="F55" s="1"/>
      <c r="G55" s="1"/>
      <c r="H55" s="1"/>
      <c r="O55" s="1"/>
      <c r="P55" s="1"/>
      <c r="Q55" s="1"/>
      <c r="R55" s="1"/>
      <c r="S55" s="1"/>
      <c r="T55" s="1"/>
      <c r="U55" s="1"/>
      <c r="V55" s="1"/>
    </row>
    <row r="56" spans="1:22">
      <c r="A56" s="1"/>
      <c r="B56" s="1"/>
      <c r="C56" s="1"/>
      <c r="D56" s="1"/>
      <c r="E56" s="1"/>
      <c r="F56" s="1"/>
      <c r="G56" s="1"/>
      <c r="H56" s="1"/>
      <c r="O56" s="1"/>
      <c r="P56" s="1"/>
      <c r="Q56" s="1"/>
      <c r="R56" s="1"/>
      <c r="S56" s="1"/>
      <c r="T56" s="1"/>
      <c r="U56" s="1"/>
      <c r="V56" s="1"/>
    </row>
    <row r="57" spans="1:22">
      <c r="A57" s="1"/>
      <c r="B57" s="1"/>
      <c r="C57" s="1"/>
      <c r="D57" s="1"/>
      <c r="E57" s="1"/>
      <c r="F57" s="1"/>
      <c r="G57" s="1"/>
      <c r="H57" s="1"/>
      <c r="O57" s="1"/>
      <c r="P57" s="1"/>
      <c r="Q57" s="1"/>
      <c r="R57" s="1"/>
      <c r="S57" s="1"/>
      <c r="T57" s="1"/>
      <c r="U57" s="1"/>
      <c r="V57" s="1"/>
    </row>
    <row r="58" spans="1:22">
      <c r="A58" s="1"/>
      <c r="B58" s="1"/>
      <c r="C58" s="1"/>
      <c r="D58" s="1"/>
      <c r="E58" s="1"/>
      <c r="F58" s="1"/>
      <c r="G58" s="1"/>
      <c r="H58" s="1"/>
      <c r="O58" s="1"/>
      <c r="P58" s="1"/>
      <c r="Q58" s="1"/>
      <c r="R58" s="1"/>
      <c r="S58" s="1"/>
      <c r="T58" s="1"/>
      <c r="U58" s="1"/>
      <c r="V58" s="1"/>
    </row>
    <row r="59" spans="1:22">
      <c r="A59" s="1"/>
      <c r="B59" s="1"/>
      <c r="C59" s="1"/>
      <c r="D59" s="1"/>
      <c r="E59" s="1"/>
      <c r="F59" s="1"/>
      <c r="G59" s="1"/>
      <c r="H59" s="1"/>
      <c r="O59" s="1"/>
      <c r="P59" s="1"/>
      <c r="Q59" s="1"/>
      <c r="R59" s="1"/>
      <c r="S59" s="1"/>
      <c r="T59" s="1"/>
      <c r="U59" s="1"/>
      <c r="V59" s="1"/>
    </row>
    <row r="60" spans="1:22">
      <c r="A60" s="1"/>
      <c r="B60" s="1"/>
      <c r="C60" s="1"/>
      <c r="D60" s="1"/>
      <c r="E60" s="1"/>
      <c r="F60" s="1"/>
      <c r="G60" s="1"/>
      <c r="H60" s="1"/>
      <c r="O60" s="1"/>
      <c r="P60" s="1"/>
      <c r="Q60" s="1"/>
      <c r="R60" s="1"/>
      <c r="S60" s="1"/>
      <c r="T60" s="1"/>
      <c r="U60" s="1"/>
      <c r="V60" s="1"/>
    </row>
    <row r="61" spans="1:22">
      <c r="A61" s="1"/>
      <c r="B61" s="1"/>
      <c r="C61" s="1"/>
      <c r="D61" s="1"/>
      <c r="E61" s="1"/>
      <c r="F61" s="1"/>
      <c r="G61" s="1"/>
      <c r="H61" s="1"/>
      <c r="O61" s="1"/>
      <c r="P61" s="1"/>
      <c r="Q61" s="1"/>
      <c r="R61" s="1"/>
      <c r="S61" s="1"/>
      <c r="T61" s="1"/>
      <c r="U61" s="1"/>
      <c r="V61" s="1"/>
    </row>
    <row r="62" spans="1:22">
      <c r="A62" s="1"/>
      <c r="B62" s="1"/>
      <c r="C62" s="1"/>
      <c r="D62" s="1"/>
      <c r="E62" s="1"/>
      <c r="F62" s="1"/>
      <c r="G62" s="1"/>
      <c r="H62" s="1"/>
      <c r="O62" s="1"/>
      <c r="P62" s="1"/>
      <c r="Q62" s="1"/>
      <c r="R62" s="1"/>
      <c r="S62" s="1"/>
      <c r="T62" s="1"/>
      <c r="U62" s="1"/>
      <c r="V62" s="1"/>
    </row>
    <row r="63" spans="1:22">
      <c r="A63" s="1"/>
      <c r="B63" s="1"/>
      <c r="C63" s="1"/>
      <c r="D63" s="1"/>
      <c r="E63" s="1"/>
      <c r="F63" s="1"/>
      <c r="G63" s="1"/>
      <c r="H63" s="1"/>
      <c r="O63" s="1"/>
      <c r="P63" s="1"/>
      <c r="Q63" s="1"/>
      <c r="R63" s="1"/>
      <c r="S63" s="1"/>
      <c r="T63" s="1"/>
      <c r="U63" s="1"/>
      <c r="V63" s="1"/>
    </row>
    <row r="64" spans="1:22">
      <c r="A64" s="1"/>
      <c r="B64" s="1"/>
      <c r="C64" s="1"/>
      <c r="D64" s="1"/>
      <c r="E64" s="1"/>
      <c r="F64" s="1"/>
      <c r="G64" s="1"/>
      <c r="H64" s="1"/>
      <c r="O64" s="1"/>
      <c r="P64" s="1"/>
      <c r="Q64" s="1"/>
      <c r="R64" s="1"/>
      <c r="S64" s="1"/>
      <c r="T64" s="1"/>
      <c r="U64" s="1"/>
      <c r="V64" s="1"/>
    </row>
    <row r="65" spans="1:22">
      <c r="A65" s="1"/>
      <c r="B65" s="1"/>
      <c r="C65" s="1"/>
      <c r="D65" s="1"/>
      <c r="E65" s="1"/>
      <c r="F65" s="1"/>
      <c r="G65" s="1"/>
      <c r="H65" s="1"/>
      <c r="O65" s="1"/>
      <c r="P65" s="1"/>
      <c r="Q65" s="1"/>
      <c r="R65" s="1"/>
      <c r="S65" s="1"/>
      <c r="T65" s="1"/>
      <c r="U65" s="1"/>
      <c r="V65" s="1"/>
    </row>
    <row r="66" spans="1:22">
      <c r="A66" s="1"/>
      <c r="B66" s="1"/>
      <c r="C66" s="1"/>
      <c r="D66" s="1"/>
      <c r="E66" s="1"/>
      <c r="F66" s="1"/>
      <c r="G66" s="1"/>
      <c r="H66" s="1"/>
      <c r="O66" s="1"/>
      <c r="P66" s="1"/>
      <c r="Q66" s="1"/>
      <c r="R66" s="1"/>
      <c r="S66" s="1"/>
      <c r="T66" s="1"/>
      <c r="U66" s="1"/>
      <c r="V66" s="1"/>
    </row>
    <row r="67" spans="1:22">
      <c r="A67" s="1"/>
      <c r="B67" s="1"/>
      <c r="C67" s="1"/>
      <c r="D67" s="1"/>
      <c r="E67" s="1"/>
      <c r="F67" s="1"/>
      <c r="G67" s="1"/>
      <c r="H67" s="1"/>
      <c r="O67" s="1"/>
      <c r="P67" s="1"/>
      <c r="Q67" s="1"/>
      <c r="R67" s="1"/>
      <c r="S67" s="1"/>
      <c r="T67" s="1"/>
      <c r="U67" s="1"/>
      <c r="V67" s="1"/>
    </row>
    <row r="68" spans="1:22">
      <c r="A68" s="1"/>
      <c r="B68" s="1"/>
      <c r="C68" s="1"/>
      <c r="D68" s="1"/>
      <c r="E68" s="1"/>
      <c r="F68" s="1"/>
      <c r="G68" s="1"/>
      <c r="H68" s="1"/>
      <c r="O68" s="1"/>
      <c r="P68" s="1"/>
      <c r="Q68" s="1"/>
      <c r="R68" s="1"/>
      <c r="S68" s="1"/>
      <c r="T68" s="1"/>
      <c r="U68" s="1"/>
      <c r="V68" s="1"/>
    </row>
    <row r="69" spans="1:22">
      <c r="A69" s="1"/>
      <c r="B69" s="1"/>
      <c r="C69" s="1"/>
      <c r="D69" s="1"/>
      <c r="E69" s="1"/>
      <c r="F69" s="1"/>
      <c r="G69" s="1"/>
      <c r="H69" s="1"/>
      <c r="O69" s="1"/>
      <c r="P69" s="1"/>
      <c r="Q69" s="1"/>
      <c r="R69" s="1"/>
      <c r="S69" s="1"/>
      <c r="T69" s="1"/>
      <c r="U69" s="1"/>
      <c r="V69" s="1"/>
    </row>
    <row r="70" spans="1:22">
      <c r="A70" s="1"/>
      <c r="B70" s="1"/>
      <c r="C70" s="1"/>
      <c r="D70" s="1"/>
      <c r="E70" s="1"/>
      <c r="F70" s="1"/>
      <c r="G70" s="1"/>
      <c r="H70" s="1"/>
      <c r="O70" s="1"/>
      <c r="P70" s="1"/>
      <c r="Q70" s="1"/>
      <c r="R70" s="1"/>
      <c r="S70" s="1"/>
      <c r="T70" s="1"/>
      <c r="U70" s="1"/>
      <c r="V70" s="1"/>
    </row>
    <row r="71" spans="1:22">
      <c r="A71" s="1"/>
      <c r="B71" s="1"/>
      <c r="C71" s="1"/>
      <c r="D71" s="1"/>
      <c r="E71" s="1"/>
      <c r="F71" s="1"/>
      <c r="G71" s="1"/>
      <c r="H71" s="1"/>
      <c r="O71" s="1"/>
      <c r="P71" s="1"/>
      <c r="Q71" s="1"/>
      <c r="R71" s="1"/>
      <c r="S71" s="1"/>
      <c r="T71" s="1"/>
      <c r="U71" s="1"/>
      <c r="V71" s="1"/>
    </row>
    <row r="72" spans="1:22">
      <c r="A72" s="1"/>
      <c r="B72" s="1"/>
      <c r="C72" s="1"/>
      <c r="D72" s="1"/>
      <c r="E72" s="1"/>
      <c r="F72" s="1"/>
      <c r="G72" s="1"/>
      <c r="H72" s="1"/>
      <c r="O72" s="1"/>
      <c r="P72" s="1"/>
      <c r="Q72" s="1"/>
      <c r="R72" s="1"/>
      <c r="S72" s="1"/>
      <c r="T72" s="1"/>
      <c r="U72" s="1"/>
      <c r="V72" s="1"/>
    </row>
    <row r="73" spans="1:22">
      <c r="A73" s="1"/>
      <c r="B73" s="1"/>
      <c r="C73" s="1"/>
      <c r="D73" s="1"/>
      <c r="E73" s="1"/>
      <c r="F73" s="1"/>
      <c r="G73" s="1"/>
      <c r="H73" s="1"/>
    </row>
    <row r="74" spans="1:22">
      <c r="A74" s="1"/>
      <c r="B74" s="1"/>
      <c r="C74" s="1"/>
      <c r="D74" s="1"/>
      <c r="E74" s="1"/>
      <c r="F74" s="1"/>
      <c r="G74" s="1"/>
      <c r="H74" s="1"/>
    </row>
    <row r="75" spans="1:22">
      <c r="A75" s="1"/>
      <c r="B75" s="1"/>
      <c r="C75" s="1"/>
      <c r="D75" s="1"/>
      <c r="E75" s="1"/>
      <c r="F75" s="1"/>
      <c r="G75" s="1"/>
      <c r="H75" s="1"/>
    </row>
    <row r="76" spans="1:22">
      <c r="A76" s="1"/>
      <c r="B76" s="1"/>
      <c r="C76" s="1"/>
      <c r="D76" s="1"/>
      <c r="E76" s="1"/>
      <c r="F76" s="1"/>
      <c r="G76" s="1"/>
      <c r="H76" s="1"/>
    </row>
    <row r="77" spans="1:22">
      <c r="A77" s="1"/>
      <c r="B77" s="1"/>
      <c r="C77" s="1"/>
      <c r="D77" s="1"/>
      <c r="E77" s="1"/>
      <c r="F77" s="1"/>
      <c r="G77" s="1"/>
      <c r="H77" s="1"/>
    </row>
    <row r="78" spans="1:22">
      <c r="A78" s="1"/>
      <c r="B78" s="1"/>
      <c r="C78" s="1"/>
      <c r="D78" s="1"/>
      <c r="E78" s="1"/>
      <c r="F78" s="1"/>
      <c r="G78" s="1"/>
      <c r="H78" s="1"/>
    </row>
    <row r="79" spans="1:22">
      <c r="A79" s="1"/>
      <c r="B79" s="1"/>
      <c r="C79" s="1"/>
      <c r="D79" s="1"/>
      <c r="E79" s="1"/>
      <c r="F79" s="1"/>
      <c r="G79" s="1"/>
      <c r="H79" s="1"/>
    </row>
    <row r="80" spans="1:22">
      <c r="A80" s="1"/>
      <c r="B80" s="1"/>
      <c r="C80" s="1"/>
    </row>
  </sheetData>
  <protectedRanges>
    <protectedRange sqref="P29 I30:L31 G12:G18 C12:E18" name="Range1_1"/>
  </protectedRanges>
  <mergeCells count="1">
    <mergeCell ref="B26:F26"/>
  </mergeCells>
  <phoneticPr fontId="0" type="noConversion"/>
  <pageMargins left="0.75" right="0.75" top="1" bottom="1" header="0.5" footer="0.5"/>
  <pageSetup paperSize="8" orientation="landscape" horizontalDpi="12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9"/>
  <dimension ref="A1:U64"/>
  <sheetViews>
    <sheetView zoomScale="85" zoomScaleNormal="50" zoomScaleSheetLayoutView="50" workbookViewId="0">
      <selection activeCell="G1" sqref="G1"/>
    </sheetView>
  </sheetViews>
  <sheetFormatPr defaultRowHeight="12.75"/>
  <cols>
    <col min="1" max="1" width="3.7109375" customWidth="1"/>
    <col min="2" max="2" width="21.7109375" customWidth="1"/>
    <col min="3" max="3" width="19.42578125" customWidth="1"/>
    <col min="4" max="4" width="19.7109375" customWidth="1"/>
    <col min="5" max="5" width="19.85546875" customWidth="1"/>
    <col min="6" max="6" width="15.85546875" customWidth="1"/>
    <col min="7" max="7" width="11.7109375" customWidth="1"/>
    <col min="8" max="8" width="15.85546875" bestFit="1" customWidth="1"/>
    <col min="9" max="9" width="11.42578125" customWidth="1"/>
    <col min="10" max="10" width="11.85546875" style="4" customWidth="1"/>
    <col min="11" max="11" width="9.140625" style="4"/>
    <col min="12" max="12" width="10.140625" customWidth="1"/>
    <col min="14" max="14" width="9.7109375" customWidth="1"/>
    <col min="15" max="15" width="10.28515625" customWidth="1"/>
    <col min="16" max="16" width="10.140625" customWidth="1"/>
    <col min="17" max="17" width="10.28515625" customWidth="1"/>
  </cols>
  <sheetData>
    <row r="1" spans="1:21" s="64" customFormat="1" ht="30" customHeight="1">
      <c r="A1" s="250" t="s">
        <v>425</v>
      </c>
      <c r="B1" s="250"/>
      <c r="C1" s="250"/>
      <c r="D1" s="250"/>
      <c r="E1" s="250"/>
      <c r="F1" s="62"/>
      <c r="G1" s="62"/>
      <c r="H1" s="62"/>
      <c r="I1" s="62"/>
      <c r="J1" s="62"/>
      <c r="K1" s="62"/>
      <c r="L1" s="62"/>
      <c r="M1" s="62"/>
      <c r="N1" s="62"/>
      <c r="O1" s="62"/>
      <c r="P1" s="62"/>
      <c r="Q1" s="62"/>
      <c r="R1" s="62"/>
      <c r="S1" s="62"/>
      <c r="T1" s="62"/>
      <c r="U1" s="62"/>
    </row>
    <row r="2" spans="1:21" s="32" customFormat="1" ht="12.75" customHeight="1">
      <c r="A2" s="44"/>
      <c r="B2" s="43"/>
      <c r="C2" s="42"/>
      <c r="D2" s="42"/>
      <c r="E2" s="42"/>
      <c r="F2" s="42"/>
      <c r="G2" s="42"/>
      <c r="H2" s="1"/>
      <c r="I2" s="1"/>
      <c r="J2" s="777" t="s">
        <v>360</v>
      </c>
      <c r="K2" s="778"/>
      <c r="L2" s="45"/>
      <c r="M2" s="46"/>
      <c r="N2" s="781" t="s">
        <v>361</v>
      </c>
      <c r="O2" s="782"/>
      <c r="P2" s="783"/>
      <c r="Q2" s="44"/>
      <c r="R2" s="44"/>
      <c r="S2" s="44"/>
      <c r="T2" s="44"/>
      <c r="U2" s="44"/>
    </row>
    <row r="3" spans="1:21" ht="14.25">
      <c r="A3" s="123" t="s">
        <v>90</v>
      </c>
      <c r="B3" s="2"/>
      <c r="C3" s="1"/>
      <c r="D3" s="1"/>
      <c r="E3" s="1"/>
      <c r="F3" s="1"/>
      <c r="G3" s="1"/>
      <c r="H3" s="1"/>
      <c r="I3" s="1"/>
      <c r="J3" s="779"/>
      <c r="K3" s="780"/>
      <c r="L3" s="1"/>
      <c r="M3" s="1"/>
      <c r="N3" s="784"/>
      <c r="O3" s="785"/>
      <c r="P3" s="786"/>
      <c r="Q3" s="1"/>
      <c r="R3" s="1"/>
      <c r="S3" s="1"/>
      <c r="T3" s="1"/>
      <c r="U3" s="1"/>
    </row>
    <row r="4" spans="1:21">
      <c r="A4" s="1"/>
      <c r="B4" s="44" t="s">
        <v>362</v>
      </c>
      <c r="C4" s="1"/>
      <c r="D4" s="1"/>
      <c r="E4" s="1"/>
      <c r="F4" s="1"/>
      <c r="G4" s="1"/>
      <c r="H4" s="1"/>
      <c r="I4" s="1"/>
      <c r="J4" s="1"/>
      <c r="K4" s="1"/>
      <c r="L4" s="1"/>
      <c r="M4" s="1"/>
      <c r="N4" s="1"/>
      <c r="O4" s="1"/>
      <c r="P4" s="1"/>
      <c r="Q4" s="1"/>
      <c r="R4" s="1"/>
      <c r="S4" s="1"/>
      <c r="T4" s="1"/>
      <c r="U4" s="1"/>
    </row>
    <row r="5" spans="1:21">
      <c r="A5" s="1"/>
      <c r="B5" s="44" t="s">
        <v>363</v>
      </c>
      <c r="C5" s="1"/>
      <c r="D5" s="1"/>
      <c r="E5" s="1"/>
      <c r="F5" s="1"/>
      <c r="G5" s="1"/>
      <c r="H5" s="1"/>
      <c r="I5" s="1"/>
      <c r="J5" s="1"/>
      <c r="K5" s="1"/>
      <c r="L5" s="1"/>
      <c r="M5" s="1"/>
      <c r="N5" s="1"/>
      <c r="O5" s="1"/>
      <c r="P5" s="1"/>
      <c r="Q5" s="1"/>
      <c r="R5" s="1"/>
      <c r="S5" s="1"/>
      <c r="T5" s="1"/>
      <c r="U5" s="1"/>
    </row>
    <row r="6" spans="1:21" ht="13.5" thickBot="1">
      <c r="A6" s="137"/>
      <c r="B6" s="498"/>
      <c r="C6" s="137"/>
      <c r="D6" s="137"/>
      <c r="E6" s="137"/>
      <c r="F6" s="137"/>
      <c r="G6" s="137"/>
      <c r="H6" s="137"/>
      <c r="I6" s="1"/>
      <c r="J6" s="1"/>
      <c r="K6" s="1"/>
      <c r="L6" s="1"/>
      <c r="M6" s="1"/>
      <c r="N6" s="1"/>
      <c r="O6" s="1"/>
      <c r="P6" s="1"/>
      <c r="Q6" s="1"/>
      <c r="R6" s="1"/>
      <c r="S6" s="1"/>
      <c r="T6" s="1"/>
      <c r="U6" s="1"/>
    </row>
    <row r="7" spans="1:21" ht="15.75">
      <c r="A7" s="63" t="s">
        <v>364</v>
      </c>
      <c r="B7" s="44"/>
      <c r="C7" s="1"/>
      <c r="D7" s="1"/>
      <c r="E7" s="1"/>
      <c r="F7" s="1"/>
      <c r="G7" s="1"/>
      <c r="H7" s="1"/>
      <c r="I7" s="1"/>
      <c r="J7" s="1"/>
      <c r="K7" s="1"/>
      <c r="L7" s="1"/>
      <c r="M7" s="1"/>
      <c r="N7" s="1"/>
      <c r="O7" s="1"/>
      <c r="P7" s="1"/>
      <c r="Q7" s="1"/>
      <c r="R7" s="1"/>
      <c r="S7" s="1"/>
      <c r="T7" s="1"/>
      <c r="U7" s="1"/>
    </row>
    <row r="8" spans="1:21">
      <c r="A8" s="5"/>
      <c r="B8" s="124"/>
      <c r="C8" s="5"/>
      <c r="D8" s="5"/>
      <c r="E8" s="5"/>
      <c r="F8" s="5"/>
      <c r="G8" s="5"/>
      <c r="H8" s="5"/>
      <c r="I8" s="1"/>
      <c r="J8" s="1"/>
      <c r="K8" s="1"/>
      <c r="L8" s="1"/>
      <c r="M8" s="1"/>
      <c r="N8" s="1"/>
      <c r="O8" s="1"/>
      <c r="P8" s="1"/>
      <c r="Q8" s="1"/>
      <c r="R8" s="1"/>
      <c r="S8" s="1"/>
      <c r="T8" s="1"/>
      <c r="U8" s="1"/>
    </row>
    <row r="9" spans="1:21" ht="14.25">
      <c r="A9" s="123" t="s">
        <v>143</v>
      </c>
      <c r="B9" s="1"/>
      <c r="C9" s="1"/>
      <c r="D9" s="1"/>
      <c r="E9" s="1"/>
      <c r="F9" s="1"/>
      <c r="G9" s="1"/>
      <c r="H9" s="1"/>
      <c r="I9" s="1"/>
      <c r="J9" s="1"/>
      <c r="K9" s="1"/>
      <c r="L9" s="1"/>
      <c r="M9" s="1"/>
      <c r="N9" s="1"/>
      <c r="O9" s="1"/>
      <c r="P9" s="1"/>
      <c r="Q9" s="1"/>
      <c r="R9" s="1"/>
      <c r="S9" s="1"/>
      <c r="T9" s="1"/>
      <c r="U9" s="1"/>
    </row>
    <row r="10" spans="1:21" ht="106.5" customHeight="1">
      <c r="A10" s="123"/>
      <c r="B10" s="744" t="s">
        <v>367</v>
      </c>
      <c r="C10" s="642"/>
      <c r="D10" s="642"/>
      <c r="E10" s="642"/>
      <c r="F10" s="642"/>
      <c r="G10" s="642"/>
      <c r="H10" s="642"/>
      <c r="I10" s="642"/>
      <c r="J10" s="1"/>
      <c r="K10" s="1"/>
      <c r="L10" s="1"/>
      <c r="M10" s="1"/>
      <c r="N10" s="1"/>
      <c r="O10" s="1"/>
      <c r="P10" s="1"/>
      <c r="Q10" s="1"/>
      <c r="R10" s="1"/>
      <c r="S10" s="1"/>
      <c r="T10" s="1"/>
      <c r="U10" s="1"/>
    </row>
    <row r="11" spans="1:21">
      <c r="A11" s="126"/>
      <c r="B11" s="126"/>
      <c r="C11" s="5"/>
      <c r="D11" s="5"/>
      <c r="E11" s="5"/>
      <c r="F11" s="5"/>
      <c r="G11" s="5"/>
      <c r="H11" s="5"/>
      <c r="I11" s="1"/>
      <c r="J11" s="1"/>
      <c r="K11" s="1"/>
      <c r="L11" s="1"/>
      <c r="M11" s="1"/>
      <c r="N11" s="1"/>
      <c r="O11" s="1"/>
      <c r="P11" s="1"/>
      <c r="Q11" s="1"/>
      <c r="R11" s="1"/>
      <c r="S11" s="1"/>
      <c r="T11" s="1"/>
      <c r="U11" s="1"/>
    </row>
    <row r="12" spans="1:21" ht="14.25">
      <c r="A12" s="123" t="s">
        <v>231</v>
      </c>
      <c r="B12" s="125"/>
      <c r="C12" s="1"/>
      <c r="D12" s="1"/>
      <c r="E12" s="1"/>
      <c r="F12" s="1"/>
      <c r="G12" s="1"/>
      <c r="H12" s="1"/>
      <c r="I12" s="1"/>
      <c r="J12" s="1"/>
      <c r="K12" s="1"/>
      <c r="L12" s="1"/>
      <c r="M12" s="1"/>
      <c r="N12" s="1"/>
      <c r="O12" s="1"/>
      <c r="P12" s="1"/>
      <c r="Q12" s="1"/>
      <c r="R12" s="1"/>
      <c r="S12" s="1"/>
      <c r="T12" s="1"/>
      <c r="U12" s="1"/>
    </row>
    <row r="13" spans="1:21" ht="18">
      <c r="A13" s="439"/>
      <c r="B13" s="487"/>
      <c r="C13" s="440"/>
      <c r="D13" s="440"/>
      <c r="E13" s="440"/>
      <c r="F13" s="440"/>
      <c r="G13" s="440"/>
      <c r="H13" s="440"/>
      <c r="I13" s="440"/>
      <c r="J13" s="1"/>
      <c r="K13" s="1"/>
      <c r="L13" s="439"/>
      <c r="M13" s="439"/>
      <c r="N13" s="439"/>
      <c r="O13" s="439"/>
      <c r="P13" s="439"/>
      <c r="Q13" s="439"/>
      <c r="R13" s="1"/>
      <c r="S13" s="1"/>
      <c r="T13" s="1"/>
      <c r="U13" s="1"/>
    </row>
    <row r="14" spans="1:21" s="48" customFormat="1" ht="15.75" customHeight="1" thickBot="1">
      <c r="A14" s="441"/>
      <c r="B14" s="442" t="s">
        <v>342</v>
      </c>
      <c r="C14" s="804" t="s">
        <v>343</v>
      </c>
      <c r="D14" s="805"/>
      <c r="E14" s="806"/>
      <c r="F14" s="807"/>
      <c r="G14" s="443" t="s">
        <v>116</v>
      </c>
      <c r="H14" s="444" t="s">
        <v>117</v>
      </c>
      <c r="I14" s="441"/>
      <c r="J14" s="441"/>
      <c r="K14" s="441"/>
      <c r="L14" s="441"/>
      <c r="M14" s="441"/>
      <c r="N14" s="441"/>
      <c r="O14" s="441"/>
      <c r="P14" s="441"/>
      <c r="Q14" s="441"/>
      <c r="R14" s="47"/>
      <c r="S14" s="47"/>
      <c r="T14" s="47"/>
      <c r="U14" s="47"/>
    </row>
    <row r="15" spans="1:21" s="48" customFormat="1" ht="25.5" customHeight="1">
      <c r="A15" s="441"/>
      <c r="B15" s="793"/>
      <c r="C15" s="796"/>
      <c r="D15" s="802" t="s">
        <v>346</v>
      </c>
      <c r="E15" s="808" t="s">
        <v>347</v>
      </c>
      <c r="F15" s="787" t="s">
        <v>348</v>
      </c>
      <c r="G15" s="445"/>
      <c r="H15" s="792"/>
      <c r="I15" s="441"/>
      <c r="J15" s="455"/>
      <c r="K15" s="456"/>
      <c r="L15" s="500"/>
      <c r="M15" s="497" t="s">
        <v>357</v>
      </c>
      <c r="N15" s="456"/>
      <c r="O15" s="456"/>
      <c r="P15" s="456"/>
      <c r="Q15" s="456"/>
      <c r="R15" s="500"/>
      <c r="S15" s="456"/>
      <c r="T15" s="457"/>
      <c r="U15" s="47"/>
    </row>
    <row r="16" spans="1:21" s="48" customFormat="1" ht="22.5" customHeight="1">
      <c r="A16" s="441"/>
      <c r="B16" s="794"/>
      <c r="C16" s="797"/>
      <c r="D16" s="803"/>
      <c r="E16" s="809"/>
      <c r="F16" s="788"/>
      <c r="G16" s="494"/>
      <c r="H16" s="792"/>
      <c r="I16" s="441"/>
      <c r="J16" s="458"/>
      <c r="K16" s="459"/>
      <c r="L16" s="501"/>
      <c r="M16" s="496" t="s">
        <v>358</v>
      </c>
      <c r="N16" s="460"/>
      <c r="O16" s="460"/>
      <c r="P16" s="460"/>
      <c r="Q16" s="460"/>
      <c r="R16" s="501"/>
      <c r="S16" s="461"/>
      <c r="T16" s="462"/>
      <c r="U16" s="47"/>
    </row>
    <row r="17" spans="1:21" s="48" customFormat="1" ht="24.75" customHeight="1">
      <c r="A17" s="441"/>
      <c r="B17" s="794"/>
      <c r="C17" s="797"/>
      <c r="D17" s="803"/>
      <c r="E17" s="809"/>
      <c r="F17" s="788"/>
      <c r="G17" s="494"/>
      <c r="H17" s="792"/>
      <c r="I17" s="441"/>
      <c r="J17" s="458"/>
      <c r="K17" s="463"/>
      <c r="L17" s="464"/>
      <c r="M17" s="464"/>
      <c r="N17" s="464"/>
      <c r="O17" s="464"/>
      <c r="P17" s="464"/>
      <c r="Q17" s="464"/>
      <c r="R17" s="464"/>
      <c r="S17" s="465"/>
      <c r="T17" s="462"/>
      <c r="U17" s="47"/>
    </row>
    <row r="18" spans="1:21" s="48" customFormat="1" ht="23.25" customHeight="1">
      <c r="A18" s="441"/>
      <c r="B18" s="794"/>
      <c r="C18" s="797"/>
      <c r="D18" s="803"/>
      <c r="E18" s="809"/>
      <c r="F18" s="788"/>
      <c r="G18" s="494"/>
      <c r="H18" s="792"/>
      <c r="I18" s="441"/>
      <c r="J18" s="502"/>
      <c r="K18" s="501"/>
      <c r="L18" s="464"/>
      <c r="M18" s="464"/>
      <c r="N18" s="464"/>
      <c r="O18" s="464"/>
      <c r="P18" s="464"/>
      <c r="Q18" s="464"/>
      <c r="R18" s="464"/>
      <c r="S18" s="501"/>
      <c r="T18" s="507"/>
      <c r="U18" s="47"/>
    </row>
    <row r="19" spans="1:21" s="48" customFormat="1" ht="27" customHeight="1">
      <c r="A19" s="441"/>
      <c r="B19" s="795"/>
      <c r="C19" s="798"/>
      <c r="D19" s="799" t="s">
        <v>349</v>
      </c>
      <c r="E19" s="800"/>
      <c r="F19" s="801"/>
      <c r="G19" s="446"/>
      <c r="H19" s="792"/>
      <c r="I19" s="441"/>
      <c r="J19" s="458"/>
      <c r="K19" s="463"/>
      <c r="L19" s="464"/>
      <c r="M19" s="464"/>
      <c r="N19" s="464"/>
      <c r="O19" s="466" t="s">
        <v>359</v>
      </c>
      <c r="P19" s="464"/>
      <c r="Q19" s="464"/>
      <c r="R19" s="464"/>
      <c r="S19" s="465"/>
      <c r="T19" s="462"/>
      <c r="U19" s="47"/>
    </row>
    <row r="20" spans="1:21" ht="24.75" customHeight="1">
      <c r="A20" s="439"/>
      <c r="B20" s="491" t="s">
        <v>345</v>
      </c>
      <c r="C20" s="488" t="s">
        <v>344</v>
      </c>
      <c r="D20" s="480" t="e">
        <f>AVERAGE(L16,R16)</f>
        <v>#DIV/0!</v>
      </c>
      <c r="E20" s="481" t="e">
        <f>AVERAGE(L15,R15)</f>
        <v>#DIV/0!</v>
      </c>
      <c r="F20" s="482" t="str">
        <f>IF(ISNUMBER(E20),-D20+E20,"---")</f>
        <v>---</v>
      </c>
      <c r="G20" s="447" t="str">
        <f>IF(ISNUMBER(F20),IF(AND(F20&lt;=5,F20&gt;=0),"PASS","FAIL"),"----")</f>
        <v>----</v>
      </c>
      <c r="H20" s="792"/>
      <c r="I20" s="439"/>
      <c r="J20" s="495" t="s">
        <v>351</v>
      </c>
      <c r="K20" s="463"/>
      <c r="L20" s="464"/>
      <c r="M20" s="464"/>
      <c r="N20" s="464"/>
      <c r="O20" s="464"/>
      <c r="P20" s="464"/>
      <c r="Q20" s="464"/>
      <c r="R20" s="464"/>
      <c r="S20" s="465"/>
      <c r="T20" s="462"/>
      <c r="U20" s="1"/>
    </row>
    <row r="21" spans="1:21" ht="23.25" customHeight="1">
      <c r="A21" s="439"/>
      <c r="B21" s="491" t="s">
        <v>345</v>
      </c>
      <c r="C21" s="488" t="s">
        <v>43</v>
      </c>
      <c r="D21" s="480" t="e">
        <f>AVERAGE(K18,K28)</f>
        <v>#DIV/0!</v>
      </c>
      <c r="E21" s="483" t="e">
        <f>AVERAGE(J18,J28)</f>
        <v>#DIV/0!</v>
      </c>
      <c r="F21" s="482" t="str">
        <f>IF(ISNUMBER(E21),-D21+E21,"---")</f>
        <v>---</v>
      </c>
      <c r="G21" s="447" t="str">
        <f>IF(ISNUMBER(F21),IF(AND(F21&lt;=5,F21&gt;=0),"PASS","FAIL"),"----")</f>
        <v>----</v>
      </c>
      <c r="H21" s="792"/>
      <c r="I21" s="439"/>
      <c r="J21" s="495" t="s">
        <v>352</v>
      </c>
      <c r="K21" s="463"/>
      <c r="L21" s="464"/>
      <c r="M21" s="464"/>
      <c r="N21" s="464"/>
      <c r="O21" s="464"/>
      <c r="P21" s="464"/>
      <c r="Q21" s="464"/>
      <c r="R21" s="464"/>
      <c r="S21" s="465"/>
      <c r="T21" s="462"/>
      <c r="U21" s="1"/>
    </row>
    <row r="22" spans="1:21" ht="21" customHeight="1">
      <c r="A22" s="439"/>
      <c r="B22" s="491" t="s">
        <v>345</v>
      </c>
      <c r="C22" s="488" t="s">
        <v>44</v>
      </c>
      <c r="D22" s="483" t="e">
        <f>-AVERAGE(L31,R31)</f>
        <v>#DIV/0!</v>
      </c>
      <c r="E22" s="484" t="e">
        <f>-AVERAGE(L32,R32)</f>
        <v>#DIV/0!</v>
      </c>
      <c r="F22" s="482" t="str">
        <f>IF(ISNUMBER(E22),-D22+E22,"---")</f>
        <v>---</v>
      </c>
      <c r="G22" s="447" t="str">
        <f>IF(ISNUMBER(F22),IF(AND(F22&lt;=5,F22&gt;=0),"PASS","FAIL"),"----")</f>
        <v>----</v>
      </c>
      <c r="H22" s="792"/>
      <c r="I22" s="439"/>
      <c r="J22" s="495" t="s">
        <v>353</v>
      </c>
      <c r="K22" s="463"/>
      <c r="L22" s="464"/>
      <c r="M22" s="464"/>
      <c r="N22" s="464"/>
      <c r="O22" s="464"/>
      <c r="P22" s="464"/>
      <c r="Q22" s="464"/>
      <c r="R22" s="464"/>
      <c r="S22" s="465"/>
      <c r="T22" s="462"/>
      <c r="U22" s="1"/>
    </row>
    <row r="23" spans="1:21" ht="25.5" customHeight="1" thickBot="1">
      <c r="A23" s="439"/>
      <c r="B23" s="492" t="s">
        <v>345</v>
      </c>
      <c r="C23" s="489" t="s">
        <v>45</v>
      </c>
      <c r="D23" s="485" t="e">
        <f>AVERAGE(S18,S28)</f>
        <v>#DIV/0!</v>
      </c>
      <c r="E23" s="486" t="e">
        <f>AVERAGE(T18,T28)</f>
        <v>#DIV/0!</v>
      </c>
      <c r="F23" s="482" t="str">
        <f>IF(ISNUMBER(E23),-D23+E23,"---")</f>
        <v>---</v>
      </c>
      <c r="G23" s="448" t="str">
        <f>IF(ISNUMBER(F23),IF(AND(F23&lt;=5,F23&gt;=0),"PASS","FAIL"),"----")</f>
        <v>----</v>
      </c>
      <c r="H23" s="792"/>
      <c r="I23" s="439"/>
      <c r="J23" s="495" t="s">
        <v>354</v>
      </c>
      <c r="K23" s="463"/>
      <c r="L23" s="464"/>
      <c r="M23" s="464"/>
      <c r="N23" s="464"/>
      <c r="O23" s="464"/>
      <c r="P23" s="464"/>
      <c r="Q23" s="464"/>
      <c r="R23" s="464"/>
      <c r="S23" s="465"/>
      <c r="T23" s="462"/>
      <c r="U23" s="1"/>
    </row>
    <row r="24" spans="1:21" ht="31.5" customHeight="1" thickBot="1">
      <c r="A24" s="439"/>
      <c r="B24" s="490" t="s">
        <v>341</v>
      </c>
      <c r="C24" s="449" t="s">
        <v>356</v>
      </c>
      <c r="D24" s="450" t="str">
        <f>IF(ISNUMBER(N30),MAX(N30,P30),"---")</f>
        <v>---</v>
      </c>
      <c r="E24" s="451"/>
      <c r="F24" s="452"/>
      <c r="G24" s="453" t="str">
        <f>IF(ISNUMBER(D24),IF(D24&lt;=4,"PASS","FAIL"),"----")</f>
        <v>----</v>
      </c>
      <c r="H24" s="454"/>
      <c r="I24" s="439"/>
      <c r="J24" s="495" t="s">
        <v>355</v>
      </c>
      <c r="K24" s="463"/>
      <c r="L24" s="464"/>
      <c r="M24" s="464"/>
      <c r="N24" s="464"/>
      <c r="O24" s="464"/>
      <c r="P24" s="464"/>
      <c r="Q24" s="464"/>
      <c r="R24" s="464"/>
      <c r="S24" s="465"/>
      <c r="T24" s="462"/>
      <c r="U24" s="1"/>
    </row>
    <row r="25" spans="1:21">
      <c r="A25" s="1"/>
      <c r="B25" s="1"/>
      <c r="C25" s="1"/>
      <c r="D25" s="1"/>
      <c r="E25" s="1"/>
      <c r="F25" s="1"/>
      <c r="G25" s="1"/>
      <c r="H25" s="1"/>
      <c r="I25" s="1"/>
      <c r="J25" s="467"/>
      <c r="K25" s="463"/>
      <c r="L25" s="464"/>
      <c r="M25" s="464"/>
      <c r="N25" s="464"/>
      <c r="O25" s="464"/>
      <c r="P25" s="464"/>
      <c r="Q25" s="464"/>
      <c r="R25" s="464"/>
      <c r="S25" s="465"/>
      <c r="T25" s="462"/>
      <c r="U25" s="1"/>
    </row>
    <row r="26" spans="1:21">
      <c r="A26" s="1"/>
      <c r="B26" s="1"/>
      <c r="C26" s="1"/>
      <c r="D26" s="1"/>
      <c r="E26" s="1"/>
      <c r="F26" s="1"/>
      <c r="G26" s="1"/>
      <c r="H26" s="1"/>
      <c r="I26" s="1"/>
      <c r="J26" s="458"/>
      <c r="K26" s="463"/>
      <c r="L26" s="464"/>
      <c r="M26" s="464"/>
      <c r="N26" s="464"/>
      <c r="O26" s="464"/>
      <c r="P26" s="464"/>
      <c r="Q26" s="464"/>
      <c r="R26" s="464"/>
      <c r="S26" s="465"/>
      <c r="T26" s="462"/>
      <c r="U26" s="1"/>
    </row>
    <row r="27" spans="1:21">
      <c r="A27" s="5"/>
      <c r="B27" s="5"/>
      <c r="C27" s="5"/>
      <c r="D27" s="5"/>
      <c r="E27" s="5"/>
      <c r="F27" s="5"/>
      <c r="G27" s="5"/>
      <c r="H27" s="5"/>
      <c r="I27" s="1"/>
      <c r="J27" s="458"/>
      <c r="K27" s="463"/>
      <c r="L27" s="464"/>
      <c r="M27" s="464"/>
      <c r="N27" s="464"/>
      <c r="O27" s="464"/>
      <c r="P27" s="464"/>
      <c r="Q27" s="464"/>
      <c r="R27" s="464"/>
      <c r="S27" s="465"/>
      <c r="T27" s="462"/>
      <c r="U27" s="1"/>
    </row>
    <row r="28" spans="1:21" ht="15.75" thickBot="1">
      <c r="A28" s="131" t="s">
        <v>365</v>
      </c>
      <c r="B28" s="132"/>
      <c r="C28" s="132"/>
      <c r="D28" s="1"/>
      <c r="E28" s="1"/>
      <c r="F28" s="1"/>
      <c r="G28" s="1"/>
      <c r="H28" s="286"/>
      <c r="I28" s="1"/>
      <c r="J28" s="503"/>
      <c r="K28" s="501"/>
      <c r="L28" s="464"/>
      <c r="M28" s="464"/>
      <c r="N28" s="464"/>
      <c r="O28" s="464"/>
      <c r="P28" s="464"/>
      <c r="Q28" s="464"/>
      <c r="R28" s="464"/>
      <c r="S28" s="501"/>
      <c r="T28" s="507"/>
      <c r="U28" s="1"/>
    </row>
    <row r="29" spans="1:21" ht="16.5" thickBot="1">
      <c r="A29" s="1"/>
      <c r="B29" s="1"/>
      <c r="C29" s="1"/>
      <c r="D29" s="1"/>
      <c r="E29" s="493" t="str">
        <f>IF(G24="----","---",IF(COUNTIF(G20:G24,"PASS")=5,"PASS","FAIL"))</f>
        <v>---</v>
      </c>
      <c r="F29" s="1"/>
      <c r="G29" s="1"/>
      <c r="H29" s="49"/>
      <c r="I29" s="1"/>
      <c r="J29" s="458"/>
      <c r="K29" s="463"/>
      <c r="L29" s="464"/>
      <c r="M29" s="464"/>
      <c r="N29" s="468" t="s">
        <v>350</v>
      </c>
      <c r="O29" s="464"/>
      <c r="P29" s="468" t="s">
        <v>350</v>
      </c>
      <c r="Q29" s="464"/>
      <c r="R29" s="464"/>
      <c r="S29" s="465"/>
      <c r="T29" s="462"/>
      <c r="U29" s="1"/>
    </row>
    <row r="30" spans="1:21" ht="12.75" customHeight="1">
      <c r="A30" s="5"/>
      <c r="B30" s="5"/>
      <c r="C30" s="5"/>
      <c r="D30" s="5"/>
      <c r="E30" s="5"/>
      <c r="F30" s="5"/>
      <c r="G30" s="5"/>
      <c r="H30" s="5"/>
      <c r="I30" s="1"/>
      <c r="J30" s="458"/>
      <c r="K30" s="463"/>
      <c r="L30" s="469"/>
      <c r="M30" s="464"/>
      <c r="N30" s="506"/>
      <c r="O30" s="464"/>
      <c r="P30" s="506"/>
      <c r="Q30" s="464"/>
      <c r="R30" s="469"/>
      <c r="S30" s="465"/>
      <c r="T30" s="462"/>
      <c r="U30" s="1"/>
    </row>
    <row r="31" spans="1:21" ht="15" thickBot="1">
      <c r="A31" s="123" t="s">
        <v>158</v>
      </c>
      <c r="B31" s="1"/>
      <c r="C31" s="1"/>
      <c r="D31" s="1"/>
      <c r="E31" s="1"/>
      <c r="F31" s="1"/>
      <c r="G31" s="1"/>
      <c r="H31" s="278"/>
      <c r="I31" s="1"/>
      <c r="J31" s="470"/>
      <c r="K31" s="471"/>
      <c r="L31" s="505"/>
      <c r="M31" s="472"/>
      <c r="N31" s="472"/>
      <c r="O31" s="473"/>
      <c r="P31" s="473"/>
      <c r="Q31" s="473"/>
      <c r="R31" s="505"/>
      <c r="S31" s="474"/>
      <c r="T31" s="475"/>
      <c r="U31" s="1"/>
    </row>
    <row r="32" spans="1:21">
      <c r="A32" s="568"/>
      <c r="B32" s="568"/>
      <c r="C32" s="568"/>
      <c r="D32" s="568"/>
      <c r="E32" s="568"/>
      <c r="F32" s="568"/>
      <c r="G32" s="568"/>
      <c r="H32" s="576"/>
      <c r="I32" s="1"/>
      <c r="J32" s="476"/>
      <c r="K32" s="477"/>
      <c r="L32" s="504"/>
      <c r="M32" s="478"/>
      <c r="N32" s="478"/>
      <c r="O32" s="478"/>
      <c r="P32" s="478"/>
      <c r="Q32" s="478"/>
      <c r="R32" s="504"/>
      <c r="S32" s="479"/>
      <c r="T32" s="476"/>
      <c r="U32" s="1"/>
    </row>
    <row r="33" spans="1:21">
      <c r="A33" s="568"/>
      <c r="B33" s="568"/>
      <c r="C33" s="568"/>
      <c r="D33" s="568"/>
      <c r="E33" s="568"/>
      <c r="F33" s="568"/>
      <c r="G33" s="568"/>
      <c r="H33" s="568"/>
      <c r="I33" s="1"/>
      <c r="J33" s="1"/>
      <c r="K33" s="1"/>
      <c r="L33" s="1"/>
      <c r="M33" s="1"/>
      <c r="N33" s="1"/>
      <c r="O33" s="1"/>
      <c r="P33" s="1"/>
      <c r="Q33" s="1"/>
      <c r="R33" s="1"/>
      <c r="S33" s="1"/>
      <c r="T33" s="1"/>
      <c r="U33" s="1"/>
    </row>
    <row r="34" spans="1:21">
      <c r="A34" s="568"/>
      <c r="B34" s="568"/>
      <c r="C34" s="568"/>
      <c r="D34" s="568"/>
      <c r="E34" s="568"/>
      <c r="F34" s="568"/>
      <c r="G34" s="568"/>
      <c r="H34" s="568"/>
      <c r="I34" s="3"/>
      <c r="J34" s="3"/>
      <c r="K34" s="3"/>
      <c r="L34" s="3"/>
      <c r="M34" s="1"/>
      <c r="N34" s="1"/>
      <c r="O34" s="1"/>
      <c r="P34" s="1"/>
      <c r="Q34" s="1"/>
      <c r="R34" s="1"/>
      <c r="S34" s="1"/>
      <c r="T34" s="1"/>
      <c r="U34" s="1"/>
    </row>
    <row r="35" spans="1:21" ht="13.5" thickBot="1">
      <c r="A35" s="577"/>
      <c r="B35" s="577"/>
      <c r="C35" s="577"/>
      <c r="D35" s="577"/>
      <c r="E35" s="577"/>
      <c r="F35" s="577"/>
      <c r="G35" s="789"/>
      <c r="H35" s="789"/>
      <c r="I35" s="3"/>
      <c r="J35" s="3"/>
      <c r="K35" s="3"/>
      <c r="L35" s="3"/>
      <c r="M35" s="1"/>
      <c r="N35" s="1"/>
      <c r="O35" s="1"/>
      <c r="P35" s="1"/>
      <c r="Q35" s="1"/>
      <c r="R35" s="1"/>
      <c r="S35" s="1"/>
      <c r="T35" s="1"/>
      <c r="U35" s="1"/>
    </row>
    <row r="36" spans="1:21" ht="23.25" customHeight="1">
      <c r="A36" s="63" t="s">
        <v>366</v>
      </c>
      <c r="B36" s="44"/>
      <c r="C36" s="1"/>
      <c r="D36" s="1"/>
      <c r="E36" s="1"/>
      <c r="F36" s="1"/>
      <c r="G36" s="1"/>
      <c r="H36" s="1"/>
      <c r="I36" s="1"/>
      <c r="J36" s="790"/>
      <c r="K36" s="791"/>
      <c r="L36" s="3"/>
      <c r="M36" s="1"/>
      <c r="N36" s="1"/>
      <c r="O36" s="1"/>
      <c r="P36" s="1"/>
      <c r="Q36" s="1"/>
      <c r="R36" s="1"/>
      <c r="S36" s="1"/>
      <c r="T36" s="1"/>
      <c r="U36" s="1"/>
    </row>
    <row r="37" spans="1:21">
      <c r="A37" s="5"/>
      <c r="B37" s="124"/>
      <c r="C37" s="5"/>
      <c r="D37" s="5"/>
      <c r="E37" s="5"/>
      <c r="F37" s="5"/>
      <c r="G37" s="5"/>
      <c r="H37" s="5"/>
      <c r="I37" s="1"/>
      <c r="J37" s="3"/>
      <c r="K37" s="3"/>
      <c r="L37" s="3"/>
      <c r="M37" s="1"/>
      <c r="N37" s="1"/>
      <c r="O37" s="1"/>
      <c r="P37" s="1"/>
      <c r="Q37" s="1"/>
      <c r="R37" s="1"/>
      <c r="S37" s="1"/>
      <c r="T37" s="1"/>
      <c r="U37" s="1"/>
    </row>
    <row r="38" spans="1:21" ht="14.25">
      <c r="A38" s="123" t="s">
        <v>143</v>
      </c>
      <c r="B38" s="1"/>
      <c r="C38" s="1"/>
      <c r="D38" s="1"/>
      <c r="E38" s="1"/>
      <c r="F38" s="1"/>
      <c r="G38" s="1"/>
      <c r="H38" s="1"/>
      <c r="I38" s="1"/>
      <c r="J38" s="3"/>
      <c r="K38" s="3"/>
      <c r="L38" s="3"/>
      <c r="M38" s="1"/>
      <c r="N38" s="1"/>
      <c r="O38" s="1"/>
      <c r="P38" s="1"/>
      <c r="Q38" s="1"/>
      <c r="R38" s="1"/>
      <c r="S38" s="1"/>
      <c r="T38" s="1"/>
      <c r="U38" s="1"/>
    </row>
    <row r="39" spans="1:21" ht="198" customHeight="1">
      <c r="A39" s="123"/>
      <c r="B39" s="744" t="s">
        <v>369</v>
      </c>
      <c r="C39" s="642"/>
      <c r="D39" s="642"/>
      <c r="E39" s="642"/>
      <c r="F39" s="642"/>
      <c r="G39" s="642"/>
      <c r="H39" s="642"/>
      <c r="I39" s="642"/>
      <c r="J39" s="3"/>
      <c r="K39" s="3"/>
      <c r="L39" s="3"/>
      <c r="M39" s="1"/>
      <c r="N39" s="1"/>
      <c r="O39" s="1"/>
      <c r="P39" s="1"/>
      <c r="Q39" s="1"/>
      <c r="R39" s="1"/>
      <c r="S39" s="1"/>
      <c r="T39" s="1"/>
      <c r="U39" s="1"/>
    </row>
    <row r="40" spans="1:21" ht="31.5" customHeight="1">
      <c r="A40" s="126"/>
      <c r="B40" s="126"/>
      <c r="C40" s="5"/>
      <c r="D40" s="5"/>
      <c r="E40" s="5"/>
      <c r="F40" s="5"/>
      <c r="G40" s="5"/>
      <c r="H40" s="5"/>
      <c r="I40" s="1"/>
      <c r="J40" s="3"/>
      <c r="K40" s="3"/>
      <c r="L40" s="3"/>
      <c r="M40" s="1"/>
      <c r="N40" s="499" t="s">
        <v>368</v>
      </c>
      <c r="O40" s="1"/>
      <c r="P40" s="1"/>
      <c r="Q40" s="1"/>
      <c r="R40" s="1"/>
      <c r="S40" s="1"/>
      <c r="T40" s="1"/>
      <c r="U40" s="1"/>
    </row>
    <row r="41" spans="1:21" ht="14.25">
      <c r="A41" s="123" t="s">
        <v>146</v>
      </c>
      <c r="B41" s="125"/>
      <c r="C41" s="1"/>
      <c r="D41" s="1"/>
      <c r="E41" s="1"/>
      <c r="F41" s="1"/>
      <c r="G41" s="1"/>
      <c r="H41" s="1"/>
      <c r="I41" s="1"/>
      <c r="J41" s="3"/>
      <c r="K41" s="3"/>
      <c r="L41" s="3"/>
      <c r="M41" s="1"/>
      <c r="N41" s="1"/>
      <c r="O41" s="1"/>
      <c r="P41" s="1"/>
      <c r="Q41" s="1"/>
      <c r="R41" s="1"/>
      <c r="S41" s="1"/>
      <c r="T41" s="1"/>
      <c r="U41" s="1"/>
    </row>
    <row r="42" spans="1:21">
      <c r="A42" s="1"/>
      <c r="B42" s="1"/>
      <c r="C42" s="1"/>
      <c r="D42" s="1"/>
      <c r="E42" s="1"/>
      <c r="F42" s="1"/>
      <c r="G42" s="1"/>
      <c r="H42" s="1"/>
      <c r="I42" s="3"/>
      <c r="J42" s="3"/>
      <c r="K42" s="3"/>
      <c r="L42" s="3"/>
      <c r="M42" s="1"/>
      <c r="N42" s="1"/>
      <c r="O42" s="1"/>
      <c r="P42" s="1"/>
      <c r="Q42" s="1"/>
      <c r="R42" s="1"/>
      <c r="S42" s="1"/>
      <c r="T42" s="1"/>
      <c r="U42" s="1"/>
    </row>
    <row r="43" spans="1:21">
      <c r="A43" s="1"/>
      <c r="B43" s="2" t="s">
        <v>374</v>
      </c>
      <c r="C43" s="1"/>
      <c r="D43" s="1"/>
      <c r="E43" s="1"/>
      <c r="F43" s="1"/>
      <c r="G43" s="1"/>
      <c r="H43" s="1"/>
      <c r="I43" s="3"/>
      <c r="J43" s="3"/>
      <c r="K43" s="3"/>
      <c r="L43" s="3"/>
      <c r="M43" s="1"/>
      <c r="N43" s="1"/>
      <c r="O43" s="1"/>
      <c r="P43" s="1"/>
      <c r="Q43" s="1"/>
      <c r="R43" s="1"/>
      <c r="S43" s="1"/>
      <c r="T43" s="1"/>
      <c r="U43" s="1"/>
    </row>
    <row r="44" spans="1:21">
      <c r="A44" s="1"/>
      <c r="B44" s="215" t="s">
        <v>370</v>
      </c>
      <c r="C44" s="422"/>
      <c r="D44" s="1"/>
      <c r="E44" s="1"/>
      <c r="F44" s="1"/>
      <c r="G44" s="1"/>
      <c r="H44" s="1"/>
      <c r="I44" s="3"/>
      <c r="J44" s="3"/>
      <c r="K44" s="3"/>
      <c r="L44" s="3"/>
      <c r="M44" s="1"/>
      <c r="N44" s="1"/>
      <c r="O44" s="1"/>
      <c r="P44" s="1"/>
      <c r="Q44" s="1"/>
      <c r="R44" s="1"/>
      <c r="S44" s="1"/>
      <c r="T44" s="1"/>
      <c r="U44" s="1"/>
    </row>
    <row r="45" spans="1:21">
      <c r="A45" s="1"/>
      <c r="B45" s="215" t="s">
        <v>371</v>
      </c>
      <c r="C45" s="422"/>
      <c r="D45" s="1"/>
      <c r="E45" s="1"/>
      <c r="F45" s="1"/>
      <c r="G45" s="1"/>
      <c r="H45" s="1"/>
      <c r="I45" s="3"/>
      <c r="J45" s="3"/>
      <c r="K45" s="3"/>
      <c r="L45" s="3"/>
      <c r="M45" s="1"/>
      <c r="N45" s="1"/>
      <c r="O45" s="1"/>
      <c r="P45" s="1"/>
      <c r="Q45" s="1"/>
      <c r="R45" s="1"/>
      <c r="S45" s="1"/>
      <c r="T45" s="1"/>
      <c r="U45" s="1"/>
    </row>
    <row r="46" spans="1:21">
      <c r="A46" s="1"/>
      <c r="B46" s="215" t="s">
        <v>372</v>
      </c>
      <c r="C46" s="422"/>
      <c r="D46" s="1"/>
      <c r="E46" s="1"/>
      <c r="F46" s="1"/>
      <c r="G46" s="1"/>
      <c r="H46" s="1"/>
      <c r="I46" s="3"/>
      <c r="J46" s="3"/>
      <c r="K46" s="3"/>
      <c r="L46" s="3"/>
      <c r="M46" s="1"/>
      <c r="N46" s="1"/>
      <c r="O46" s="1"/>
      <c r="P46" s="1"/>
      <c r="Q46" s="1"/>
      <c r="R46" s="1"/>
      <c r="S46" s="1"/>
      <c r="T46" s="1"/>
      <c r="U46" s="1"/>
    </row>
    <row r="47" spans="1:21">
      <c r="A47" s="1"/>
      <c r="B47" s="1"/>
      <c r="C47" s="1"/>
      <c r="D47" s="1"/>
      <c r="E47" s="1"/>
      <c r="F47" s="1"/>
      <c r="G47" s="1"/>
      <c r="H47" s="1"/>
      <c r="I47" s="3"/>
      <c r="J47" s="3"/>
      <c r="K47" s="3"/>
      <c r="L47" s="3"/>
      <c r="M47" s="1"/>
      <c r="N47" s="1"/>
      <c r="O47" s="1"/>
      <c r="P47" s="1"/>
      <c r="Q47" s="1"/>
      <c r="R47" s="1"/>
      <c r="S47" s="1"/>
      <c r="T47" s="1"/>
      <c r="U47" s="1"/>
    </row>
    <row r="48" spans="1:21">
      <c r="A48" s="1"/>
      <c r="B48" s="2" t="s">
        <v>405</v>
      </c>
      <c r="C48" s="1"/>
      <c r="D48" s="1"/>
      <c r="E48" s="1"/>
      <c r="F48" s="1"/>
      <c r="G48" s="1"/>
      <c r="H48" s="1"/>
      <c r="I48" s="3"/>
      <c r="J48" s="3"/>
      <c r="K48" s="3"/>
      <c r="L48" s="3"/>
      <c r="M48" s="1"/>
      <c r="N48" s="1"/>
      <c r="O48" s="1"/>
      <c r="P48" s="1"/>
      <c r="Q48" s="1"/>
      <c r="R48" s="1"/>
      <c r="S48" s="1"/>
      <c r="T48" s="1"/>
      <c r="U48" s="1"/>
    </row>
    <row r="49" spans="1:21">
      <c r="A49" s="1"/>
      <c r="B49" s="1"/>
      <c r="C49" s="422"/>
      <c r="D49" s="1"/>
      <c r="E49" s="1"/>
      <c r="F49" s="1"/>
      <c r="G49" s="1"/>
      <c r="H49" s="1"/>
      <c r="I49" s="3"/>
      <c r="J49" s="3"/>
      <c r="K49" s="3"/>
      <c r="L49" s="3"/>
      <c r="M49" s="1"/>
      <c r="N49" s="1"/>
      <c r="O49" s="1"/>
      <c r="P49" s="1"/>
      <c r="Q49" s="1"/>
      <c r="R49" s="1"/>
      <c r="S49" s="1"/>
      <c r="T49" s="1"/>
      <c r="U49" s="1"/>
    </row>
    <row r="50" spans="1:21">
      <c r="A50" s="5"/>
      <c r="B50" s="5"/>
      <c r="C50" s="5"/>
      <c r="D50" s="5"/>
      <c r="E50" s="5"/>
      <c r="F50" s="5"/>
      <c r="G50" s="5"/>
      <c r="H50" s="5"/>
      <c r="I50" s="3"/>
      <c r="J50" s="3"/>
      <c r="K50" s="3"/>
      <c r="L50" s="3"/>
      <c r="M50" s="1"/>
      <c r="N50" s="1"/>
      <c r="O50" s="1"/>
      <c r="P50" s="1"/>
      <c r="Q50" s="1"/>
      <c r="R50" s="1"/>
      <c r="S50" s="1"/>
      <c r="T50" s="1"/>
      <c r="U50" s="1"/>
    </row>
    <row r="51" spans="1:21" ht="15.75" thickBot="1">
      <c r="A51" s="131" t="s">
        <v>373</v>
      </c>
      <c r="B51" s="132"/>
      <c r="C51" s="132"/>
      <c r="D51" s="1"/>
      <c r="E51" s="1"/>
      <c r="F51" s="1"/>
      <c r="G51" s="1"/>
      <c r="H51" s="286"/>
      <c r="I51" s="3"/>
      <c r="J51" s="3"/>
      <c r="K51" s="3"/>
      <c r="L51" s="3"/>
      <c r="M51" s="1"/>
      <c r="N51" s="1"/>
      <c r="O51" s="1"/>
      <c r="P51" s="1"/>
      <c r="Q51" s="1"/>
      <c r="R51" s="1"/>
      <c r="S51" s="1"/>
      <c r="T51" s="1"/>
      <c r="U51" s="1"/>
    </row>
    <row r="52" spans="1:21" ht="16.5" thickBot="1">
      <c r="A52" s="1"/>
      <c r="B52" s="1"/>
      <c r="C52" s="1"/>
      <c r="D52" s="1"/>
      <c r="E52" s="493" t="str">
        <f>IF(ISBLANK(C49),"---",IF(AND(C44="no",C45="no",C46="no",C49="no"),"PASS","FAIL"))</f>
        <v>---</v>
      </c>
      <c r="F52" s="1"/>
      <c r="G52" s="1"/>
      <c r="H52" s="49"/>
      <c r="I52" s="3"/>
      <c r="J52" s="3"/>
      <c r="K52" s="3"/>
      <c r="L52" s="3"/>
      <c r="M52" s="1"/>
      <c r="N52" s="1"/>
      <c r="O52" s="1"/>
      <c r="P52" s="1"/>
      <c r="Q52" s="1"/>
      <c r="R52" s="1"/>
      <c r="S52" s="1"/>
      <c r="T52" s="1"/>
      <c r="U52" s="1"/>
    </row>
    <row r="53" spans="1:21">
      <c r="A53" s="5"/>
      <c r="B53" s="5"/>
      <c r="C53" s="5"/>
      <c r="D53" s="5"/>
      <c r="E53" s="5"/>
      <c r="F53" s="5"/>
      <c r="G53" s="5"/>
      <c r="H53" s="5"/>
      <c r="I53" s="3"/>
      <c r="J53" s="3"/>
      <c r="K53" s="3"/>
      <c r="L53" s="3"/>
      <c r="M53" s="1"/>
      <c r="N53" s="1"/>
      <c r="O53" s="1"/>
      <c r="P53" s="1"/>
      <c r="Q53" s="1"/>
      <c r="R53" s="1"/>
      <c r="S53" s="1"/>
      <c r="T53" s="1"/>
      <c r="U53" s="1"/>
    </row>
    <row r="54" spans="1:21" ht="14.25">
      <c r="A54" s="123" t="s">
        <v>158</v>
      </c>
      <c r="B54" s="1"/>
      <c r="C54" s="1"/>
      <c r="D54" s="1"/>
      <c r="E54" s="1"/>
      <c r="F54" s="1"/>
      <c r="G54" s="1"/>
      <c r="H54" s="278"/>
      <c r="I54" s="3"/>
      <c r="J54" s="3"/>
      <c r="K54" s="3"/>
      <c r="L54" s="3"/>
      <c r="M54" s="1"/>
      <c r="N54" s="1"/>
      <c r="O54" s="1"/>
      <c r="P54" s="1"/>
      <c r="Q54" s="1"/>
      <c r="R54" s="1"/>
      <c r="S54" s="1"/>
      <c r="T54" s="1"/>
      <c r="U54" s="1"/>
    </row>
    <row r="55" spans="1:21">
      <c r="A55" s="568"/>
      <c r="B55" s="568"/>
      <c r="C55" s="568"/>
      <c r="D55" s="568"/>
      <c r="E55" s="568"/>
      <c r="F55" s="568"/>
      <c r="G55" s="568"/>
      <c r="H55" s="576"/>
      <c r="I55" s="3"/>
      <c r="J55" s="3"/>
      <c r="K55" s="3"/>
      <c r="L55" s="3"/>
      <c r="M55" s="1"/>
      <c r="N55" s="1"/>
      <c r="O55" s="1"/>
      <c r="P55" s="1"/>
      <c r="Q55" s="1"/>
    </row>
    <row r="56" spans="1:21">
      <c r="A56" s="568"/>
      <c r="B56" s="568"/>
      <c r="C56" s="568"/>
      <c r="D56" s="568"/>
      <c r="E56" s="568"/>
      <c r="F56" s="568"/>
      <c r="G56" s="568"/>
      <c r="H56" s="568"/>
      <c r="I56" s="3"/>
      <c r="J56" s="3"/>
      <c r="K56" s="3"/>
      <c r="L56" s="3"/>
      <c r="M56" s="1"/>
      <c r="N56" s="1"/>
      <c r="O56" s="1"/>
      <c r="P56" s="1"/>
      <c r="Q56" s="1"/>
    </row>
    <row r="57" spans="1:21">
      <c r="A57" s="568"/>
      <c r="B57" s="568"/>
      <c r="C57" s="568"/>
      <c r="D57" s="568"/>
      <c r="E57" s="568"/>
      <c r="F57" s="568"/>
      <c r="G57" s="568"/>
      <c r="H57" s="568"/>
      <c r="I57" s="3"/>
      <c r="J57" s="3"/>
      <c r="K57" s="3"/>
      <c r="L57" s="3"/>
      <c r="M57" s="1"/>
      <c r="N57" s="1"/>
      <c r="O57" s="1"/>
      <c r="P57" s="1"/>
      <c r="Q57" s="1"/>
    </row>
    <row r="58" spans="1:21">
      <c r="A58" s="568"/>
      <c r="B58" s="568"/>
      <c r="C58" s="568"/>
      <c r="D58" s="568"/>
      <c r="E58" s="568"/>
      <c r="F58" s="568"/>
      <c r="G58" s="568"/>
      <c r="H58" s="568"/>
      <c r="I58" s="1"/>
      <c r="J58" s="1"/>
      <c r="K58" s="1"/>
      <c r="L58" s="1"/>
      <c r="M58" s="1"/>
      <c r="N58" s="1"/>
      <c r="O58" s="1"/>
      <c r="P58" s="1"/>
      <c r="Q58" s="1"/>
      <c r="R58" s="1"/>
      <c r="S58" s="1"/>
      <c r="T58" s="1"/>
      <c r="U58" s="1"/>
    </row>
    <row r="59" spans="1:21">
      <c r="A59" s="568"/>
      <c r="B59" s="568"/>
      <c r="C59" s="568"/>
      <c r="D59" s="568"/>
      <c r="E59" s="568"/>
      <c r="F59" s="568"/>
      <c r="G59" s="568"/>
      <c r="H59" s="568"/>
      <c r="I59" s="1"/>
      <c r="J59" s="1"/>
      <c r="K59" s="1"/>
      <c r="L59" s="1"/>
      <c r="M59" s="1"/>
      <c r="N59" s="1"/>
      <c r="O59" s="1"/>
      <c r="P59" s="1"/>
      <c r="Q59" s="1"/>
      <c r="R59" s="1"/>
      <c r="S59" s="1"/>
      <c r="T59" s="1"/>
      <c r="U59" s="1"/>
    </row>
    <row r="60" spans="1:21">
      <c r="A60" s="568"/>
      <c r="B60" s="568"/>
      <c r="C60" s="568"/>
      <c r="D60" s="568"/>
      <c r="E60" s="568"/>
      <c r="F60" s="568"/>
      <c r="G60" s="568"/>
      <c r="H60" s="568"/>
      <c r="I60" s="1"/>
      <c r="J60" s="1"/>
      <c r="K60" s="1"/>
      <c r="L60" s="1"/>
      <c r="M60" s="1"/>
      <c r="N60" s="1"/>
      <c r="O60" s="1"/>
      <c r="P60" s="1"/>
      <c r="Q60" s="1"/>
      <c r="R60" s="1"/>
      <c r="S60" s="1"/>
      <c r="T60" s="1"/>
      <c r="U60" s="1"/>
    </row>
    <row r="61" spans="1:21">
      <c r="A61" s="568"/>
      <c r="B61" s="568"/>
      <c r="C61" s="568"/>
      <c r="D61" s="568"/>
      <c r="E61" s="568"/>
      <c r="F61" s="568"/>
      <c r="G61" s="568"/>
      <c r="H61" s="568"/>
      <c r="I61" s="1"/>
      <c r="J61" s="1"/>
      <c r="K61" s="1"/>
      <c r="L61" s="1"/>
      <c r="M61" s="1"/>
      <c r="N61" s="1"/>
      <c r="O61" s="1"/>
      <c r="P61" s="1"/>
      <c r="Q61" s="1"/>
      <c r="R61" s="1"/>
      <c r="S61" s="1"/>
      <c r="T61" s="1"/>
      <c r="U61" s="1"/>
    </row>
    <row r="62" spans="1:21">
      <c r="A62" s="568"/>
      <c r="B62" s="568"/>
      <c r="C62" s="568"/>
      <c r="D62" s="568"/>
      <c r="E62" s="568"/>
      <c r="F62" s="568"/>
      <c r="G62" s="568"/>
      <c r="H62" s="568"/>
      <c r="I62" s="1"/>
      <c r="J62" s="1"/>
      <c r="K62" s="1"/>
      <c r="L62" s="1"/>
      <c r="M62" s="1"/>
      <c r="N62" s="1"/>
      <c r="O62" s="1"/>
      <c r="P62" s="1"/>
      <c r="Q62" s="1"/>
      <c r="R62" s="1"/>
      <c r="S62" s="1"/>
      <c r="T62" s="1"/>
      <c r="U62" s="1"/>
    </row>
    <row r="63" spans="1:21">
      <c r="A63" s="568"/>
      <c r="B63" s="568"/>
      <c r="C63" s="568"/>
      <c r="D63" s="568"/>
      <c r="E63" s="568"/>
      <c r="F63" s="568"/>
      <c r="G63" s="568"/>
      <c r="H63" s="568"/>
      <c r="I63" s="1"/>
      <c r="J63" s="1"/>
      <c r="K63" s="1"/>
      <c r="L63" s="1"/>
      <c r="M63" s="1"/>
      <c r="N63" s="1"/>
      <c r="O63" s="1"/>
      <c r="P63" s="1"/>
      <c r="Q63" s="1"/>
      <c r="R63" s="1"/>
      <c r="S63" s="1"/>
      <c r="T63" s="1"/>
      <c r="U63" s="1"/>
    </row>
    <row r="64" spans="1:21">
      <c r="A64" s="568"/>
      <c r="B64" s="568"/>
      <c r="C64" s="568"/>
      <c r="D64" s="568"/>
      <c r="E64" s="568"/>
      <c r="F64" s="568"/>
      <c r="G64" s="568"/>
      <c r="H64" s="568"/>
      <c r="I64" s="1"/>
      <c r="J64" s="1"/>
      <c r="K64" s="1"/>
      <c r="L64" s="1"/>
      <c r="M64" s="1"/>
      <c r="N64" s="1"/>
      <c r="O64" s="1"/>
      <c r="P64" s="1"/>
      <c r="Q64" s="1"/>
      <c r="R64" s="1"/>
      <c r="S64" s="1"/>
      <c r="T64" s="1"/>
      <c r="U64" s="1"/>
    </row>
  </sheetData>
  <protectedRanges>
    <protectedRange sqref="H31 H54" name="Range1_1_3"/>
  </protectedRanges>
  <mergeCells count="14">
    <mergeCell ref="B39:I39"/>
    <mergeCell ref="J2:K3"/>
    <mergeCell ref="N2:P3"/>
    <mergeCell ref="F15:F18"/>
    <mergeCell ref="G35:H35"/>
    <mergeCell ref="J36:K36"/>
    <mergeCell ref="B10:I10"/>
    <mergeCell ref="H15:H23"/>
    <mergeCell ref="B15:B19"/>
    <mergeCell ref="C15:C19"/>
    <mergeCell ref="D19:F19"/>
    <mergeCell ref="D15:D18"/>
    <mergeCell ref="C14:F14"/>
    <mergeCell ref="E15:E18"/>
  </mergeCells>
  <phoneticPr fontId="0" type="noConversion"/>
  <pageMargins left="0.75" right="0.75" top="1" bottom="1" header="0.5" footer="0.5"/>
  <pageSetup paperSize="8" orientation="landscape" horizontalDpi="12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indexed="34"/>
  </sheetPr>
  <dimension ref="A1:S62"/>
  <sheetViews>
    <sheetView workbookViewId="0">
      <selection activeCell="N72" sqref="N72"/>
    </sheetView>
  </sheetViews>
  <sheetFormatPr defaultRowHeight="12.75"/>
  <cols>
    <col min="1" max="1" width="19.5703125" customWidth="1"/>
    <col min="2" max="2" width="9.140625" style="23"/>
    <col min="4" max="4" width="9.140625" style="604"/>
    <col min="6" max="6" width="9.140625" style="24"/>
    <col min="7" max="7" width="8.42578125" customWidth="1"/>
    <col min="8" max="8" width="9.140625" style="24"/>
    <col min="18" max="18" width="9.140625" style="23"/>
  </cols>
  <sheetData>
    <row r="1" spans="1:19">
      <c r="A1" s="311" t="s">
        <v>435</v>
      </c>
      <c r="B1" s="610" t="s">
        <v>82</v>
      </c>
      <c r="C1" s="117"/>
      <c r="D1" s="601" t="s">
        <v>228</v>
      </c>
      <c r="E1" s="117"/>
      <c r="F1" s="611" t="s">
        <v>436</v>
      </c>
      <c r="G1" s="117"/>
      <c r="H1" s="611" t="s">
        <v>437</v>
      </c>
      <c r="I1" s="117"/>
      <c r="J1" s="117"/>
      <c r="K1" s="117"/>
      <c r="L1" s="117"/>
      <c r="M1" s="117"/>
      <c r="N1" s="117"/>
      <c r="O1" s="117"/>
      <c r="P1" s="117"/>
      <c r="Q1" s="117"/>
      <c r="R1" s="612" t="s">
        <v>265</v>
      </c>
      <c r="S1" s="117"/>
    </row>
    <row r="2" spans="1:19">
      <c r="A2" s="596" t="s">
        <v>412</v>
      </c>
      <c r="B2" s="228"/>
      <c r="C2" s="229"/>
      <c r="D2" s="602"/>
      <c r="E2" s="229"/>
      <c r="F2" s="230"/>
      <c r="G2" s="229"/>
      <c r="H2" s="230"/>
      <c r="I2" s="229"/>
      <c r="J2" s="229"/>
      <c r="K2" s="229"/>
      <c r="L2" s="229"/>
      <c r="M2" s="229"/>
      <c r="N2" s="229"/>
      <c r="O2" s="229"/>
      <c r="P2" s="229"/>
      <c r="Q2" s="229"/>
      <c r="R2" s="228"/>
      <c r="S2" s="229"/>
    </row>
    <row r="3" spans="1:19">
      <c r="A3" s="585" t="s">
        <v>438</v>
      </c>
      <c r="B3" s="228"/>
      <c r="C3" s="229"/>
      <c r="D3" s="602"/>
      <c r="E3" s="229"/>
      <c r="F3" s="230"/>
      <c r="G3" s="229"/>
      <c r="H3" s="230"/>
      <c r="I3" s="229"/>
      <c r="J3" s="229"/>
      <c r="K3" s="229"/>
      <c r="L3" s="229"/>
      <c r="M3" s="229"/>
      <c r="N3" s="229"/>
      <c r="O3" s="229"/>
      <c r="P3" s="229"/>
      <c r="Q3" s="229"/>
      <c r="R3" s="228"/>
      <c r="S3" s="229"/>
    </row>
    <row r="4" spans="1:19">
      <c r="A4" s="586" t="s">
        <v>72</v>
      </c>
      <c r="B4" s="231"/>
      <c r="C4" s="232"/>
      <c r="D4" s="603"/>
      <c r="E4" s="232"/>
      <c r="F4" s="233"/>
      <c r="G4" s="232"/>
      <c r="H4" s="233"/>
      <c r="I4" s="232"/>
      <c r="J4" s="232"/>
      <c r="K4" s="232"/>
      <c r="L4" s="232"/>
      <c r="M4" s="232"/>
      <c r="N4" s="232"/>
      <c r="O4" s="232"/>
      <c r="P4" s="232"/>
      <c r="Q4" s="232"/>
      <c r="R4" s="231"/>
      <c r="S4" s="232"/>
    </row>
    <row r="5" spans="1:19">
      <c r="A5" s="589"/>
    </row>
    <row r="6" spans="1:19">
      <c r="A6" s="589"/>
      <c r="C6" s="4"/>
      <c r="D6" s="605"/>
      <c r="E6" s="4"/>
      <c r="F6" s="415"/>
      <c r="G6" s="4"/>
      <c r="H6" s="415"/>
      <c r="I6" s="4"/>
    </row>
    <row r="7" spans="1:19">
      <c r="A7" s="590" t="s">
        <v>73</v>
      </c>
      <c r="B7" s="223"/>
      <c r="C7" s="117"/>
      <c r="D7" s="606"/>
      <c r="E7" s="117"/>
      <c r="F7" s="224"/>
      <c r="G7" s="117"/>
      <c r="H7" s="224"/>
      <c r="I7" s="117"/>
      <c r="J7" s="117"/>
      <c r="K7" s="117"/>
      <c r="L7" s="117"/>
      <c r="M7" s="117"/>
      <c r="N7" s="117"/>
      <c r="O7" s="117"/>
      <c r="P7" s="117"/>
      <c r="Q7" s="117"/>
      <c r="R7" s="223"/>
      <c r="S7" s="117"/>
    </row>
    <row r="8" spans="1:19">
      <c r="A8" s="591"/>
      <c r="B8" s="228"/>
      <c r="C8" s="229"/>
      <c r="D8" s="602"/>
      <c r="E8" s="229"/>
      <c r="F8" s="230"/>
      <c r="G8" s="229"/>
      <c r="H8" s="230"/>
      <c r="I8" s="229"/>
      <c r="J8" s="229"/>
      <c r="K8" s="229"/>
      <c r="L8" s="229"/>
      <c r="M8" s="229"/>
      <c r="N8" s="229"/>
      <c r="O8" s="229"/>
      <c r="P8" s="229"/>
      <c r="Q8" s="229"/>
      <c r="R8" s="228"/>
      <c r="S8" s="229"/>
    </row>
    <row r="9" spans="1:19">
      <c r="A9" s="591"/>
      <c r="B9" s="228"/>
      <c r="C9" s="229"/>
      <c r="D9" s="602"/>
      <c r="E9" s="229"/>
      <c r="F9" s="230"/>
      <c r="G9" s="229"/>
      <c r="H9" s="230"/>
      <c r="I9" s="229"/>
      <c r="J9" s="229"/>
      <c r="K9" s="229"/>
      <c r="L9" s="229"/>
      <c r="M9" s="229"/>
      <c r="N9" s="229"/>
      <c r="O9" s="229"/>
      <c r="P9" s="229"/>
      <c r="Q9" s="229"/>
      <c r="R9" s="228"/>
      <c r="S9" s="229"/>
    </row>
    <row r="10" spans="1:19">
      <c r="A10" s="586" t="s">
        <v>75</v>
      </c>
      <c r="B10" s="231"/>
      <c r="C10" s="232"/>
      <c r="D10" s="603"/>
      <c r="E10" s="232"/>
      <c r="F10" s="233"/>
      <c r="G10" s="232"/>
      <c r="H10" s="233"/>
      <c r="I10" s="232"/>
      <c r="J10" s="232"/>
      <c r="K10" s="232"/>
      <c r="L10" s="232"/>
      <c r="M10" s="232"/>
      <c r="N10" s="232"/>
      <c r="O10" s="232"/>
      <c r="P10" s="232"/>
      <c r="Q10" s="232"/>
      <c r="R10" s="231"/>
      <c r="S10" s="232"/>
    </row>
    <row r="11" spans="1:19">
      <c r="A11" s="592"/>
      <c r="B11" s="416"/>
      <c r="C11" s="4"/>
      <c r="D11" s="605"/>
      <c r="E11" s="4"/>
      <c r="F11" s="415"/>
      <c r="G11" s="4"/>
      <c r="H11" s="415"/>
      <c r="I11" s="4"/>
      <c r="J11" s="4"/>
      <c r="K11" s="4"/>
      <c r="L11" s="4"/>
      <c r="M11" s="4"/>
      <c r="N11" s="4"/>
      <c r="O11" s="4"/>
      <c r="P11" s="4"/>
    </row>
    <row r="12" spans="1:19">
      <c r="A12" s="592"/>
      <c r="B12" s="416"/>
      <c r="C12" s="4"/>
      <c r="D12" s="605"/>
      <c r="E12" s="4"/>
      <c r="F12" s="415"/>
      <c r="G12" s="4"/>
      <c r="H12" s="415"/>
      <c r="I12" s="4"/>
      <c r="J12" s="4"/>
      <c r="K12" s="4"/>
      <c r="L12" s="4"/>
      <c r="M12" s="4"/>
      <c r="N12" s="4"/>
      <c r="O12" s="4"/>
      <c r="P12" s="4"/>
    </row>
    <row r="13" spans="1:19">
      <c r="A13" s="590" t="s">
        <v>76</v>
      </c>
      <c r="B13" s="223"/>
      <c r="C13" s="117"/>
      <c r="D13" s="606"/>
      <c r="E13" s="117"/>
      <c r="F13" s="224"/>
      <c r="G13" s="117"/>
      <c r="H13" s="224"/>
      <c r="I13" s="117"/>
      <c r="J13" s="117"/>
      <c r="K13" s="117"/>
      <c r="L13" s="117"/>
      <c r="M13" s="117"/>
      <c r="N13" s="117"/>
      <c r="O13" s="117"/>
      <c r="P13" s="117"/>
      <c r="Q13" s="117"/>
      <c r="R13" s="223"/>
      <c r="S13" s="117"/>
    </row>
    <row r="14" spans="1:19">
      <c r="A14" s="584" t="s">
        <v>438</v>
      </c>
      <c r="B14" s="228"/>
      <c r="C14" s="229"/>
      <c r="D14" s="602"/>
      <c r="E14" s="229"/>
      <c r="F14" s="230"/>
      <c r="G14" s="229"/>
      <c r="H14" s="230"/>
      <c r="I14" s="229"/>
      <c r="J14" s="229"/>
      <c r="K14" s="229"/>
      <c r="L14" s="229"/>
      <c r="M14" s="229"/>
      <c r="N14" s="229"/>
      <c r="O14" s="229"/>
      <c r="P14" s="229"/>
      <c r="Q14" s="229"/>
      <c r="R14" s="228"/>
      <c r="S14" s="229"/>
    </row>
    <row r="15" spans="1:19">
      <c r="A15" s="585" t="s">
        <v>439</v>
      </c>
      <c r="B15" s="228"/>
      <c r="C15" s="229"/>
      <c r="D15" s="602"/>
      <c r="E15" s="229"/>
      <c r="F15" s="230"/>
      <c r="G15" s="229"/>
      <c r="H15" s="230"/>
      <c r="I15" s="229"/>
      <c r="J15" s="229"/>
      <c r="K15" s="229"/>
      <c r="L15" s="229"/>
      <c r="M15" s="229"/>
      <c r="N15" s="229"/>
      <c r="O15" s="229"/>
      <c r="P15" s="229"/>
      <c r="Q15" s="229"/>
      <c r="R15" s="228"/>
      <c r="S15" s="229"/>
    </row>
    <row r="16" spans="1:19">
      <c r="A16" s="585" t="s">
        <v>440</v>
      </c>
      <c r="B16" s="228"/>
      <c r="C16" s="229"/>
      <c r="D16" s="602"/>
      <c r="E16" s="229"/>
      <c r="F16" s="230"/>
      <c r="G16" s="229"/>
      <c r="H16" s="230"/>
      <c r="I16" s="229"/>
      <c r="J16" s="229"/>
      <c r="K16" s="229"/>
      <c r="L16" s="229"/>
      <c r="M16" s="229"/>
      <c r="N16" s="229"/>
      <c r="O16" s="229"/>
      <c r="P16" s="229"/>
      <c r="Q16" s="229"/>
      <c r="R16" s="228"/>
      <c r="S16" s="229"/>
    </row>
    <row r="17" spans="1:19">
      <c r="A17" s="593"/>
      <c r="B17" s="228"/>
      <c r="C17" s="229"/>
      <c r="D17" s="602"/>
      <c r="E17" s="229"/>
      <c r="F17" s="230"/>
      <c r="G17" s="229"/>
      <c r="H17" s="230"/>
      <c r="I17" s="229"/>
      <c r="J17" s="229"/>
      <c r="K17" s="229"/>
      <c r="L17" s="229"/>
      <c r="M17" s="229"/>
      <c r="N17" s="229"/>
      <c r="O17" s="229"/>
      <c r="P17" s="229"/>
      <c r="Q17" s="229"/>
      <c r="R17" s="228"/>
      <c r="S17" s="229"/>
    </row>
    <row r="18" spans="1:19">
      <c r="A18" s="594" t="s">
        <v>441</v>
      </c>
      <c r="B18" s="228"/>
      <c r="C18" s="229"/>
      <c r="D18" s="602"/>
      <c r="E18" s="229"/>
      <c r="F18" s="230"/>
      <c r="G18" s="229"/>
      <c r="H18" s="230"/>
      <c r="I18" s="229"/>
      <c r="J18" s="229"/>
      <c r="K18" s="229"/>
      <c r="L18" s="229"/>
      <c r="M18" s="229"/>
      <c r="N18" s="229"/>
      <c r="O18" s="229"/>
      <c r="P18" s="229"/>
      <c r="Q18" s="229"/>
      <c r="R18" s="228"/>
      <c r="S18" s="229"/>
    </row>
    <row r="19" spans="1:19">
      <c r="A19" s="586"/>
      <c r="B19" s="231"/>
      <c r="C19" s="232"/>
      <c r="D19" s="603"/>
      <c r="E19" s="232"/>
      <c r="F19" s="233"/>
      <c r="G19" s="232"/>
      <c r="H19" s="233"/>
      <c r="I19" s="232"/>
      <c r="J19" s="232"/>
      <c r="K19" s="232"/>
      <c r="L19" s="232"/>
      <c r="M19" s="232"/>
      <c r="N19" s="232"/>
      <c r="O19" s="232"/>
      <c r="P19" s="232"/>
      <c r="Q19" s="232"/>
      <c r="R19" s="231"/>
      <c r="S19" s="232"/>
    </row>
    <row r="20" spans="1:19">
      <c r="A20" s="595" t="s">
        <v>443</v>
      </c>
      <c r="B20" s="225"/>
      <c r="C20" s="226"/>
      <c r="D20" s="607"/>
      <c r="E20" s="226"/>
      <c r="F20" s="227"/>
      <c r="G20" s="226"/>
      <c r="H20" s="227"/>
      <c r="I20" s="226"/>
      <c r="J20" s="226"/>
      <c r="K20" s="226"/>
      <c r="L20" s="226"/>
      <c r="M20" s="226"/>
      <c r="N20" s="226"/>
      <c r="O20" s="226"/>
      <c r="P20" s="226"/>
      <c r="Q20" s="226"/>
      <c r="R20" s="225"/>
      <c r="S20" s="226"/>
    </row>
    <row r="21" spans="1:19">
      <c r="A21" s="588"/>
      <c r="B21" s="518"/>
      <c r="C21" s="519"/>
      <c r="D21" s="608"/>
      <c r="E21" s="519"/>
      <c r="F21" s="520"/>
      <c r="G21" s="519"/>
      <c r="H21" s="520"/>
      <c r="I21" s="519"/>
      <c r="J21" s="519"/>
      <c r="K21" s="519"/>
      <c r="L21" s="519"/>
      <c r="M21" s="519"/>
      <c r="N21" s="519"/>
      <c r="O21" s="519"/>
      <c r="P21" s="519"/>
      <c r="Q21" s="519"/>
      <c r="R21" s="518"/>
      <c r="S21" s="519"/>
    </row>
    <row r="22" spans="1:19">
      <c r="A22" s="587"/>
      <c r="B22" s="521"/>
      <c r="C22" s="522"/>
      <c r="D22" s="609"/>
      <c r="E22" s="522"/>
      <c r="F22" s="523"/>
      <c r="G22" s="522"/>
      <c r="H22" s="523"/>
      <c r="I22" s="522"/>
      <c r="J22" s="522"/>
      <c r="K22" s="522"/>
      <c r="L22" s="522"/>
      <c r="M22" s="522"/>
      <c r="N22" s="522"/>
      <c r="O22" s="522"/>
      <c r="P22" s="522"/>
      <c r="Q22" s="522"/>
      <c r="R22" s="521"/>
      <c r="S22" s="522"/>
    </row>
    <row r="23" spans="1:19">
      <c r="A23" s="587"/>
      <c r="B23" s="521"/>
      <c r="C23" s="522"/>
      <c r="D23" s="609"/>
      <c r="E23" s="522"/>
      <c r="F23" s="523"/>
      <c r="G23" s="522"/>
      <c r="H23" s="523"/>
      <c r="I23" s="522"/>
      <c r="J23" s="522"/>
      <c r="K23" s="522"/>
      <c r="L23" s="522"/>
      <c r="M23" s="522"/>
      <c r="N23" s="522"/>
      <c r="O23" s="522"/>
      <c r="P23" s="522"/>
      <c r="Q23" s="522"/>
      <c r="R23" s="521"/>
      <c r="S23" s="522"/>
    </row>
    <row r="24" spans="1:19">
      <c r="A24" s="587"/>
      <c r="B24" s="521"/>
      <c r="C24" s="522"/>
      <c r="D24" s="609"/>
      <c r="E24" s="522"/>
      <c r="F24" s="523"/>
      <c r="G24" s="522"/>
      <c r="H24" s="523"/>
      <c r="I24" s="522"/>
      <c r="J24" s="522"/>
      <c r="K24" s="522"/>
      <c r="L24" s="522"/>
      <c r="M24" s="522"/>
      <c r="N24" s="522"/>
      <c r="O24" s="522"/>
      <c r="P24" s="522"/>
      <c r="Q24" s="522"/>
      <c r="R24" s="521"/>
      <c r="S24" s="522"/>
    </row>
    <row r="25" spans="1:19">
      <c r="A25" s="587"/>
      <c r="B25" s="521"/>
      <c r="C25" s="522"/>
      <c r="D25" s="609"/>
      <c r="E25" s="522"/>
      <c r="F25" s="523"/>
      <c r="G25" s="522"/>
      <c r="H25" s="523"/>
      <c r="I25" s="522"/>
      <c r="J25" s="522"/>
      <c r="K25" s="522"/>
      <c r="L25" s="522"/>
      <c r="M25" s="522"/>
      <c r="N25" s="522"/>
      <c r="O25" s="522"/>
      <c r="P25" s="522"/>
      <c r="Q25" s="522"/>
      <c r="R25" s="521"/>
      <c r="S25" s="522"/>
    </row>
    <row r="26" spans="1:19">
      <c r="A26" s="586" t="s">
        <v>442</v>
      </c>
      <c r="B26" s="231"/>
      <c r="C26" s="232"/>
      <c r="D26" s="603"/>
      <c r="E26" s="232"/>
      <c r="F26" s="233"/>
      <c r="G26" s="232"/>
      <c r="H26" s="233"/>
      <c r="I26" s="232"/>
      <c r="J26" s="232"/>
      <c r="K26" s="232"/>
      <c r="L26" s="232"/>
      <c r="M26" s="232"/>
      <c r="N26" s="232"/>
      <c r="O26" s="232"/>
      <c r="P26" s="232"/>
      <c r="Q26" s="232"/>
      <c r="R26" s="231"/>
      <c r="S26" s="232"/>
    </row>
    <row r="27" spans="1:19">
      <c r="A27" s="597" t="s">
        <v>413</v>
      </c>
    </row>
    <row r="28" spans="1:19">
      <c r="A28" s="598" t="s">
        <v>438</v>
      </c>
    </row>
    <row r="29" spans="1:19">
      <c r="A29" s="590" t="s">
        <v>72</v>
      </c>
    </row>
    <row r="30" spans="1:19">
      <c r="A30" s="599"/>
      <c r="B30" s="518"/>
      <c r="C30" s="519"/>
      <c r="D30" s="608"/>
      <c r="E30" s="519"/>
      <c r="F30" s="520"/>
      <c r="G30" s="519"/>
      <c r="H30" s="520"/>
      <c r="I30" s="519"/>
      <c r="J30" s="519"/>
      <c r="K30" s="519"/>
      <c r="L30" s="519"/>
      <c r="M30" s="519"/>
      <c r="N30" s="519"/>
      <c r="O30" s="519"/>
      <c r="P30" s="519"/>
      <c r="Q30" s="519"/>
      <c r="R30" s="518"/>
      <c r="S30" s="519"/>
    </row>
    <row r="31" spans="1:19">
      <c r="A31" s="591"/>
      <c r="B31" s="521"/>
      <c r="C31" s="522"/>
      <c r="D31" s="609"/>
      <c r="E31" s="522"/>
      <c r="F31" s="523"/>
      <c r="G31" s="522"/>
      <c r="H31" s="523"/>
      <c r="I31" s="522"/>
      <c r="J31" s="522"/>
      <c r="K31" s="522"/>
      <c r="L31" s="522"/>
      <c r="M31" s="522"/>
      <c r="N31" s="522"/>
      <c r="O31" s="522"/>
      <c r="P31" s="522"/>
      <c r="Q31" s="522"/>
      <c r="R31" s="521"/>
      <c r="S31" s="522"/>
    </row>
    <row r="32" spans="1:19">
      <c r="A32" s="586" t="s">
        <v>73</v>
      </c>
      <c r="B32" s="231"/>
      <c r="C32" s="232"/>
      <c r="D32" s="603"/>
      <c r="E32" s="232"/>
      <c r="F32" s="233"/>
      <c r="G32" s="232"/>
      <c r="H32" s="233"/>
      <c r="I32" s="232"/>
      <c r="J32" s="232"/>
      <c r="K32" s="232"/>
      <c r="L32" s="232"/>
      <c r="M32" s="232"/>
      <c r="N32" s="232"/>
      <c r="O32" s="232"/>
      <c r="P32" s="232"/>
      <c r="Q32" s="232"/>
      <c r="R32" s="231"/>
      <c r="S32" s="232"/>
    </row>
    <row r="33" spans="1:19">
      <c r="A33" s="592"/>
      <c r="B33" s="548"/>
    </row>
    <row r="34" spans="1:19">
      <c r="A34" s="592"/>
      <c r="B34" s="548"/>
    </row>
    <row r="35" spans="1:19">
      <c r="A35" s="590" t="s">
        <v>74</v>
      </c>
      <c r="B35" s="548"/>
    </row>
    <row r="36" spans="1:19">
      <c r="A36" s="599"/>
      <c r="B36" s="518"/>
      <c r="C36" s="519"/>
      <c r="D36" s="608"/>
      <c r="E36" s="519"/>
      <c r="F36" s="520"/>
      <c r="G36" s="519"/>
      <c r="H36" s="520"/>
      <c r="I36" s="519"/>
      <c r="J36" s="519"/>
      <c r="K36" s="519"/>
      <c r="L36" s="519"/>
      <c r="M36" s="519"/>
      <c r="N36" s="519"/>
      <c r="O36" s="519"/>
      <c r="P36" s="519"/>
      <c r="Q36" s="519"/>
      <c r="R36" s="518"/>
      <c r="S36" s="519"/>
    </row>
    <row r="37" spans="1:19">
      <c r="A37" s="591"/>
      <c r="B37" s="521"/>
      <c r="C37" s="522"/>
      <c r="D37" s="609"/>
      <c r="E37" s="522"/>
      <c r="F37" s="523"/>
      <c r="G37" s="522"/>
      <c r="H37" s="523"/>
      <c r="I37" s="522"/>
      <c r="J37" s="522"/>
      <c r="K37" s="522"/>
      <c r="L37" s="522"/>
      <c r="M37" s="522"/>
      <c r="N37" s="522"/>
      <c r="O37" s="522"/>
      <c r="P37" s="522"/>
      <c r="Q37" s="522"/>
      <c r="R37" s="521"/>
      <c r="S37" s="522"/>
    </row>
    <row r="38" spans="1:19">
      <c r="A38" s="586" t="s">
        <v>75</v>
      </c>
      <c r="B38" s="231"/>
      <c r="C38" s="232"/>
      <c r="D38" s="603"/>
      <c r="E38" s="232"/>
      <c r="F38" s="233"/>
      <c r="G38" s="232"/>
      <c r="H38" s="233"/>
      <c r="I38" s="232"/>
      <c r="J38" s="232"/>
      <c r="K38" s="232"/>
      <c r="L38" s="232"/>
      <c r="M38" s="232"/>
      <c r="N38" s="232"/>
      <c r="O38" s="232"/>
      <c r="P38" s="232"/>
      <c r="Q38" s="232"/>
      <c r="R38" s="231"/>
      <c r="S38" s="232"/>
    </row>
    <row r="39" spans="1:19">
      <c r="A39" s="592"/>
      <c r="B39" s="548"/>
    </row>
    <row r="40" spans="1:19">
      <c r="A40" s="592"/>
      <c r="B40" s="548"/>
    </row>
    <row r="41" spans="1:19">
      <c r="A41" s="590" t="s">
        <v>76</v>
      </c>
      <c r="B41" s="600"/>
      <c r="C41" s="117"/>
      <c r="D41" s="606"/>
      <c r="E41" s="117"/>
      <c r="F41" s="224"/>
      <c r="G41" s="117"/>
      <c r="H41" s="224"/>
      <c r="I41" s="117"/>
      <c r="J41" s="117"/>
      <c r="K41" s="117"/>
      <c r="L41" s="117"/>
      <c r="M41" s="117"/>
      <c r="N41" s="117"/>
      <c r="O41" s="117"/>
      <c r="P41" s="117"/>
      <c r="Q41" s="117"/>
      <c r="R41" s="223"/>
      <c r="S41" s="117"/>
    </row>
    <row r="44" spans="1:19">
      <c r="A44" s="311" t="s">
        <v>435</v>
      </c>
      <c r="B44" s="610" t="s">
        <v>82</v>
      </c>
      <c r="C44" s="117"/>
      <c r="D44" s="601" t="s">
        <v>228</v>
      </c>
      <c r="E44" s="117"/>
      <c r="F44" s="611" t="s">
        <v>436</v>
      </c>
      <c r="G44" s="117"/>
      <c r="H44" s="611" t="s">
        <v>437</v>
      </c>
      <c r="I44" s="117"/>
      <c r="J44" s="117"/>
      <c r="K44" s="117"/>
      <c r="L44" s="117"/>
      <c r="M44" s="117"/>
      <c r="N44" s="117"/>
      <c r="O44" s="117"/>
      <c r="P44" s="117"/>
      <c r="Q44" s="117"/>
      <c r="R44" s="612" t="s">
        <v>265</v>
      </c>
      <c r="S44" s="117"/>
    </row>
    <row r="45" spans="1:19">
      <c r="A45" s="626" t="s">
        <v>203</v>
      </c>
      <c r="B45" s="614"/>
      <c r="C45" s="615"/>
      <c r="D45" s="616"/>
      <c r="E45" s="615"/>
      <c r="F45" s="617"/>
      <c r="G45" s="615"/>
      <c r="H45" s="617"/>
      <c r="I45" s="615"/>
      <c r="J45" s="615"/>
      <c r="K45" s="615"/>
      <c r="L45" s="615"/>
      <c r="M45" s="615"/>
      <c r="N45" s="615"/>
      <c r="O45" s="615"/>
      <c r="P45" s="615"/>
      <c r="Q45" s="615"/>
      <c r="R45" s="618"/>
      <c r="S45" s="615"/>
    </row>
    <row r="46" spans="1:19">
      <c r="A46" s="627" t="s">
        <v>453</v>
      </c>
      <c r="B46" s="614"/>
      <c r="C46" s="615"/>
      <c r="D46" s="616"/>
      <c r="E46" s="615"/>
      <c r="F46" s="617"/>
      <c r="G46" s="615"/>
      <c r="H46" s="617"/>
      <c r="I46" s="615"/>
      <c r="J46" s="615"/>
      <c r="K46" s="615"/>
      <c r="L46" s="615"/>
      <c r="M46" s="615"/>
      <c r="N46" s="615"/>
      <c r="O46" s="615"/>
      <c r="P46" s="615"/>
      <c r="Q46" s="615"/>
      <c r="R46" s="618"/>
      <c r="S46" s="615"/>
    </row>
    <row r="47" spans="1:19">
      <c r="A47" s="625" t="s">
        <v>72</v>
      </c>
      <c r="B47" s="620"/>
      <c r="C47" s="621"/>
      <c r="D47" s="622"/>
      <c r="E47" s="621"/>
      <c r="F47" s="623"/>
      <c r="G47" s="621"/>
      <c r="H47" s="623"/>
      <c r="I47" s="621"/>
      <c r="J47" s="621"/>
      <c r="K47" s="621"/>
      <c r="L47" s="621"/>
      <c r="M47" s="621"/>
      <c r="N47" s="621"/>
      <c r="O47" s="621"/>
      <c r="P47" s="621"/>
      <c r="Q47" s="621"/>
      <c r="R47" s="620"/>
      <c r="S47" s="621"/>
    </row>
    <row r="48" spans="1:19">
      <c r="A48" s="592"/>
      <c r="B48" s="548"/>
    </row>
    <row r="49" spans="1:19">
      <c r="A49" s="592"/>
      <c r="B49" s="548"/>
    </row>
    <row r="50" spans="1:19">
      <c r="A50" s="628" t="s">
        <v>73</v>
      </c>
      <c r="B50" s="600"/>
      <c r="C50" s="117"/>
      <c r="D50" s="606"/>
      <c r="E50" s="117"/>
      <c r="F50" s="224"/>
      <c r="G50" s="117"/>
      <c r="H50" s="224"/>
      <c r="I50" s="117"/>
      <c r="J50" s="117"/>
      <c r="K50" s="117"/>
      <c r="L50" s="117"/>
      <c r="M50" s="117"/>
      <c r="N50" s="117"/>
      <c r="O50" s="117"/>
      <c r="P50" s="117"/>
      <c r="Q50" s="117"/>
      <c r="R50" s="223"/>
      <c r="S50" s="117"/>
    </row>
    <row r="51" spans="1:19">
      <c r="A51" s="613"/>
      <c r="B51" s="614"/>
      <c r="C51" s="615"/>
      <c r="D51" s="616"/>
      <c r="E51" s="615"/>
      <c r="F51" s="617"/>
      <c r="G51" s="615"/>
      <c r="H51" s="617"/>
      <c r="I51" s="615"/>
      <c r="J51" s="615"/>
      <c r="K51" s="615"/>
      <c r="L51" s="615"/>
      <c r="M51" s="615"/>
      <c r="N51" s="615"/>
      <c r="O51" s="615"/>
      <c r="P51" s="615"/>
      <c r="Q51" s="615"/>
      <c r="R51" s="618"/>
      <c r="S51" s="615"/>
    </row>
    <row r="52" spans="1:19">
      <c r="A52" s="624" t="s">
        <v>453</v>
      </c>
      <c r="B52" s="614"/>
      <c r="C52" s="615"/>
      <c r="D52" s="616"/>
      <c r="E52" s="615"/>
      <c r="F52" s="617"/>
      <c r="G52" s="615"/>
      <c r="H52" s="617"/>
      <c r="I52" s="615"/>
      <c r="J52" s="615"/>
      <c r="K52" s="615"/>
      <c r="L52" s="615"/>
      <c r="M52" s="615"/>
      <c r="N52" s="615"/>
      <c r="O52" s="615"/>
      <c r="P52" s="615"/>
      <c r="Q52" s="615"/>
      <c r="R52" s="618"/>
      <c r="S52" s="615"/>
    </row>
    <row r="53" spans="1:19">
      <c r="A53" s="624" t="s">
        <v>454</v>
      </c>
      <c r="B53" s="614"/>
      <c r="C53" s="615"/>
      <c r="D53" s="616"/>
      <c r="E53" s="615"/>
      <c r="F53" s="617"/>
      <c r="G53" s="615"/>
      <c r="H53" s="617"/>
      <c r="I53" s="615"/>
      <c r="J53" s="615"/>
      <c r="K53" s="615"/>
      <c r="L53" s="615"/>
      <c r="M53" s="615"/>
      <c r="N53" s="615"/>
      <c r="O53" s="615"/>
      <c r="P53" s="615"/>
      <c r="Q53" s="615"/>
      <c r="R53" s="618"/>
      <c r="S53" s="615"/>
    </row>
    <row r="54" spans="1:19">
      <c r="A54" s="619"/>
      <c r="B54" s="618"/>
      <c r="C54" s="615"/>
      <c r="D54" s="616"/>
      <c r="E54" s="615"/>
      <c r="F54" s="617"/>
      <c r="G54" s="615"/>
      <c r="H54" s="617"/>
      <c r="I54" s="615"/>
      <c r="J54" s="615"/>
      <c r="K54" s="615"/>
      <c r="L54" s="615"/>
      <c r="M54" s="615"/>
      <c r="N54" s="615"/>
      <c r="O54" s="615"/>
      <c r="P54" s="615"/>
      <c r="Q54" s="615"/>
      <c r="R54" s="618"/>
      <c r="S54" s="615"/>
    </row>
    <row r="55" spans="1:19">
      <c r="A55" s="619"/>
      <c r="B55" s="618"/>
      <c r="C55" s="615"/>
      <c r="D55" s="616"/>
      <c r="E55" s="615"/>
      <c r="F55" s="617"/>
      <c r="G55" s="615"/>
      <c r="H55" s="617"/>
      <c r="I55" s="615"/>
      <c r="J55" s="615"/>
      <c r="K55" s="615"/>
      <c r="L55" s="615"/>
      <c r="M55" s="615"/>
      <c r="N55" s="615"/>
      <c r="O55" s="615"/>
      <c r="P55" s="615"/>
      <c r="Q55" s="615"/>
      <c r="R55" s="618"/>
      <c r="S55" s="615"/>
    </row>
    <row r="56" spans="1:19">
      <c r="A56" s="629" t="s">
        <v>74</v>
      </c>
      <c r="B56" s="620"/>
      <c r="C56" s="621"/>
      <c r="D56" s="622"/>
      <c r="E56" s="621"/>
      <c r="F56" s="623"/>
      <c r="G56" s="621"/>
      <c r="H56" s="623"/>
      <c r="I56" s="621"/>
      <c r="J56" s="621"/>
      <c r="K56" s="621"/>
      <c r="L56" s="621"/>
      <c r="M56" s="621"/>
      <c r="N56" s="621"/>
      <c r="O56" s="621"/>
      <c r="P56" s="621"/>
      <c r="Q56" s="621"/>
      <c r="R56" s="620"/>
      <c r="S56" s="621"/>
    </row>
    <row r="57" spans="1:19">
      <c r="A57" s="630"/>
    </row>
    <row r="58" spans="1:19">
      <c r="A58" s="630"/>
    </row>
    <row r="59" spans="1:19">
      <c r="A59" s="631" t="s">
        <v>75</v>
      </c>
    </row>
    <row r="60" spans="1:19">
      <c r="A60" s="632"/>
      <c r="B60" s="618"/>
      <c r="C60" s="615"/>
      <c r="D60" s="616"/>
      <c r="E60" s="615"/>
      <c r="F60" s="617"/>
      <c r="G60" s="615"/>
      <c r="H60" s="617"/>
      <c r="I60" s="615"/>
      <c r="J60" s="615"/>
      <c r="K60" s="615"/>
      <c r="L60" s="615"/>
      <c r="M60" s="615"/>
      <c r="N60" s="615"/>
      <c r="O60" s="615"/>
      <c r="P60" s="615"/>
      <c r="Q60" s="615"/>
      <c r="R60" s="618"/>
      <c r="S60" s="615"/>
    </row>
    <row r="61" spans="1:19">
      <c r="A61" s="632"/>
      <c r="B61" s="618"/>
      <c r="C61" s="615"/>
      <c r="D61" s="616"/>
      <c r="E61" s="615"/>
      <c r="F61" s="617"/>
      <c r="G61" s="615"/>
      <c r="H61" s="617"/>
      <c r="I61" s="615"/>
      <c r="J61" s="615"/>
      <c r="K61" s="615"/>
      <c r="L61" s="615"/>
      <c r="M61" s="615"/>
      <c r="N61" s="615"/>
      <c r="O61" s="615"/>
      <c r="P61" s="615"/>
      <c r="Q61" s="615"/>
      <c r="R61" s="618"/>
      <c r="S61" s="615"/>
    </row>
    <row r="62" spans="1:19">
      <c r="A62" s="629" t="s">
        <v>76</v>
      </c>
      <c r="B62" s="620"/>
      <c r="C62" s="621"/>
      <c r="D62" s="622"/>
      <c r="E62" s="621"/>
      <c r="F62" s="623"/>
      <c r="G62" s="621"/>
      <c r="H62" s="623"/>
      <c r="I62" s="621"/>
      <c r="J62" s="621"/>
      <c r="K62" s="621"/>
      <c r="L62" s="621"/>
      <c r="M62" s="621"/>
      <c r="N62" s="621"/>
      <c r="O62" s="621"/>
      <c r="P62" s="621"/>
      <c r="Q62" s="621"/>
      <c r="R62" s="620"/>
      <c r="S62" s="621"/>
    </row>
  </sheetData>
  <phoneticPr fontId="7"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37"/>
  </sheetPr>
  <dimension ref="A1:I22"/>
  <sheetViews>
    <sheetView workbookViewId="0"/>
  </sheetViews>
  <sheetFormatPr defaultRowHeight="12.75"/>
  <cols>
    <col min="2" max="2" width="10.140625" bestFit="1" customWidth="1"/>
    <col min="3" max="3" width="11.42578125" customWidth="1"/>
    <col min="5" max="5" width="8.5703125" customWidth="1"/>
  </cols>
  <sheetData>
    <row r="1" spans="1:9" ht="18">
      <c r="A1" s="40" t="s">
        <v>397</v>
      </c>
      <c r="B1" s="1"/>
      <c r="C1" s="1"/>
      <c r="D1" s="1"/>
      <c r="E1" s="1"/>
      <c r="F1" s="1"/>
      <c r="G1" s="1"/>
      <c r="H1" s="1"/>
      <c r="I1" s="1"/>
    </row>
    <row r="2" spans="1:9" ht="25.5" customHeight="1">
      <c r="A2" s="810" t="s">
        <v>262</v>
      </c>
      <c r="B2" s="811"/>
      <c r="C2" s="811"/>
      <c r="D2" s="811"/>
      <c r="E2" s="811"/>
      <c r="F2" s="811"/>
      <c r="G2" s="811"/>
      <c r="H2" s="811"/>
      <c r="I2" s="811"/>
    </row>
    <row r="3" spans="1:9" ht="15.75">
      <c r="A3" s="1"/>
      <c r="B3" s="1"/>
      <c r="C3" s="63"/>
      <c r="D3" s="1"/>
      <c r="E3" s="1"/>
      <c r="F3" s="1"/>
      <c r="G3" s="1"/>
      <c r="H3" s="1"/>
      <c r="I3" s="1"/>
    </row>
    <row r="4" spans="1:9" ht="15">
      <c r="A4" s="1"/>
      <c r="B4" s="1"/>
      <c r="C4" s="47" t="s">
        <v>251</v>
      </c>
      <c r="E4" s="1"/>
      <c r="F4" s="1"/>
      <c r="G4" s="1"/>
      <c r="H4" s="1"/>
      <c r="I4" s="1"/>
    </row>
    <row r="5" spans="1:9">
      <c r="A5" s="1"/>
      <c r="B5" s="1"/>
      <c r="C5" s="1"/>
      <c r="D5" s="145" t="s">
        <v>252</v>
      </c>
      <c r="E5" s="372"/>
      <c r="F5" s="1"/>
      <c r="G5" s="1"/>
      <c r="H5" s="145"/>
      <c r="I5" s="303"/>
    </row>
    <row r="6" spans="1:9">
      <c r="A6" s="1"/>
      <c r="B6" s="1"/>
      <c r="C6" s="1"/>
      <c r="D6" s="145" t="s">
        <v>253</v>
      </c>
      <c r="E6" s="372"/>
      <c r="F6" s="1"/>
      <c r="G6" s="1"/>
      <c r="H6" s="145"/>
      <c r="I6" s="303"/>
    </row>
    <row r="7" spans="1:9">
      <c r="A7" s="1"/>
      <c r="B7" s="1"/>
      <c r="C7" s="1"/>
      <c r="D7" s="145" t="s">
        <v>254</v>
      </c>
      <c r="E7" s="372"/>
      <c r="F7" s="1"/>
      <c r="G7" s="1"/>
      <c r="H7" s="145"/>
      <c r="I7" s="304"/>
    </row>
    <row r="8" spans="1:9">
      <c r="A8" s="1"/>
      <c r="B8" s="1"/>
      <c r="C8" s="1"/>
      <c r="D8" s="305" t="s">
        <v>255</v>
      </c>
      <c r="E8" s="372"/>
      <c r="F8" s="1"/>
      <c r="G8" s="1"/>
      <c r="H8" s="145"/>
      <c r="I8" s="304"/>
    </row>
    <row r="9" spans="1:9">
      <c r="A9" s="1"/>
      <c r="B9" s="1"/>
      <c r="C9" s="1"/>
      <c r="D9" s="1"/>
      <c r="E9" s="145"/>
      <c r="F9" s="1"/>
      <c r="G9" s="1"/>
      <c r="H9" s="1"/>
      <c r="I9" s="1"/>
    </row>
    <row r="10" spans="1:9">
      <c r="A10" s="1"/>
      <c r="B10" s="1"/>
      <c r="C10" s="1"/>
      <c r="D10" s="145" t="s">
        <v>256</v>
      </c>
      <c r="E10" s="312" t="str">
        <f>IF(ISBLANK(E5),"---",VLOOKUP(E5,Thickness!B4:C84,2))</f>
        <v>---</v>
      </c>
      <c r="F10" s="1"/>
      <c r="G10" s="1"/>
      <c r="H10" s="1"/>
      <c r="I10" s="1"/>
    </row>
    <row r="11" spans="1:9">
      <c r="A11" s="1"/>
      <c r="B11" s="1"/>
      <c r="C11" s="1"/>
      <c r="D11" s="305" t="s">
        <v>257</v>
      </c>
      <c r="E11" s="313" t="e">
        <f>HLOOKUP(E5,'g-grid'!C3:BK34,MATCH(E6,'g-grid'!B4:B35)+1)</f>
        <v>#N/A</v>
      </c>
      <c r="F11" s="1"/>
      <c r="G11" s="1"/>
      <c r="H11" s="1"/>
      <c r="I11" s="1"/>
    </row>
    <row r="12" spans="1:9">
      <c r="A12" s="1"/>
      <c r="B12" s="1"/>
      <c r="C12" s="1"/>
      <c r="D12" s="305" t="s">
        <v>258</v>
      </c>
      <c r="E12" s="313" t="e">
        <f>HLOOKUP(E5,'c-grid'!C3:BK34,MATCH(E6,'c-grid'!B4:B35)+1)</f>
        <v>#N/A</v>
      </c>
      <c r="F12" s="1"/>
      <c r="G12" s="1"/>
      <c r="H12" s="1"/>
      <c r="I12" s="1"/>
    </row>
    <row r="13" spans="1:9">
      <c r="A13" s="1"/>
      <c r="B13" s="1"/>
      <c r="C13" s="1"/>
      <c r="D13" s="305" t="s">
        <v>259</v>
      </c>
      <c r="E13" s="366">
        <v>1.05</v>
      </c>
      <c r="F13" s="1"/>
      <c r="G13" s="1"/>
      <c r="H13" s="1"/>
      <c r="I13" s="1"/>
    </row>
    <row r="14" spans="1:9">
      <c r="A14" s="1"/>
      <c r="B14" s="1"/>
      <c r="C14" s="1"/>
      <c r="D14" s="305" t="s">
        <v>260</v>
      </c>
      <c r="E14" s="314" t="str">
        <f>IF(E10="---","---",(640-45)^2/(640-E10)^2)</f>
        <v>---</v>
      </c>
      <c r="F14" s="1"/>
      <c r="G14" s="1"/>
      <c r="H14" s="1"/>
      <c r="I14" s="1"/>
    </row>
    <row r="15" spans="1:9" ht="13.5" thickBot="1">
      <c r="A15" s="1"/>
      <c r="B15" s="1"/>
      <c r="C15" s="1"/>
      <c r="D15" s="1"/>
      <c r="E15" s="1"/>
      <c r="F15" s="1"/>
      <c r="G15" s="1"/>
      <c r="H15" s="1"/>
      <c r="I15" s="1"/>
    </row>
    <row r="16" spans="1:9" ht="13.5" thickBot="1">
      <c r="A16" s="1"/>
      <c r="B16" s="1"/>
      <c r="C16" s="1"/>
      <c r="D16" s="110" t="s">
        <v>261</v>
      </c>
      <c r="E16" s="306" t="str">
        <f>IF(E5="","---",E11*E12*E13*E14*E7*E8)</f>
        <v>---</v>
      </c>
      <c r="F16" s="1"/>
      <c r="G16" s="1"/>
      <c r="H16" s="1"/>
      <c r="I16" s="1"/>
    </row>
    <row r="17" spans="1:9">
      <c r="A17" s="1"/>
      <c r="B17" s="1"/>
      <c r="C17" s="1"/>
      <c r="D17" s="1"/>
      <c r="E17" s="1"/>
      <c r="F17" s="1"/>
      <c r="G17" s="1"/>
      <c r="H17" s="1"/>
      <c r="I17" s="1"/>
    </row>
    <row r="18" spans="1:9">
      <c r="A18" s="1"/>
      <c r="B18" s="1"/>
      <c r="C18" s="1"/>
      <c r="D18" s="1"/>
      <c r="E18" s="1"/>
      <c r="F18" s="1"/>
      <c r="G18" s="1"/>
      <c r="H18" s="1"/>
      <c r="I18" s="1"/>
    </row>
    <row r="19" spans="1:9">
      <c r="A19" s="1"/>
      <c r="B19" s="1"/>
      <c r="C19" s="1"/>
      <c r="D19" s="1"/>
      <c r="E19" s="1"/>
      <c r="F19" s="1"/>
      <c r="G19" s="1"/>
      <c r="H19" s="1"/>
      <c r="I19" s="1"/>
    </row>
    <row r="20" spans="1:9">
      <c r="A20" s="1"/>
      <c r="B20" s="1"/>
      <c r="C20" s="1"/>
      <c r="D20" s="1"/>
      <c r="E20" s="1"/>
      <c r="F20" s="1"/>
      <c r="G20" s="1"/>
      <c r="H20" s="1"/>
      <c r="I20" s="1"/>
    </row>
    <row r="21" spans="1:9">
      <c r="A21" s="1"/>
      <c r="B21" s="1"/>
      <c r="C21" s="1"/>
      <c r="D21" s="1"/>
      <c r="E21" s="1"/>
      <c r="F21" s="1"/>
      <c r="G21" s="1"/>
      <c r="H21" s="1"/>
      <c r="I21" s="1"/>
    </row>
    <row r="22" spans="1:9">
      <c r="A22" s="1"/>
      <c r="B22" s="1"/>
      <c r="C22" s="1"/>
      <c r="D22" s="1"/>
      <c r="E22" s="1"/>
      <c r="F22" s="1"/>
      <c r="G22" s="1"/>
      <c r="H22" s="1"/>
      <c r="I22" s="1"/>
    </row>
  </sheetData>
  <sheetProtection sheet="1" objects="1" scenarios="1"/>
  <mergeCells count="1">
    <mergeCell ref="A2:I2"/>
  </mergeCells>
  <phoneticPr fontId="7" type="noConversion"/>
  <pageMargins left="0.75" right="0.75" top="1" bottom="1" header="0.5" footer="0.5"/>
  <pageSetup orientation="portrait" horizontalDpi="400" verticalDpi="4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37"/>
  </sheetPr>
  <dimension ref="A1:R72"/>
  <sheetViews>
    <sheetView topLeftCell="A16" zoomScale="75" workbookViewId="0">
      <selection activeCell="H37" sqref="H37"/>
    </sheetView>
  </sheetViews>
  <sheetFormatPr defaultRowHeight="12.75"/>
  <cols>
    <col min="5" max="5" width="10.140625" bestFit="1" customWidth="1"/>
    <col min="8" max="8" width="10.140625" customWidth="1"/>
  </cols>
  <sheetData>
    <row r="1" spans="1:18">
      <c r="A1" s="1"/>
      <c r="B1" s="1"/>
      <c r="C1" s="1"/>
      <c r="D1" s="1"/>
      <c r="E1" s="1"/>
      <c r="F1" s="1"/>
      <c r="G1" s="1"/>
      <c r="H1" s="1"/>
      <c r="I1" s="1"/>
      <c r="J1" s="1"/>
      <c r="K1" s="1"/>
      <c r="L1" s="1"/>
      <c r="M1" s="1"/>
      <c r="N1" s="1"/>
      <c r="O1" s="1"/>
      <c r="P1" s="1"/>
      <c r="Q1" s="1"/>
      <c r="R1" s="1"/>
    </row>
    <row r="2" spans="1:18">
      <c r="A2" s="1"/>
      <c r="B2" s="1"/>
      <c r="C2" s="1"/>
      <c r="D2" s="1"/>
      <c r="E2" s="1"/>
      <c r="F2" s="1"/>
      <c r="G2" s="1"/>
      <c r="H2" s="1"/>
      <c r="I2" s="1"/>
      <c r="J2" s="1"/>
      <c r="K2" s="1"/>
      <c r="L2" s="1"/>
      <c r="M2" s="1"/>
      <c r="N2" s="1"/>
      <c r="O2" s="1"/>
      <c r="P2" s="1"/>
      <c r="Q2" s="1"/>
      <c r="R2" s="1"/>
    </row>
    <row r="3" spans="1:18" ht="15.75">
      <c r="A3" s="1"/>
      <c r="B3" s="63" t="s">
        <v>301</v>
      </c>
      <c r="C3" s="1"/>
      <c r="D3" s="1"/>
      <c r="E3" s="1"/>
      <c r="F3" s="1"/>
      <c r="G3" s="1"/>
      <c r="H3" s="1"/>
      <c r="I3" s="1"/>
      <c r="J3" s="1"/>
      <c r="K3" s="1"/>
      <c r="L3" s="1"/>
      <c r="M3" s="1"/>
      <c r="N3" s="1"/>
      <c r="O3" s="1"/>
      <c r="P3" s="1"/>
      <c r="Q3" s="1"/>
      <c r="R3" s="1"/>
    </row>
    <row r="4" spans="1:18">
      <c r="A4" s="1"/>
      <c r="B4" s="1"/>
      <c r="C4" s="1"/>
      <c r="D4" s="1"/>
      <c r="E4" s="1"/>
      <c r="F4" s="1"/>
      <c r="G4" s="1"/>
      <c r="H4" s="1"/>
      <c r="I4" s="1"/>
      <c r="J4" s="1"/>
      <c r="K4" s="1"/>
      <c r="L4" s="1"/>
      <c r="M4" s="1"/>
      <c r="N4" s="1"/>
      <c r="O4" s="1"/>
      <c r="P4" s="1"/>
      <c r="Q4" s="1"/>
      <c r="R4" s="1"/>
    </row>
    <row r="5" spans="1:18">
      <c r="A5" s="1"/>
      <c r="B5" s="39"/>
      <c r="C5" s="812"/>
      <c r="D5" s="812"/>
      <c r="E5" s="39"/>
      <c r="F5" s="812"/>
      <c r="G5" s="813"/>
      <c r="H5" s="813"/>
      <c r="I5" s="1"/>
      <c r="J5" s="1"/>
      <c r="K5" s="1"/>
      <c r="L5" s="1"/>
      <c r="M5" s="1"/>
      <c r="N5" s="1"/>
      <c r="O5" s="1"/>
      <c r="P5" s="1"/>
      <c r="Q5" s="1"/>
      <c r="R5" s="1"/>
    </row>
    <row r="6" spans="1:18" s="32" customFormat="1">
      <c r="A6" s="44"/>
      <c r="B6" s="338"/>
      <c r="C6" s="814"/>
      <c r="D6" s="814"/>
      <c r="E6" s="339"/>
      <c r="F6" s="814"/>
      <c r="G6" s="814"/>
      <c r="H6" s="814"/>
      <c r="I6" s="44"/>
      <c r="J6" s="44"/>
      <c r="K6" s="44"/>
      <c r="L6" s="44"/>
      <c r="M6" s="44"/>
      <c r="N6" s="44"/>
      <c r="O6" s="44"/>
      <c r="P6" s="44"/>
      <c r="Q6" s="44"/>
      <c r="R6" s="44"/>
    </row>
    <row r="7" spans="1:18" ht="25.5" customHeight="1">
      <c r="A7" s="1"/>
      <c r="B7" s="338"/>
      <c r="C7" s="814"/>
      <c r="D7" s="814"/>
      <c r="E7" s="339"/>
      <c r="F7" s="768"/>
      <c r="G7" s="768"/>
      <c r="H7" s="768"/>
      <c r="I7" s="1"/>
      <c r="J7" s="1"/>
      <c r="K7" s="1"/>
      <c r="L7" s="1"/>
      <c r="M7" s="1"/>
      <c r="N7" s="1"/>
      <c r="O7" s="1"/>
      <c r="P7" s="1"/>
      <c r="Q7" s="1"/>
      <c r="R7" s="1"/>
    </row>
    <row r="8" spans="1:18" ht="25.5" customHeight="1">
      <c r="A8" s="1"/>
      <c r="B8" s="338"/>
      <c r="C8" s="814"/>
      <c r="D8" s="814"/>
      <c r="E8" s="339"/>
      <c r="F8" s="768"/>
      <c r="G8" s="768"/>
      <c r="H8" s="768"/>
      <c r="I8" s="1"/>
      <c r="J8" s="1"/>
      <c r="K8" s="1"/>
      <c r="L8" s="1"/>
      <c r="M8" s="1"/>
      <c r="N8" s="1"/>
      <c r="O8" s="1"/>
      <c r="P8" s="1"/>
      <c r="Q8" s="1"/>
      <c r="R8" s="1"/>
    </row>
    <row r="9" spans="1:18">
      <c r="A9" s="1"/>
      <c r="B9" s="39"/>
      <c r="C9" s="812"/>
      <c r="D9" s="812"/>
      <c r="E9" s="39"/>
      <c r="F9" s="812"/>
      <c r="G9" s="813"/>
      <c r="H9" s="813"/>
      <c r="I9" s="1"/>
      <c r="J9" s="1"/>
      <c r="K9" s="1"/>
      <c r="L9" s="1"/>
      <c r="M9" s="1"/>
      <c r="N9" s="1"/>
      <c r="O9" s="1"/>
      <c r="P9" s="1"/>
      <c r="Q9" s="1"/>
      <c r="R9" s="1"/>
    </row>
    <row r="10" spans="1:18">
      <c r="A10" s="1"/>
      <c r="B10" s="39"/>
      <c r="C10" s="812"/>
      <c r="D10" s="812"/>
      <c r="E10" s="39"/>
      <c r="F10" s="812"/>
      <c r="G10" s="813"/>
      <c r="H10" s="813"/>
      <c r="I10" s="1"/>
      <c r="J10" s="1"/>
      <c r="K10" s="1"/>
      <c r="L10" s="1"/>
      <c r="M10" s="1"/>
      <c r="N10" s="1"/>
      <c r="O10" s="1"/>
      <c r="P10" s="1"/>
      <c r="Q10" s="1"/>
      <c r="R10" s="1"/>
    </row>
    <row r="11" spans="1:18">
      <c r="A11" s="1"/>
      <c r="B11" s="1"/>
      <c r="C11" s="1"/>
      <c r="D11" s="1"/>
      <c r="E11" s="1"/>
      <c r="F11" s="1"/>
      <c r="G11" s="1"/>
      <c r="H11" s="1"/>
      <c r="I11" s="1"/>
      <c r="J11" s="1"/>
      <c r="K11" s="1"/>
      <c r="L11" s="1"/>
      <c r="M11" s="1"/>
      <c r="N11" s="1"/>
      <c r="O11" s="1"/>
      <c r="P11" s="1"/>
      <c r="Q11" s="1"/>
      <c r="R11" s="1"/>
    </row>
    <row r="12" spans="1:18">
      <c r="A12" s="1"/>
      <c r="B12" s="1"/>
      <c r="C12" s="1"/>
      <c r="D12" s="1"/>
      <c r="E12" s="1"/>
      <c r="F12" s="1"/>
      <c r="G12" s="1"/>
      <c r="H12" s="1"/>
      <c r="I12" s="1"/>
      <c r="J12" s="1"/>
      <c r="K12" s="1"/>
      <c r="L12" s="1"/>
      <c r="M12" s="1"/>
      <c r="N12" s="1"/>
      <c r="O12" s="1"/>
      <c r="P12" s="1"/>
      <c r="Q12" s="1"/>
      <c r="R12" s="1"/>
    </row>
    <row r="13" spans="1:18">
      <c r="A13" s="1"/>
      <c r="B13" s="1"/>
      <c r="C13" s="1"/>
      <c r="D13" s="1"/>
      <c r="E13" s="1"/>
      <c r="F13" s="1"/>
      <c r="G13" s="1"/>
      <c r="H13" s="1"/>
      <c r="I13" s="1"/>
      <c r="J13" s="1"/>
      <c r="K13" s="1"/>
      <c r="L13" s="1"/>
      <c r="M13" s="1"/>
      <c r="N13" s="1"/>
      <c r="O13" s="1"/>
      <c r="P13" s="1"/>
      <c r="Q13" s="1"/>
      <c r="R13" s="1"/>
    </row>
    <row r="14" spans="1:18">
      <c r="A14" s="1"/>
      <c r="B14" s="1"/>
      <c r="C14" s="1"/>
      <c r="D14" s="1"/>
      <c r="E14" s="1"/>
      <c r="F14" s="1"/>
      <c r="G14" s="1"/>
      <c r="H14" s="1"/>
      <c r="I14" s="1"/>
      <c r="J14" s="1"/>
      <c r="K14" s="1"/>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2" t="s">
        <v>300</v>
      </c>
      <c r="K32" s="1"/>
      <c r="L32" s="1"/>
      <c r="M32" s="1"/>
      <c r="N32" s="1"/>
      <c r="O32" s="1"/>
      <c r="P32" s="1"/>
      <c r="Q32" s="1"/>
      <c r="R32" s="1"/>
    </row>
    <row r="33" spans="1:18" ht="13.5" thickBot="1">
      <c r="A33" s="137"/>
      <c r="B33" s="137"/>
      <c r="C33" s="137"/>
      <c r="D33" s="137"/>
      <c r="E33" s="137"/>
      <c r="F33" s="137"/>
      <c r="G33" s="137"/>
      <c r="H33" s="137"/>
      <c r="I33" s="137"/>
      <c r="J33" s="137"/>
      <c r="K33" s="137"/>
      <c r="L33" s="137"/>
      <c r="M33" s="137"/>
      <c r="N33" s="137"/>
      <c r="O33" s="137"/>
      <c r="P33" s="137"/>
      <c r="Q33" s="137"/>
      <c r="R33" s="137"/>
    </row>
    <row r="34" spans="1:18" ht="18">
      <c r="A34" s="40" t="s">
        <v>324</v>
      </c>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345" t="s">
        <v>322</v>
      </c>
      <c r="B36" s="346" t="s">
        <v>302</v>
      </c>
      <c r="C36" s="346" t="s">
        <v>303</v>
      </c>
      <c r="D36" s="346" t="s">
        <v>304</v>
      </c>
      <c r="E36" s="346" t="s">
        <v>305</v>
      </c>
      <c r="F36" s="346" t="s">
        <v>323</v>
      </c>
      <c r="G36" s="346" t="s">
        <v>307</v>
      </c>
      <c r="H36" s="346" t="s">
        <v>308</v>
      </c>
      <c r="I36" s="346" t="s">
        <v>309</v>
      </c>
      <c r="J36" s="346" t="s">
        <v>310</v>
      </c>
      <c r="K36" s="347" t="s">
        <v>311</v>
      </c>
      <c r="L36" s="362" t="s">
        <v>312</v>
      </c>
      <c r="M36" s="347" t="s">
        <v>313</v>
      </c>
      <c r="N36" s="347" t="s">
        <v>314</v>
      </c>
      <c r="O36" s="347" t="s">
        <v>315</v>
      </c>
      <c r="P36" s="347" t="s">
        <v>316</v>
      </c>
      <c r="Q36" s="347" t="s">
        <v>317</v>
      </c>
      <c r="R36" s="345" t="s">
        <v>322</v>
      </c>
    </row>
    <row r="37" spans="1:18">
      <c r="A37" s="348">
        <v>2</v>
      </c>
      <c r="B37" s="370"/>
      <c r="C37" s="370"/>
      <c r="D37" s="370"/>
      <c r="E37" s="370"/>
      <c r="F37" s="370"/>
      <c r="G37" s="370"/>
      <c r="H37" s="369"/>
      <c r="I37" s="369"/>
      <c r="J37" s="369"/>
      <c r="K37" s="369"/>
      <c r="L37" s="371"/>
      <c r="M37" s="371"/>
      <c r="N37" s="371"/>
      <c r="O37" s="371"/>
      <c r="P37" s="371"/>
      <c r="Q37" s="370"/>
      <c r="R37" s="348">
        <v>2</v>
      </c>
    </row>
    <row r="38" spans="1:18">
      <c r="A38" s="353">
        <v>1.42</v>
      </c>
      <c r="B38" s="370"/>
      <c r="C38" s="370"/>
      <c r="D38" s="370"/>
      <c r="E38" s="370"/>
      <c r="F38" s="370"/>
      <c r="G38" s="369"/>
      <c r="H38" s="369"/>
      <c r="I38" s="369"/>
      <c r="J38" s="369"/>
      <c r="K38" s="369"/>
      <c r="L38" s="369"/>
      <c r="M38" s="369"/>
      <c r="N38" s="369"/>
      <c r="O38" s="369"/>
      <c r="P38" s="369"/>
      <c r="Q38" s="371"/>
      <c r="R38" s="353">
        <v>1.42</v>
      </c>
    </row>
    <row r="39" spans="1:18">
      <c r="A39" s="353">
        <v>1</v>
      </c>
      <c r="B39" s="370"/>
      <c r="C39" s="370"/>
      <c r="D39" s="370"/>
      <c r="E39" s="370"/>
      <c r="F39" s="369"/>
      <c r="G39" s="369"/>
      <c r="H39" s="369"/>
      <c r="I39" s="369"/>
      <c r="J39" s="369"/>
      <c r="K39" s="369"/>
      <c r="L39" s="369"/>
      <c r="M39" s="369"/>
      <c r="N39" s="369"/>
      <c r="O39" s="369"/>
      <c r="P39" s="369"/>
      <c r="Q39" s="371"/>
      <c r="R39" s="353">
        <v>1</v>
      </c>
    </row>
    <row r="40" spans="1:18">
      <c r="A40" s="353">
        <v>0.71</v>
      </c>
      <c r="B40" s="370"/>
      <c r="C40" s="370"/>
      <c r="D40" s="370"/>
      <c r="E40" s="369"/>
      <c r="F40" s="369"/>
      <c r="G40" s="369"/>
      <c r="H40" s="369"/>
      <c r="I40" s="369"/>
      <c r="J40" s="369"/>
      <c r="K40" s="369"/>
      <c r="L40" s="369"/>
      <c r="M40" s="369"/>
      <c r="N40" s="369"/>
      <c r="O40" s="369"/>
      <c r="P40" s="369"/>
      <c r="Q40" s="371"/>
      <c r="R40" s="353">
        <v>0.71</v>
      </c>
    </row>
    <row r="41" spans="1:18">
      <c r="A41" s="353">
        <v>0.5</v>
      </c>
      <c r="B41" s="370"/>
      <c r="C41" s="370"/>
      <c r="D41" s="369"/>
      <c r="E41" s="369"/>
      <c r="F41" s="369"/>
      <c r="G41" s="369"/>
      <c r="H41" s="369"/>
      <c r="I41" s="369"/>
      <c r="J41" s="369"/>
      <c r="K41" s="369"/>
      <c r="L41" s="369"/>
      <c r="M41" s="369"/>
      <c r="N41" s="369"/>
      <c r="O41" s="369"/>
      <c r="P41" s="369"/>
      <c r="Q41" s="371"/>
      <c r="R41" s="353">
        <v>0.5</v>
      </c>
    </row>
    <row r="42" spans="1:18">
      <c r="A42" s="353">
        <v>0.36</v>
      </c>
      <c r="B42" s="370"/>
      <c r="C42" s="368"/>
      <c r="D42" s="369"/>
      <c r="E42" s="369"/>
      <c r="F42" s="369"/>
      <c r="G42" s="369"/>
      <c r="H42" s="369"/>
      <c r="I42" s="369"/>
      <c r="J42" s="369"/>
      <c r="K42" s="369"/>
      <c r="L42" s="369"/>
      <c r="M42" s="369"/>
      <c r="N42" s="369"/>
      <c r="O42" s="369"/>
      <c r="P42" s="369"/>
      <c r="Q42" s="371"/>
      <c r="R42" s="353">
        <v>0.36</v>
      </c>
    </row>
    <row r="43" spans="1:18">
      <c r="A43" s="353">
        <v>0.25</v>
      </c>
      <c r="B43" s="368"/>
      <c r="C43" s="368"/>
      <c r="D43" s="369"/>
      <c r="E43" s="369"/>
      <c r="F43" s="369"/>
      <c r="G43" s="369"/>
      <c r="H43" s="369"/>
      <c r="I43" s="369"/>
      <c r="J43" s="369"/>
      <c r="K43" s="369"/>
      <c r="L43" s="369"/>
      <c r="M43" s="369"/>
      <c r="N43" s="369"/>
      <c r="O43" s="369"/>
      <c r="P43" s="369"/>
      <c r="Q43" s="371"/>
      <c r="R43" s="353">
        <v>0.25</v>
      </c>
    </row>
    <row r="44" spans="1:18">
      <c r="A44" s="353">
        <v>0.2</v>
      </c>
      <c r="B44" s="368"/>
      <c r="C44" s="368"/>
      <c r="D44" s="368"/>
      <c r="E44" s="368"/>
      <c r="F44" s="368"/>
      <c r="G44" s="368"/>
      <c r="H44" s="368"/>
      <c r="I44" s="368"/>
      <c r="J44" s="368"/>
      <c r="K44" s="368"/>
      <c r="L44" s="368"/>
      <c r="M44" s="368"/>
      <c r="N44" s="368"/>
      <c r="O44" s="368"/>
      <c r="P44" s="368"/>
      <c r="Q44" s="368"/>
      <c r="R44" s="353">
        <v>0.2</v>
      </c>
    </row>
    <row r="45" spans="1:18">
      <c r="A45" s="353">
        <v>0.16</v>
      </c>
      <c r="B45" s="368"/>
      <c r="C45" s="368"/>
      <c r="D45" s="369"/>
      <c r="E45" s="369"/>
      <c r="F45" s="369"/>
      <c r="G45" s="369"/>
      <c r="H45" s="369"/>
      <c r="I45" s="369"/>
      <c r="J45" s="369"/>
      <c r="K45" s="369"/>
      <c r="L45" s="369"/>
      <c r="M45" s="369"/>
      <c r="N45" s="369"/>
      <c r="O45" s="369"/>
      <c r="P45" s="369"/>
      <c r="Q45" s="371"/>
      <c r="R45" s="353">
        <v>0.16</v>
      </c>
    </row>
    <row r="46" spans="1:18">
      <c r="A46" s="353">
        <v>0.13</v>
      </c>
      <c r="B46" s="368"/>
      <c r="C46" s="368"/>
      <c r="D46" s="369"/>
      <c r="E46" s="369"/>
      <c r="F46" s="369"/>
      <c r="G46" s="369"/>
      <c r="H46" s="369"/>
      <c r="I46" s="369"/>
      <c r="J46" s="369"/>
      <c r="K46" s="369"/>
      <c r="L46" s="369"/>
      <c r="M46" s="369"/>
      <c r="N46" s="369"/>
      <c r="O46" s="369"/>
      <c r="P46" s="369"/>
      <c r="Q46" s="370"/>
      <c r="R46" s="353">
        <v>0.13</v>
      </c>
    </row>
    <row r="47" spans="1:18">
      <c r="A47" s="353">
        <v>0.1</v>
      </c>
      <c r="B47" s="368"/>
      <c r="C47" s="368"/>
      <c r="D47" s="369"/>
      <c r="E47" s="369"/>
      <c r="F47" s="369"/>
      <c r="G47" s="369"/>
      <c r="H47" s="369"/>
      <c r="I47" s="369"/>
      <c r="J47" s="369"/>
      <c r="K47" s="369"/>
      <c r="L47" s="369"/>
      <c r="M47" s="369"/>
      <c r="N47" s="369"/>
      <c r="O47" s="369"/>
      <c r="P47" s="370"/>
      <c r="Q47" s="370"/>
      <c r="R47" s="353">
        <v>0.1</v>
      </c>
    </row>
    <row r="48" spans="1:18">
      <c r="A48" s="353">
        <v>0.08</v>
      </c>
      <c r="B48" s="368"/>
      <c r="C48" s="368"/>
      <c r="D48" s="369"/>
      <c r="E48" s="369"/>
      <c r="F48" s="369"/>
      <c r="G48" s="369"/>
      <c r="H48" s="369"/>
      <c r="I48" s="369"/>
      <c r="J48" s="369"/>
      <c r="K48" s="369"/>
      <c r="L48" s="369"/>
      <c r="M48" s="369"/>
      <c r="N48" s="369"/>
      <c r="O48" s="370"/>
      <c r="P48" s="370"/>
      <c r="Q48" s="370"/>
      <c r="R48" s="353">
        <v>0.08</v>
      </c>
    </row>
    <row r="49" spans="1:18">
      <c r="A49" s="353">
        <v>0.06</v>
      </c>
      <c r="B49" s="368"/>
      <c r="C49" s="368"/>
      <c r="D49" s="369"/>
      <c r="E49" s="369"/>
      <c r="F49" s="369"/>
      <c r="G49" s="369"/>
      <c r="H49" s="369"/>
      <c r="I49" s="369"/>
      <c r="J49" s="369"/>
      <c r="K49" s="369"/>
      <c r="L49" s="369"/>
      <c r="M49" s="369"/>
      <c r="N49" s="370"/>
      <c r="O49" s="370"/>
      <c r="P49" s="370"/>
      <c r="Q49" s="370"/>
      <c r="R49" s="353">
        <v>0.06</v>
      </c>
    </row>
    <row r="50" spans="1:18">
      <c r="A50" s="353">
        <v>0.05</v>
      </c>
      <c r="B50" s="368"/>
      <c r="C50" s="368"/>
      <c r="D50" s="369"/>
      <c r="E50" s="369"/>
      <c r="F50" s="369"/>
      <c r="G50" s="369"/>
      <c r="H50" s="369"/>
      <c r="I50" s="369"/>
      <c r="J50" s="369"/>
      <c r="K50" s="369"/>
      <c r="L50" s="369"/>
      <c r="M50" s="370"/>
      <c r="N50" s="370"/>
      <c r="O50" s="370"/>
      <c r="P50" s="370"/>
      <c r="Q50" s="370"/>
      <c r="R50" s="353">
        <v>0.05</v>
      </c>
    </row>
    <row r="51" spans="1:18">
      <c r="A51" s="353">
        <v>0.04</v>
      </c>
      <c r="B51" s="369"/>
      <c r="C51" s="369"/>
      <c r="D51" s="369"/>
      <c r="E51" s="369"/>
      <c r="F51" s="369"/>
      <c r="G51" s="369"/>
      <c r="H51" s="369"/>
      <c r="I51" s="369"/>
      <c r="J51" s="369"/>
      <c r="K51" s="369"/>
      <c r="L51" s="370"/>
      <c r="M51" s="370"/>
      <c r="N51" s="370"/>
      <c r="O51" s="370"/>
      <c r="P51" s="370"/>
      <c r="Q51" s="370"/>
      <c r="R51" s="353">
        <v>0.04</v>
      </c>
    </row>
    <row r="52" spans="1:18">
      <c r="A52" s="360">
        <v>0.03</v>
      </c>
      <c r="B52" s="370"/>
      <c r="C52" s="369"/>
      <c r="D52" s="369"/>
      <c r="E52" s="369"/>
      <c r="F52" s="369"/>
      <c r="G52" s="369"/>
      <c r="H52" s="369"/>
      <c r="I52" s="369"/>
      <c r="J52" s="369"/>
      <c r="K52" s="370"/>
      <c r="L52" s="370"/>
      <c r="M52" s="370"/>
      <c r="N52" s="370"/>
      <c r="O52" s="370"/>
      <c r="P52" s="370"/>
      <c r="Q52" s="370"/>
      <c r="R52" s="360">
        <v>0.03</v>
      </c>
    </row>
    <row r="53" spans="1:18" ht="13.5" thickBot="1">
      <c r="A53" s="361"/>
      <c r="B53" s="361"/>
      <c r="C53" s="361"/>
      <c r="D53" s="361"/>
      <c r="E53" s="361"/>
      <c r="F53" s="361"/>
      <c r="G53" s="361"/>
      <c r="H53" s="361"/>
      <c r="I53" s="361"/>
      <c r="J53" s="361"/>
      <c r="K53" s="361"/>
      <c r="L53" s="361"/>
      <c r="M53" s="361"/>
      <c r="N53" s="361"/>
      <c r="O53" s="361"/>
      <c r="P53" s="361"/>
      <c r="Q53" s="361"/>
      <c r="R53" s="361"/>
    </row>
    <row r="54" spans="1:18" ht="18">
      <c r="A54" s="40" t="s">
        <v>325</v>
      </c>
      <c r="B54" s="1"/>
      <c r="C54" s="1" t="s">
        <v>326</v>
      </c>
      <c r="D54" s="1"/>
      <c r="E54" s="1"/>
      <c r="F54" s="1"/>
      <c r="G54" s="1"/>
      <c r="H54" s="1"/>
      <c r="I54" s="1"/>
      <c r="J54" s="1"/>
      <c r="K54" s="1"/>
      <c r="L54" s="1"/>
      <c r="M54" s="1"/>
      <c r="N54" s="1"/>
      <c r="O54" s="1"/>
      <c r="P54" s="1"/>
      <c r="Q54" s="1"/>
      <c r="R54" s="1"/>
    </row>
    <row r="55" spans="1:18">
      <c r="B55" s="1"/>
      <c r="C55" s="1"/>
      <c r="D55" s="1"/>
      <c r="E55" s="1"/>
      <c r="F55" s="1"/>
      <c r="G55" s="1"/>
      <c r="H55" s="1"/>
      <c r="I55" s="1"/>
      <c r="J55" s="1"/>
      <c r="K55" s="1"/>
      <c r="L55" s="1"/>
      <c r="M55" s="1"/>
      <c r="N55" s="1"/>
      <c r="O55" s="1"/>
      <c r="P55" s="1"/>
      <c r="Q55" s="1"/>
      <c r="R55" s="1"/>
    </row>
    <row r="56" spans="1:18">
      <c r="A56" s="345" t="s">
        <v>322</v>
      </c>
      <c r="B56" s="346" t="s">
        <v>302</v>
      </c>
      <c r="C56" s="346" t="s">
        <v>303</v>
      </c>
      <c r="D56" s="346" t="s">
        <v>304</v>
      </c>
      <c r="E56" s="346" t="s">
        <v>305</v>
      </c>
      <c r="F56" s="346" t="s">
        <v>323</v>
      </c>
      <c r="G56" s="346" t="s">
        <v>307</v>
      </c>
      <c r="H56" s="346" t="s">
        <v>308</v>
      </c>
      <c r="I56" s="346" t="s">
        <v>309</v>
      </c>
      <c r="J56" s="346" t="s">
        <v>310</v>
      </c>
      <c r="K56" s="347" t="s">
        <v>311</v>
      </c>
      <c r="L56" s="362" t="s">
        <v>312</v>
      </c>
      <c r="M56" s="347" t="s">
        <v>313</v>
      </c>
      <c r="N56" s="347" t="s">
        <v>314</v>
      </c>
      <c r="O56" s="347" t="s">
        <v>315</v>
      </c>
      <c r="P56" s="347" t="s">
        <v>316</v>
      </c>
      <c r="Q56" s="347" t="s">
        <v>317</v>
      </c>
      <c r="R56" s="345" t="s">
        <v>322</v>
      </c>
    </row>
    <row r="57" spans="1:18">
      <c r="A57" s="348">
        <v>2</v>
      </c>
      <c r="B57" s="363"/>
      <c r="C57" s="363"/>
      <c r="D57" s="363"/>
      <c r="E57" s="363"/>
      <c r="F57" s="363"/>
      <c r="G57" s="363"/>
      <c r="H57" s="365" t="str">
        <f>IF(ISBLANK(H37),"-",IF(H37='CDMAM truth'!H8,1,0))</f>
        <v>-</v>
      </c>
      <c r="I57" s="365" t="str">
        <f>IF(ISBLANK(I37),"-",IF(I37='CDMAM truth'!I8,1,0))</f>
        <v>-</v>
      </c>
      <c r="J57" s="365" t="str">
        <f>IF(ISBLANK(J37),"-",IF(J37='CDMAM truth'!J8,1,0))</f>
        <v>-</v>
      </c>
      <c r="K57" s="365" t="str">
        <f>IF(ISBLANK(K37),"-",IF(K37='CDMAM truth'!K8,1,0))</f>
        <v>-</v>
      </c>
      <c r="L57" s="365" t="str">
        <f>IF(ISBLANK(L37),"-",IF(L37='CDMAM truth'!L8,1,0))</f>
        <v>-</v>
      </c>
      <c r="M57" s="365" t="str">
        <f>IF(ISBLANK(M37),"-",IF(M37='CDMAM truth'!M8,1,0))</f>
        <v>-</v>
      </c>
      <c r="N57" s="365" t="str">
        <f>IF(ISBLANK(N37),"-",IF(N37='CDMAM truth'!N8,1,0))</f>
        <v>-</v>
      </c>
      <c r="O57" s="365" t="str">
        <f>IF(ISBLANK(O37),"-",IF(O37='CDMAM truth'!O8,1,0))</f>
        <v>-</v>
      </c>
      <c r="P57" s="365" t="str">
        <f>IF(ISBLANK(P37),"-",IF(P37='CDMAM truth'!P8,1,0))</f>
        <v>-</v>
      </c>
      <c r="Q57" s="363"/>
      <c r="R57" s="348">
        <v>2</v>
      </c>
    </row>
    <row r="58" spans="1:18">
      <c r="A58" s="353">
        <v>1.42</v>
      </c>
      <c r="B58" s="363"/>
      <c r="C58" s="363"/>
      <c r="D58" s="363"/>
      <c r="E58" s="363"/>
      <c r="F58" s="363"/>
      <c r="G58" s="365" t="str">
        <f>IF(ISBLANK(G38),"-",IF(G38='CDMAM truth'!G9,1,0))</f>
        <v>-</v>
      </c>
      <c r="H58" s="365" t="str">
        <f>IF(ISBLANK(H38),"-",IF(H38='CDMAM truth'!H9,1,0))</f>
        <v>-</v>
      </c>
      <c r="I58" s="365" t="str">
        <f>IF(ISBLANK(I38),"-",IF(I38='CDMAM truth'!I9,1,0))</f>
        <v>-</v>
      </c>
      <c r="J58" s="365" t="str">
        <f>IF(ISBLANK(J38),"-",IF(J38='CDMAM truth'!J9,1,0))</f>
        <v>-</v>
      </c>
      <c r="K58" s="365" t="str">
        <f>IF(ISBLANK(K38),"-",IF(K38='CDMAM truth'!K9,1,0))</f>
        <v>-</v>
      </c>
      <c r="L58" s="365" t="str">
        <f>IF(ISBLANK(L38),"-",IF(L38='CDMAM truth'!L9,1,0))</f>
        <v>-</v>
      </c>
      <c r="M58" s="365" t="str">
        <f>IF(ISBLANK(M38),"-",IF(M38='CDMAM truth'!M9,1,0))</f>
        <v>-</v>
      </c>
      <c r="N58" s="365" t="str">
        <f>IF(ISBLANK(N38),"-",IF(N38='CDMAM truth'!N9,1,0))</f>
        <v>-</v>
      </c>
      <c r="O58" s="365" t="str">
        <f>IF(ISBLANK(O38),"-",IF(O38='CDMAM truth'!O9,1,0))</f>
        <v>-</v>
      </c>
      <c r="P58" s="365" t="str">
        <f>IF(ISBLANK(P38),"-",IF(P38='CDMAM truth'!P9,1,0))</f>
        <v>-</v>
      </c>
      <c r="Q58" s="365" t="str">
        <f>IF(ISBLANK(Q38),"-",IF(Q38='CDMAM truth'!Q9,1,0))</f>
        <v>-</v>
      </c>
      <c r="R58" s="353">
        <v>1.42</v>
      </c>
    </row>
    <row r="59" spans="1:18">
      <c r="A59" s="353">
        <v>1</v>
      </c>
      <c r="B59" s="363"/>
      <c r="C59" s="363"/>
      <c r="D59" s="363"/>
      <c r="E59" s="363"/>
      <c r="F59" s="365" t="str">
        <f>IF(ISBLANK(F39),"-",IF(F39='CDMAM truth'!F10,1,0))</f>
        <v>-</v>
      </c>
      <c r="G59" s="365" t="str">
        <f>IF(ISBLANK(G39),"-",IF(G39='CDMAM truth'!G10,1,0))</f>
        <v>-</v>
      </c>
      <c r="H59" s="365" t="str">
        <f>IF(ISBLANK(H39),"-",IF(H39='CDMAM truth'!H10,1,0))</f>
        <v>-</v>
      </c>
      <c r="I59" s="365" t="str">
        <f>IF(ISBLANK(I39),"-",IF(I39='CDMAM truth'!I10,1,0))</f>
        <v>-</v>
      </c>
      <c r="J59" s="365" t="str">
        <f>IF(ISBLANK(J39),"-",IF(J39='CDMAM truth'!J10,1,0))</f>
        <v>-</v>
      </c>
      <c r="K59" s="365" t="str">
        <f>IF(ISBLANK(K39),"-",IF(K39='CDMAM truth'!K10,1,0))</f>
        <v>-</v>
      </c>
      <c r="L59" s="365" t="str">
        <f>IF(ISBLANK(L39),"-",IF(L39='CDMAM truth'!L10,1,0))</f>
        <v>-</v>
      </c>
      <c r="M59" s="365" t="str">
        <f>IF(ISBLANK(M39),"-",IF(M39='CDMAM truth'!M10,1,0))</f>
        <v>-</v>
      </c>
      <c r="N59" s="365" t="str">
        <f>IF(ISBLANK(N39),"-",IF(N39='CDMAM truth'!N10,1,0))</f>
        <v>-</v>
      </c>
      <c r="O59" s="365" t="str">
        <f>IF(ISBLANK(O39),"-",IF(O39='CDMAM truth'!O10,1,0))</f>
        <v>-</v>
      </c>
      <c r="P59" s="365" t="str">
        <f>IF(ISBLANK(P39),"-",IF(P39='CDMAM truth'!P10,1,0))</f>
        <v>-</v>
      </c>
      <c r="Q59" s="365" t="str">
        <f>IF(ISBLANK(Q39),"-",IF(Q39='CDMAM truth'!Q10,1,0))</f>
        <v>-</v>
      </c>
      <c r="R59" s="353">
        <v>1</v>
      </c>
    </row>
    <row r="60" spans="1:18">
      <c r="A60" s="353">
        <v>0.71</v>
      </c>
      <c r="B60" s="363"/>
      <c r="C60" s="363"/>
      <c r="D60" s="363"/>
      <c r="E60" s="365" t="str">
        <f>IF(ISBLANK(E40),"-",IF(E40='CDMAM truth'!E11,1,0))</f>
        <v>-</v>
      </c>
      <c r="F60" s="365" t="str">
        <f>IF(ISBLANK(F40),"-",IF(F40='CDMAM truth'!F11,1,0))</f>
        <v>-</v>
      </c>
      <c r="G60" s="365" t="str">
        <f>IF(ISBLANK(G40),"-",IF(G40='CDMAM truth'!G11,1,0))</f>
        <v>-</v>
      </c>
      <c r="H60" s="365" t="str">
        <f>IF(ISBLANK(H40),"-",IF(H40='CDMAM truth'!H11,1,0))</f>
        <v>-</v>
      </c>
      <c r="I60" s="365" t="str">
        <f>IF(ISBLANK(I40),"-",IF(I40='CDMAM truth'!I11,1,0))</f>
        <v>-</v>
      </c>
      <c r="J60" s="365" t="str">
        <f>IF(ISBLANK(J40),"-",IF(J40='CDMAM truth'!J11,1,0))</f>
        <v>-</v>
      </c>
      <c r="K60" s="365" t="str">
        <f>IF(ISBLANK(K40),"-",IF(K40='CDMAM truth'!K11,1,0))</f>
        <v>-</v>
      </c>
      <c r="L60" s="365" t="str">
        <f>IF(ISBLANK(L40),"-",IF(L40='CDMAM truth'!L11,1,0))</f>
        <v>-</v>
      </c>
      <c r="M60" s="365" t="str">
        <f>IF(ISBLANK(M40),"-",IF(M40='CDMAM truth'!M11,1,0))</f>
        <v>-</v>
      </c>
      <c r="N60" s="365" t="str">
        <f>IF(ISBLANK(N40),"-",IF(N40='CDMAM truth'!N11,1,0))</f>
        <v>-</v>
      </c>
      <c r="O60" s="365" t="str">
        <f>IF(ISBLANK(O40),"-",IF(O40='CDMAM truth'!O11,1,0))</f>
        <v>-</v>
      </c>
      <c r="P60" s="365" t="str">
        <f>IF(ISBLANK(P40),"-",IF(P40='CDMAM truth'!P11,1,0))</f>
        <v>-</v>
      </c>
      <c r="Q60" s="365" t="str">
        <f>IF(ISBLANK(Q40),"-",IF(Q40='CDMAM truth'!Q11,1,0))</f>
        <v>-</v>
      </c>
      <c r="R60" s="353">
        <v>0.71</v>
      </c>
    </row>
    <row r="61" spans="1:18">
      <c r="A61" s="353">
        <v>0.5</v>
      </c>
      <c r="B61" s="363"/>
      <c r="C61" s="363"/>
      <c r="D61" s="365" t="str">
        <f>IF(ISBLANK(D41),"-",IF(D41='CDMAM truth'!D12,1,0))</f>
        <v>-</v>
      </c>
      <c r="E61" s="365" t="str">
        <f>IF(ISBLANK(E41),"-",IF(E41='CDMAM truth'!E12,1,0))</f>
        <v>-</v>
      </c>
      <c r="F61" s="365" t="str">
        <f>IF(ISBLANK(F41),"-",IF(F41='CDMAM truth'!F12,1,0))</f>
        <v>-</v>
      </c>
      <c r="G61" s="365" t="str">
        <f>IF(ISBLANK(G41),"-",IF(G41='CDMAM truth'!G12,1,0))</f>
        <v>-</v>
      </c>
      <c r="H61" s="365" t="str">
        <f>IF(ISBLANK(H41),"-",IF(H41='CDMAM truth'!H12,1,0))</f>
        <v>-</v>
      </c>
      <c r="I61" s="365" t="str">
        <f>IF(ISBLANK(I41),"-",IF(I41='CDMAM truth'!I12,1,0))</f>
        <v>-</v>
      </c>
      <c r="J61" s="365" t="str">
        <f>IF(ISBLANK(J41),"-",IF(J41='CDMAM truth'!J12,1,0))</f>
        <v>-</v>
      </c>
      <c r="K61" s="365" t="str">
        <f>IF(ISBLANK(K41),"-",IF(K41='CDMAM truth'!K12,1,0))</f>
        <v>-</v>
      </c>
      <c r="L61" s="365" t="str">
        <f>IF(ISBLANK(L41),"-",IF(L41='CDMAM truth'!L12,1,0))</f>
        <v>-</v>
      </c>
      <c r="M61" s="365" t="str">
        <f>IF(ISBLANK(M41),"-",IF(M41='CDMAM truth'!M12,1,0))</f>
        <v>-</v>
      </c>
      <c r="N61" s="365" t="str">
        <f>IF(ISBLANK(N41),"-",IF(N41='CDMAM truth'!N12,1,0))</f>
        <v>-</v>
      </c>
      <c r="O61" s="365" t="str">
        <f>IF(ISBLANK(O41),"-",IF(O41='CDMAM truth'!O12,1,0))</f>
        <v>-</v>
      </c>
      <c r="P61" s="365" t="str">
        <f>IF(ISBLANK(P41),"-",IF(P41='CDMAM truth'!P12,1,0))</f>
        <v>-</v>
      </c>
      <c r="Q61" s="365" t="str">
        <f>IF(ISBLANK(Q41),"-",IF(Q41='CDMAM truth'!Q12,1,0))</f>
        <v>-</v>
      </c>
      <c r="R61" s="353">
        <v>0.5</v>
      </c>
    </row>
    <row r="62" spans="1:18">
      <c r="A62" s="353">
        <v>0.36</v>
      </c>
      <c r="B62" s="363"/>
      <c r="C62" s="365" t="str">
        <f>IF(ISBLANK(C42),"-",IF(C42='CDMAM truth'!C13,1,0))</f>
        <v>-</v>
      </c>
      <c r="D62" s="365" t="str">
        <f>IF(ISBLANK(D42),"-",IF(D42='CDMAM truth'!D13,1,0))</f>
        <v>-</v>
      </c>
      <c r="E62" s="365" t="str">
        <f>IF(ISBLANK(E42),"-",IF(E42='CDMAM truth'!E13,1,0))</f>
        <v>-</v>
      </c>
      <c r="F62" s="365" t="str">
        <f>IF(ISBLANK(F42),"-",IF(F42='CDMAM truth'!F13,1,0))</f>
        <v>-</v>
      </c>
      <c r="G62" s="365" t="str">
        <f>IF(ISBLANK(G42),"-",IF(G42='CDMAM truth'!G13,1,0))</f>
        <v>-</v>
      </c>
      <c r="H62" s="365" t="str">
        <f>IF(ISBLANK(H42),"-",IF(H42='CDMAM truth'!H13,1,0))</f>
        <v>-</v>
      </c>
      <c r="I62" s="365" t="str">
        <f>IF(ISBLANK(I42),"-",IF(I42='CDMAM truth'!I13,1,0))</f>
        <v>-</v>
      </c>
      <c r="J62" s="365" t="str">
        <f>IF(ISBLANK(J42),"-",IF(J42='CDMAM truth'!J13,1,0))</f>
        <v>-</v>
      </c>
      <c r="K62" s="365" t="str">
        <f>IF(ISBLANK(K42),"-",IF(K42='CDMAM truth'!K13,1,0))</f>
        <v>-</v>
      </c>
      <c r="L62" s="365" t="str">
        <f>IF(ISBLANK(L42),"-",IF(L42='CDMAM truth'!L13,1,0))</f>
        <v>-</v>
      </c>
      <c r="M62" s="365" t="str">
        <f>IF(ISBLANK(M42),"-",IF(M42='CDMAM truth'!M13,1,0))</f>
        <v>-</v>
      </c>
      <c r="N62" s="365" t="str">
        <f>IF(ISBLANK(N42),"-",IF(N42='CDMAM truth'!N13,1,0))</f>
        <v>-</v>
      </c>
      <c r="O62" s="365" t="str">
        <f>IF(ISBLANK(O42),"-",IF(O42='CDMAM truth'!O13,1,0))</f>
        <v>-</v>
      </c>
      <c r="P62" s="365" t="str">
        <f>IF(ISBLANK(P42),"-",IF(P42='CDMAM truth'!P13,1,0))</f>
        <v>-</v>
      </c>
      <c r="Q62" s="365" t="str">
        <f>IF(ISBLANK(Q42),"-",IF(Q42='CDMAM truth'!Q13,1,0))</f>
        <v>-</v>
      </c>
      <c r="R62" s="353">
        <v>0.36</v>
      </c>
    </row>
    <row r="63" spans="1:18">
      <c r="A63" s="353">
        <v>0.25</v>
      </c>
      <c r="B63" s="365" t="str">
        <f>IF(ISBLANK(B43),"-",IF(B43='CDMAM truth'!B14,1,0))</f>
        <v>-</v>
      </c>
      <c r="C63" s="365" t="str">
        <f>IF(ISBLANK(C43),"-",IF(C43='CDMAM truth'!C14,1,0))</f>
        <v>-</v>
      </c>
      <c r="D63" s="365" t="str">
        <f>IF(ISBLANK(D43),"-",IF(D43='CDMAM truth'!D14,1,0))</f>
        <v>-</v>
      </c>
      <c r="E63" s="365" t="str">
        <f>IF(ISBLANK(E43),"-",IF(E43='CDMAM truth'!E14,1,0))</f>
        <v>-</v>
      </c>
      <c r="F63" s="365" t="str">
        <f>IF(ISBLANK(F43),"-",IF(F43='CDMAM truth'!F14,1,0))</f>
        <v>-</v>
      </c>
      <c r="G63" s="365" t="str">
        <f>IF(ISBLANK(G43),"-",IF(G43='CDMAM truth'!G14,1,0))</f>
        <v>-</v>
      </c>
      <c r="H63" s="365" t="str">
        <f>IF(ISBLANK(H43),"-",IF(H43='CDMAM truth'!H14,1,0))</f>
        <v>-</v>
      </c>
      <c r="I63" s="365" t="str">
        <f>IF(ISBLANK(I43),"-",IF(I43='CDMAM truth'!I14,1,0))</f>
        <v>-</v>
      </c>
      <c r="J63" s="365" t="str">
        <f>IF(ISBLANK(J43),"-",IF(J43='CDMAM truth'!J14,1,0))</f>
        <v>-</v>
      </c>
      <c r="K63" s="365" t="str">
        <f>IF(ISBLANK(K43),"-",IF(K43='CDMAM truth'!K14,1,0))</f>
        <v>-</v>
      </c>
      <c r="L63" s="365" t="str">
        <f>IF(ISBLANK(L43),"-",IF(L43='CDMAM truth'!L14,1,0))</f>
        <v>-</v>
      </c>
      <c r="M63" s="365" t="str">
        <f>IF(ISBLANK(M43),"-",IF(M43='CDMAM truth'!M14,1,0))</f>
        <v>-</v>
      </c>
      <c r="N63" s="365" t="str">
        <f>IF(ISBLANK(N43),"-",IF(N43='CDMAM truth'!N14,1,0))</f>
        <v>-</v>
      </c>
      <c r="O63" s="365" t="str">
        <f>IF(ISBLANK(O43),"-",IF(O43='CDMAM truth'!O14,1,0))</f>
        <v>-</v>
      </c>
      <c r="P63" s="365" t="str">
        <f>IF(ISBLANK(P43),"-",IF(P43='CDMAM truth'!P14,1,0))</f>
        <v>-</v>
      </c>
      <c r="Q63" s="365" t="str">
        <f>IF(ISBLANK(Q43),"-",IF(Q43='CDMAM truth'!Q14,1,0))</f>
        <v>-</v>
      </c>
      <c r="R63" s="353">
        <v>0.25</v>
      </c>
    </row>
    <row r="64" spans="1:18">
      <c r="A64" s="353">
        <v>0.2</v>
      </c>
      <c r="B64" s="365" t="str">
        <f>IF(ISBLANK(B44),"-",IF(B44='CDMAM truth'!B15,1,0))</f>
        <v>-</v>
      </c>
      <c r="C64" s="365" t="str">
        <f>IF(ISBLANK(C44),"-",IF(C44='CDMAM truth'!C15,1,0))</f>
        <v>-</v>
      </c>
      <c r="D64" s="365" t="str">
        <f>IF(ISBLANK(D44),"-",IF(D44='CDMAM truth'!D15,1,0))</f>
        <v>-</v>
      </c>
      <c r="E64" s="365" t="str">
        <f>IF(ISBLANK(E44),"-",IF(E44='CDMAM truth'!E15,1,0))</f>
        <v>-</v>
      </c>
      <c r="F64" s="365" t="str">
        <f>IF(ISBLANK(F44),"-",IF(F44='CDMAM truth'!F15,1,0))</f>
        <v>-</v>
      </c>
      <c r="G64" s="365" t="str">
        <f>IF(ISBLANK(G44),"-",IF(G44='CDMAM truth'!G15,1,0))</f>
        <v>-</v>
      </c>
      <c r="H64" s="365" t="str">
        <f>IF(ISBLANK(H44),"-",IF(H44='CDMAM truth'!H15,1,0))</f>
        <v>-</v>
      </c>
      <c r="I64" s="365" t="str">
        <f>IF(ISBLANK(I44),"-",IF(I44='CDMAM truth'!I15,1,0))</f>
        <v>-</v>
      </c>
      <c r="J64" s="365" t="str">
        <f>IF(ISBLANK(J44),"-",IF(J44='CDMAM truth'!J15,1,0))</f>
        <v>-</v>
      </c>
      <c r="K64" s="365" t="str">
        <f>IF(ISBLANK(K44),"-",IF(K44='CDMAM truth'!K15,1,0))</f>
        <v>-</v>
      </c>
      <c r="L64" s="365" t="str">
        <f>IF(ISBLANK(L44),"-",IF(L44='CDMAM truth'!L15,1,0))</f>
        <v>-</v>
      </c>
      <c r="M64" s="365" t="str">
        <f>IF(ISBLANK(M44),"-",IF(M44='CDMAM truth'!M15,1,0))</f>
        <v>-</v>
      </c>
      <c r="N64" s="365" t="str">
        <f>IF(ISBLANK(N44),"-",IF(N44='CDMAM truth'!N15,1,0))</f>
        <v>-</v>
      </c>
      <c r="O64" s="365" t="str">
        <f>IF(ISBLANK(O44),"-",IF(O44='CDMAM truth'!O15,1,0))</f>
        <v>-</v>
      </c>
      <c r="P64" s="365" t="str">
        <f>IF(ISBLANK(P44),"-",IF(P44='CDMAM truth'!P15,1,0))</f>
        <v>-</v>
      </c>
      <c r="Q64" s="365" t="str">
        <f>IF(ISBLANK(Q44),"-",IF(Q44='CDMAM truth'!Q15,1,0))</f>
        <v>-</v>
      </c>
      <c r="R64" s="353">
        <v>0.2</v>
      </c>
    </row>
    <row r="65" spans="1:18">
      <c r="A65" s="353">
        <v>0.16</v>
      </c>
      <c r="B65" s="365" t="str">
        <f>IF(ISBLANK(B45),"-",IF(B45='CDMAM truth'!B16,1,0))</f>
        <v>-</v>
      </c>
      <c r="C65" s="365" t="str">
        <f>IF(ISBLANK(C45),"-",IF(C45='CDMAM truth'!C16,1,0))</f>
        <v>-</v>
      </c>
      <c r="D65" s="365" t="str">
        <f>IF(ISBLANK(D45),"-",IF(D45='CDMAM truth'!D16,1,0))</f>
        <v>-</v>
      </c>
      <c r="E65" s="365" t="str">
        <f>IF(ISBLANK(E45),"-",IF(E45='CDMAM truth'!E16,1,0))</f>
        <v>-</v>
      </c>
      <c r="F65" s="365" t="str">
        <f>IF(ISBLANK(F45),"-",IF(F45='CDMAM truth'!F16,1,0))</f>
        <v>-</v>
      </c>
      <c r="G65" s="365" t="str">
        <f>IF(ISBLANK(G45),"-",IF(G45='CDMAM truth'!G16,1,0))</f>
        <v>-</v>
      </c>
      <c r="H65" s="365" t="str">
        <f>IF(ISBLANK(H45),"-",IF(H45='CDMAM truth'!H16,1,0))</f>
        <v>-</v>
      </c>
      <c r="I65" s="365" t="str">
        <f>IF(ISBLANK(I45),"-",IF(I45='CDMAM truth'!I16,1,0))</f>
        <v>-</v>
      </c>
      <c r="J65" s="365" t="str">
        <f>IF(ISBLANK(J45),"-",IF(J45='CDMAM truth'!J16,1,0))</f>
        <v>-</v>
      </c>
      <c r="K65" s="365" t="str">
        <f>IF(ISBLANK(K45),"-",IF(K45='CDMAM truth'!K16,1,0))</f>
        <v>-</v>
      </c>
      <c r="L65" s="365" t="str">
        <f>IF(ISBLANK(L45),"-",IF(L45='CDMAM truth'!L16,1,0))</f>
        <v>-</v>
      </c>
      <c r="M65" s="365" t="str">
        <f>IF(ISBLANK(M45),"-",IF(M45='CDMAM truth'!M16,1,0))</f>
        <v>-</v>
      </c>
      <c r="N65" s="365" t="str">
        <f>IF(ISBLANK(N45),"-",IF(N45='CDMAM truth'!N16,1,0))</f>
        <v>-</v>
      </c>
      <c r="O65" s="365" t="str">
        <f>IF(ISBLANK(O45),"-",IF(O45='CDMAM truth'!O16,1,0))</f>
        <v>-</v>
      </c>
      <c r="P65" s="365" t="str">
        <f>IF(ISBLANK(P45),"-",IF(P45='CDMAM truth'!P16,1,0))</f>
        <v>-</v>
      </c>
      <c r="Q65" s="365" t="str">
        <f>IF(ISBLANK(Q45),"-",IF(Q45='CDMAM truth'!Q16,1,0))</f>
        <v>-</v>
      </c>
      <c r="R65" s="353">
        <v>0.16</v>
      </c>
    </row>
    <row r="66" spans="1:18">
      <c r="A66" s="353">
        <v>0.13</v>
      </c>
      <c r="B66" s="365" t="str">
        <f>IF(ISBLANK(B46),"-",IF(B46='CDMAM truth'!B17,1,0))</f>
        <v>-</v>
      </c>
      <c r="C66" s="365" t="str">
        <f>IF(ISBLANK(C46),"-",IF(C46='CDMAM truth'!C17,1,0))</f>
        <v>-</v>
      </c>
      <c r="D66" s="365" t="str">
        <f>IF(ISBLANK(D46),"-",IF(D46='CDMAM truth'!D17,1,0))</f>
        <v>-</v>
      </c>
      <c r="E66" s="365" t="str">
        <f>IF(ISBLANK(E46),"-",IF(E46='CDMAM truth'!E17,1,0))</f>
        <v>-</v>
      </c>
      <c r="F66" s="365" t="str">
        <f>IF(ISBLANK(F46),"-",IF(F46='CDMAM truth'!F17,1,0))</f>
        <v>-</v>
      </c>
      <c r="G66" s="365" t="str">
        <f>IF(ISBLANK(G46),"-",IF(G46='CDMAM truth'!G17,1,0))</f>
        <v>-</v>
      </c>
      <c r="H66" s="365" t="str">
        <f>IF(ISBLANK(H46),"-",IF(H46='CDMAM truth'!H17,1,0))</f>
        <v>-</v>
      </c>
      <c r="I66" s="365" t="str">
        <f>IF(ISBLANK(I46),"-",IF(I46='CDMAM truth'!I17,1,0))</f>
        <v>-</v>
      </c>
      <c r="J66" s="365" t="str">
        <f>IF(ISBLANK(J46),"-",IF(J46='CDMAM truth'!J17,1,0))</f>
        <v>-</v>
      </c>
      <c r="K66" s="365" t="str">
        <f>IF(ISBLANK(K46),"-",IF(K46='CDMAM truth'!K17,1,0))</f>
        <v>-</v>
      </c>
      <c r="L66" s="365" t="str">
        <f>IF(ISBLANK(L46),"-",IF(L46='CDMAM truth'!L17,1,0))</f>
        <v>-</v>
      </c>
      <c r="M66" s="365" t="str">
        <f>IF(ISBLANK(M46),"-",IF(M46='CDMAM truth'!M17,1,0))</f>
        <v>-</v>
      </c>
      <c r="N66" s="365" t="str">
        <f>IF(ISBLANK(N46),"-",IF(N46='CDMAM truth'!N17,1,0))</f>
        <v>-</v>
      </c>
      <c r="O66" s="365" t="str">
        <f>IF(ISBLANK(O46),"-",IF(O46='CDMAM truth'!O17,1,0))</f>
        <v>-</v>
      </c>
      <c r="P66" s="365" t="str">
        <f>IF(ISBLANK(P46),"-",IF(P46='CDMAM truth'!P17,1,0))</f>
        <v>-</v>
      </c>
      <c r="Q66" s="363"/>
      <c r="R66" s="353">
        <v>0.13</v>
      </c>
    </row>
    <row r="67" spans="1:18">
      <c r="A67" s="353">
        <v>0.1</v>
      </c>
      <c r="B67" s="365" t="str">
        <f>IF(ISBLANK(B47),"-",IF(B47='CDMAM truth'!B18,1,0))</f>
        <v>-</v>
      </c>
      <c r="C67" s="365" t="str">
        <f>IF(ISBLANK(C47),"-",IF(C47='CDMAM truth'!C18,1,0))</f>
        <v>-</v>
      </c>
      <c r="D67" s="365" t="str">
        <f>IF(ISBLANK(D47),"-",IF(D47='CDMAM truth'!D18,1,0))</f>
        <v>-</v>
      </c>
      <c r="E67" s="365" t="str">
        <f>IF(ISBLANK(E47),"-",IF(E47='CDMAM truth'!E18,1,0))</f>
        <v>-</v>
      </c>
      <c r="F67" s="365" t="str">
        <f>IF(ISBLANK(F47),"-",IF(F47='CDMAM truth'!F18,1,0))</f>
        <v>-</v>
      </c>
      <c r="G67" s="365" t="str">
        <f>IF(ISBLANK(G47),"-",IF(G47='CDMAM truth'!G18,1,0))</f>
        <v>-</v>
      </c>
      <c r="H67" s="365" t="str">
        <f>IF(ISBLANK(H47),"-",IF(H47='CDMAM truth'!H18,1,0))</f>
        <v>-</v>
      </c>
      <c r="I67" s="365" t="str">
        <f>IF(ISBLANK(I47),"-",IF(I47='CDMAM truth'!I18,1,0))</f>
        <v>-</v>
      </c>
      <c r="J67" s="365" t="str">
        <f>IF(ISBLANK(J47),"-",IF(J47='CDMAM truth'!J18,1,0))</f>
        <v>-</v>
      </c>
      <c r="K67" s="365" t="str">
        <f>IF(ISBLANK(K47),"-",IF(K47='CDMAM truth'!K18,1,0))</f>
        <v>-</v>
      </c>
      <c r="L67" s="365" t="str">
        <f>IF(ISBLANK(L47),"-",IF(L47='CDMAM truth'!L18,1,0))</f>
        <v>-</v>
      </c>
      <c r="M67" s="365" t="str">
        <f>IF(ISBLANK(M47),"-",IF(M47='CDMAM truth'!M18,1,0))</f>
        <v>-</v>
      </c>
      <c r="N67" s="365" t="str">
        <f>IF(ISBLANK(N47),"-",IF(N47='CDMAM truth'!N18,1,0))</f>
        <v>-</v>
      </c>
      <c r="O67" s="365" t="str">
        <f>IF(ISBLANK(O47),"-",IF(O47='CDMAM truth'!O18,1,0))</f>
        <v>-</v>
      </c>
      <c r="P67" s="363"/>
      <c r="Q67" s="363"/>
      <c r="R67" s="353">
        <v>0.1</v>
      </c>
    </row>
    <row r="68" spans="1:18">
      <c r="A68" s="353">
        <v>0.08</v>
      </c>
      <c r="B68" s="365" t="str">
        <f>IF(ISBLANK(B48),"-",IF(B48='CDMAM truth'!B19,1,0))</f>
        <v>-</v>
      </c>
      <c r="C68" s="365" t="str">
        <f>IF(ISBLANK(C48),"-",IF(C48='CDMAM truth'!C19,1,0))</f>
        <v>-</v>
      </c>
      <c r="D68" s="365" t="str">
        <f>IF(ISBLANK(D48),"-",IF(D48='CDMAM truth'!D19,1,0))</f>
        <v>-</v>
      </c>
      <c r="E68" s="365" t="str">
        <f>IF(ISBLANK(E48),"-",IF(E48='CDMAM truth'!E19,1,0))</f>
        <v>-</v>
      </c>
      <c r="F68" s="365" t="str">
        <f>IF(ISBLANK(F48),"-",IF(F48='CDMAM truth'!F19,1,0))</f>
        <v>-</v>
      </c>
      <c r="G68" s="365" t="str">
        <f>IF(ISBLANK(G48),"-",IF(G48='CDMAM truth'!G19,1,0))</f>
        <v>-</v>
      </c>
      <c r="H68" s="365" t="str">
        <f>IF(ISBLANK(H48),"-",IF(H48='CDMAM truth'!H19,1,0))</f>
        <v>-</v>
      </c>
      <c r="I68" s="365" t="str">
        <f>IF(ISBLANK(I48),"-",IF(I48='CDMAM truth'!I19,1,0))</f>
        <v>-</v>
      </c>
      <c r="J68" s="365" t="str">
        <f>IF(ISBLANK(J48),"-",IF(J48='CDMAM truth'!J19,1,0))</f>
        <v>-</v>
      </c>
      <c r="K68" s="365" t="str">
        <f>IF(ISBLANK(K48),"-",IF(K48='CDMAM truth'!K19,1,0))</f>
        <v>-</v>
      </c>
      <c r="L68" s="365" t="str">
        <f>IF(ISBLANK(L48),"-",IF(L48='CDMAM truth'!L19,1,0))</f>
        <v>-</v>
      </c>
      <c r="M68" s="365" t="str">
        <f>IF(ISBLANK(M48),"-",IF(M48='CDMAM truth'!M19,1,0))</f>
        <v>-</v>
      </c>
      <c r="N68" s="365" t="str">
        <f>IF(ISBLANK(N48),"-",IF(N48='CDMAM truth'!N19,1,0))</f>
        <v>-</v>
      </c>
      <c r="O68" s="363"/>
      <c r="P68" s="363"/>
      <c r="Q68" s="363"/>
      <c r="R68" s="353">
        <v>0.08</v>
      </c>
    </row>
    <row r="69" spans="1:18">
      <c r="A69" s="353">
        <v>0.06</v>
      </c>
      <c r="B69" s="365" t="str">
        <f>IF(ISBLANK(B49),"-",IF(B49='CDMAM truth'!B20,1,0))</f>
        <v>-</v>
      </c>
      <c r="C69" s="365" t="str">
        <f>IF(ISBLANK(C49),"-",IF(C49='CDMAM truth'!C20,1,0))</f>
        <v>-</v>
      </c>
      <c r="D69" s="365" t="str">
        <f>IF(ISBLANK(D49),"-",IF(D49='CDMAM truth'!D20,1,0))</f>
        <v>-</v>
      </c>
      <c r="E69" s="365" t="str">
        <f>IF(ISBLANK(E49),"-",IF(E49='CDMAM truth'!E20,1,0))</f>
        <v>-</v>
      </c>
      <c r="F69" s="365" t="str">
        <f>IF(ISBLANK(F49),"-",IF(F49='CDMAM truth'!F20,1,0))</f>
        <v>-</v>
      </c>
      <c r="G69" s="365" t="str">
        <f>IF(ISBLANK(G49),"-",IF(G49='CDMAM truth'!G20,1,0))</f>
        <v>-</v>
      </c>
      <c r="H69" s="365" t="str">
        <f>IF(ISBLANK(H49),"-",IF(H49='CDMAM truth'!H20,1,0))</f>
        <v>-</v>
      </c>
      <c r="I69" s="365" t="str">
        <f>IF(ISBLANK(I49),"-",IF(I49='CDMAM truth'!I20,1,0))</f>
        <v>-</v>
      </c>
      <c r="J69" s="365" t="str">
        <f>IF(ISBLANK(J49),"-",IF(J49='CDMAM truth'!J20,1,0))</f>
        <v>-</v>
      </c>
      <c r="K69" s="365" t="str">
        <f>IF(ISBLANK(K49),"-",IF(K49='CDMAM truth'!K20,1,0))</f>
        <v>-</v>
      </c>
      <c r="L69" s="365" t="str">
        <f>IF(ISBLANK(L49),"-",IF(L49='CDMAM truth'!L20,1,0))</f>
        <v>-</v>
      </c>
      <c r="M69" s="364"/>
      <c r="N69" s="363"/>
      <c r="O69" s="363"/>
      <c r="P69" s="363"/>
      <c r="Q69" s="363"/>
      <c r="R69" s="353">
        <v>0.06</v>
      </c>
    </row>
    <row r="70" spans="1:18">
      <c r="A70" s="353">
        <v>0.05</v>
      </c>
      <c r="B70" s="365" t="str">
        <f>IF(ISBLANK(B50),"-",IF(B50='CDMAM truth'!B21,1,0))</f>
        <v>-</v>
      </c>
      <c r="C70" s="365" t="str">
        <f>IF(ISBLANK(C50),"-",IF(C50='CDMAM truth'!C21,1,0))</f>
        <v>-</v>
      </c>
      <c r="D70" s="365" t="str">
        <f>IF(ISBLANK(D50),"-",IF(D50='CDMAM truth'!D21,1,0))</f>
        <v>-</v>
      </c>
      <c r="E70" s="365" t="str">
        <f>IF(ISBLANK(E50),"-",IF(E50='CDMAM truth'!E21,1,0))</f>
        <v>-</v>
      </c>
      <c r="F70" s="365" t="str">
        <f>IF(ISBLANK(F50),"-",IF(F50='CDMAM truth'!F21,1,0))</f>
        <v>-</v>
      </c>
      <c r="G70" s="365" t="str">
        <f>IF(ISBLANK(G50),"-",IF(G50='CDMAM truth'!G21,1,0))</f>
        <v>-</v>
      </c>
      <c r="H70" s="365" t="str">
        <f>IF(ISBLANK(H50),"-",IF(H50='CDMAM truth'!H21,1,0))</f>
        <v>-</v>
      </c>
      <c r="I70" s="365" t="str">
        <f>IF(ISBLANK(I50),"-",IF(I50='CDMAM truth'!I21,1,0))</f>
        <v>-</v>
      </c>
      <c r="J70" s="365" t="str">
        <f>IF(ISBLANK(J50),"-",IF(J50='CDMAM truth'!J21,1,0))</f>
        <v>-</v>
      </c>
      <c r="K70" s="365" t="str">
        <f>IF(ISBLANK(K50),"-",IF(K50='CDMAM truth'!K21,1,0))</f>
        <v>-</v>
      </c>
      <c r="L70" s="365" t="str">
        <f>IF(ISBLANK(L50),"-",IF(L50='CDMAM truth'!L21,1,0))</f>
        <v>-</v>
      </c>
      <c r="M70" s="363"/>
      <c r="N70" s="363"/>
      <c r="O70" s="363"/>
      <c r="P70" s="363"/>
      <c r="Q70" s="363"/>
      <c r="R70" s="353">
        <v>0.05</v>
      </c>
    </row>
    <row r="71" spans="1:18">
      <c r="A71" s="353">
        <v>0.04</v>
      </c>
      <c r="B71" s="365" t="str">
        <f>IF(ISBLANK(B51),"-",IF(B51='CDMAM truth'!B22,1,0))</f>
        <v>-</v>
      </c>
      <c r="C71" s="365" t="str">
        <f>IF(ISBLANK(C51),"-",IF(C51='CDMAM truth'!C22,1,0))</f>
        <v>-</v>
      </c>
      <c r="D71" s="365" t="str">
        <f>IF(ISBLANK(D51),"-",IF(D51='CDMAM truth'!D22,1,0))</f>
        <v>-</v>
      </c>
      <c r="E71" s="365" t="str">
        <f>IF(ISBLANK(E51),"-",IF(E51='CDMAM truth'!E22,1,0))</f>
        <v>-</v>
      </c>
      <c r="F71" s="365" t="str">
        <f>IF(ISBLANK(F51),"-",IF(F51='CDMAM truth'!F22,1,0))</f>
        <v>-</v>
      </c>
      <c r="G71" s="365" t="str">
        <f>IF(ISBLANK(G51),"-",IF(G51='CDMAM truth'!G22,1,0))</f>
        <v>-</v>
      </c>
      <c r="H71" s="365" t="str">
        <f>IF(ISBLANK(H51),"-",IF(H51='CDMAM truth'!H22,1,0))</f>
        <v>-</v>
      </c>
      <c r="I71" s="365" t="str">
        <f>IF(ISBLANK(I51),"-",IF(I51='CDMAM truth'!I22,1,0))</f>
        <v>-</v>
      </c>
      <c r="J71" s="365" t="str">
        <f>IF(ISBLANK(J51),"-",IF(J51='CDMAM truth'!J22,1,0))</f>
        <v>-</v>
      </c>
      <c r="K71" s="365" t="str">
        <f>IF(ISBLANK(K51),"-",IF(K51='CDMAM truth'!K22,1,0))</f>
        <v>-</v>
      </c>
      <c r="L71" s="363"/>
      <c r="M71" s="363"/>
      <c r="N71" s="363"/>
      <c r="O71" s="363"/>
      <c r="P71" s="363"/>
      <c r="Q71" s="363"/>
      <c r="R71" s="353">
        <v>0.04</v>
      </c>
    </row>
    <row r="72" spans="1:18">
      <c r="A72" s="360">
        <v>0.03</v>
      </c>
      <c r="B72" s="363"/>
      <c r="C72" s="365" t="str">
        <f>IF(ISBLANK(C52),"-",IF(C52='CDMAM truth'!C23,1,0))</f>
        <v>-</v>
      </c>
      <c r="D72" s="365" t="str">
        <f>IF(ISBLANK(D52),"-",IF(D52='CDMAM truth'!D23,1,0))</f>
        <v>-</v>
      </c>
      <c r="E72" s="365" t="str">
        <f>IF(ISBLANK(E52),"-",IF(E52='CDMAM truth'!E23,1,0))</f>
        <v>-</v>
      </c>
      <c r="F72" s="365" t="str">
        <f>IF(ISBLANK(F52),"-",IF(F52='CDMAM truth'!F23,1,0))</f>
        <v>-</v>
      </c>
      <c r="G72" s="365" t="str">
        <f>IF(ISBLANK(G52),"-",IF(G52='CDMAM truth'!G23,1,0))</f>
        <v>-</v>
      </c>
      <c r="H72" s="365" t="str">
        <f>IF(ISBLANK(H52),"-",IF(H52='CDMAM truth'!H23,1,0))</f>
        <v>-</v>
      </c>
      <c r="I72" s="365" t="str">
        <f>IF(ISBLANK(I52),"-",IF(I52='CDMAM truth'!I23,1,0))</f>
        <v>-</v>
      </c>
      <c r="J72" s="365" t="str">
        <f>IF(ISBLANK(J52),"-",IF(J52='CDMAM truth'!J23,1,0))</f>
        <v>-</v>
      </c>
      <c r="K72" s="363"/>
      <c r="L72" s="363"/>
      <c r="M72" s="363"/>
      <c r="N72" s="363"/>
      <c r="O72" s="363"/>
      <c r="P72" s="363"/>
      <c r="Q72" s="363"/>
      <c r="R72" s="360">
        <v>0.03</v>
      </c>
    </row>
  </sheetData>
  <sheetProtection sheet="1" objects="1" scenarios="1"/>
  <mergeCells count="12">
    <mergeCell ref="C10:D10"/>
    <mergeCell ref="F10:H10"/>
    <mergeCell ref="C6:D6"/>
    <mergeCell ref="F6:H6"/>
    <mergeCell ref="C8:D8"/>
    <mergeCell ref="F8:H8"/>
    <mergeCell ref="C9:D9"/>
    <mergeCell ref="C5:D5"/>
    <mergeCell ref="F5:H5"/>
    <mergeCell ref="C7:D7"/>
    <mergeCell ref="F7:H7"/>
    <mergeCell ref="F9:H9"/>
  </mergeCells>
  <phoneticPr fontId="0" type="noConversion"/>
  <pageMargins left="0.75" right="0.75" top="1" bottom="1" header="0.5" footer="0.5"/>
  <pageSetup paperSize="9" orientation="portrait" horizontalDpi="1200" verticalDpi="4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
  <sheetViews>
    <sheetView showGridLines="0" zoomScaleNormal="100" zoomScaleSheetLayoutView="100" workbookViewId="0">
      <selection activeCell="K22" sqref="K22"/>
    </sheetView>
  </sheetViews>
  <sheetFormatPr defaultRowHeight="12.75"/>
  <cols>
    <col min="1" max="1" width="8.5703125" customWidth="1"/>
    <col min="2" max="2" width="9.85546875" customWidth="1"/>
    <col min="3" max="3" width="8.140625" customWidth="1"/>
    <col min="5" max="5" width="11.42578125" customWidth="1"/>
    <col min="6" max="6" width="10.140625" bestFit="1" customWidth="1"/>
  </cols>
  <sheetData>
    <row r="1" spans="1:19" ht="18">
      <c r="A1" s="12" t="s">
        <v>411</v>
      </c>
      <c r="C1" s="4"/>
      <c r="D1" s="4"/>
      <c r="E1" s="4"/>
      <c r="F1" s="4"/>
      <c r="G1" s="4"/>
      <c r="H1" s="4"/>
      <c r="I1" s="4"/>
      <c r="J1" s="4"/>
      <c r="K1" s="4"/>
      <c r="L1" s="4"/>
      <c r="M1" s="4"/>
      <c r="N1" s="4"/>
      <c r="O1" s="4"/>
      <c r="P1" s="4"/>
      <c r="Q1" s="4"/>
      <c r="R1" s="4"/>
      <c r="S1" s="4"/>
    </row>
    <row r="2" spans="1:19">
      <c r="B2" s="9"/>
      <c r="C2" s="4"/>
      <c r="D2" s="4"/>
      <c r="E2" s="4"/>
      <c r="F2" s="4"/>
      <c r="G2" s="4"/>
      <c r="H2" s="4"/>
      <c r="I2" s="4"/>
      <c r="J2" s="4"/>
      <c r="K2" s="4"/>
      <c r="L2" s="4"/>
      <c r="M2" s="4"/>
      <c r="N2" s="4"/>
      <c r="O2" s="4"/>
      <c r="P2" s="4"/>
      <c r="Q2" s="4"/>
      <c r="R2" s="4"/>
      <c r="S2" s="4"/>
    </row>
    <row r="3" spans="1:19" ht="14.25">
      <c r="A3" s="114" t="s">
        <v>90</v>
      </c>
      <c r="B3" s="9"/>
      <c r="C3" s="4"/>
      <c r="D3" s="4"/>
      <c r="E3" s="4"/>
      <c r="F3" s="4"/>
      <c r="G3" s="4"/>
      <c r="H3" s="4"/>
      <c r="I3" s="4"/>
      <c r="J3" s="4"/>
      <c r="K3" s="4"/>
      <c r="L3" s="4"/>
      <c r="M3" s="4"/>
      <c r="N3" s="4"/>
      <c r="O3" s="4"/>
      <c r="P3" s="4"/>
      <c r="Q3" s="4"/>
      <c r="R3" s="4"/>
      <c r="S3" s="4"/>
    </row>
    <row r="4" spans="1:19">
      <c r="A4" t="s">
        <v>91</v>
      </c>
      <c r="B4" s="9"/>
      <c r="C4" s="4"/>
      <c r="D4" s="4"/>
      <c r="E4" s="4"/>
      <c r="F4" s="4"/>
      <c r="G4" s="4"/>
      <c r="H4" s="4"/>
      <c r="I4" s="4"/>
      <c r="J4" s="4"/>
      <c r="K4" s="4"/>
      <c r="L4" s="4"/>
      <c r="M4" s="4"/>
      <c r="N4" s="4"/>
      <c r="O4" s="4"/>
      <c r="P4" s="4"/>
      <c r="Q4" s="4"/>
      <c r="R4" s="4"/>
      <c r="S4" s="4"/>
    </row>
    <row r="5" spans="1:19">
      <c r="A5" s="117"/>
      <c r="B5" s="118"/>
      <c r="C5" s="112"/>
      <c r="D5" s="112"/>
      <c r="E5" s="112"/>
      <c r="F5" s="112"/>
      <c r="G5" s="112"/>
      <c r="H5" s="112"/>
      <c r="I5" s="4"/>
      <c r="J5" s="4"/>
      <c r="K5" s="4"/>
      <c r="L5" s="4"/>
      <c r="M5" s="4"/>
      <c r="N5" s="4"/>
      <c r="O5" s="4"/>
      <c r="P5" s="4"/>
      <c r="Q5" s="4"/>
      <c r="R5" s="4"/>
      <c r="S5" s="4"/>
    </row>
    <row r="6" spans="1:19" ht="14.25">
      <c r="A6" s="113" t="s">
        <v>143</v>
      </c>
      <c r="C6" s="4"/>
      <c r="D6" s="4"/>
      <c r="E6" s="4"/>
      <c r="F6" s="4"/>
      <c r="G6" s="4"/>
      <c r="H6" s="4"/>
      <c r="I6" s="4"/>
      <c r="J6" s="4"/>
      <c r="K6" s="4"/>
      <c r="L6" s="4"/>
      <c r="M6" s="4"/>
      <c r="N6" s="4"/>
      <c r="O6" s="4"/>
      <c r="P6" s="4"/>
      <c r="Q6" s="4"/>
      <c r="R6" s="4"/>
      <c r="S6" s="4"/>
    </row>
    <row r="7" spans="1:19">
      <c r="A7" t="s">
        <v>144</v>
      </c>
      <c r="B7" s="14"/>
      <c r="C7" s="4"/>
      <c r="D7" s="4"/>
      <c r="E7" s="4"/>
      <c r="F7" s="4"/>
      <c r="G7" s="4"/>
      <c r="H7" s="4"/>
      <c r="I7" s="4"/>
      <c r="J7" s="4"/>
      <c r="K7" s="4"/>
      <c r="L7" s="4"/>
      <c r="M7" s="4"/>
      <c r="N7" s="4"/>
      <c r="O7" s="4"/>
      <c r="P7" s="4"/>
      <c r="Q7" s="4"/>
      <c r="R7" s="4"/>
      <c r="S7" s="4"/>
    </row>
    <row r="8" spans="1:19">
      <c r="A8" s="119"/>
      <c r="B8" s="119"/>
      <c r="C8" s="112"/>
      <c r="D8" s="112"/>
      <c r="E8" s="112"/>
      <c r="F8" s="112"/>
      <c r="G8" s="112"/>
      <c r="H8" s="112"/>
      <c r="I8" s="4"/>
      <c r="J8" s="4"/>
      <c r="K8" s="4"/>
      <c r="L8" s="4"/>
      <c r="M8" s="4"/>
      <c r="N8" s="4"/>
      <c r="O8" s="4"/>
      <c r="P8" s="4"/>
      <c r="Q8" s="4"/>
      <c r="R8" s="4"/>
      <c r="S8" s="4"/>
    </row>
    <row r="9" spans="1:19" ht="14.25">
      <c r="A9" s="114" t="s">
        <v>145</v>
      </c>
      <c r="B9" s="14"/>
      <c r="C9" s="4"/>
      <c r="D9" s="4"/>
      <c r="E9" s="4"/>
      <c r="F9" s="4"/>
      <c r="G9" s="4"/>
      <c r="H9" s="4"/>
      <c r="I9" s="4"/>
      <c r="J9" s="4"/>
      <c r="K9" s="4"/>
      <c r="L9" s="4"/>
      <c r="M9" s="4"/>
      <c r="N9" s="4"/>
      <c r="O9" s="4"/>
      <c r="P9" s="4"/>
      <c r="Q9" s="4"/>
      <c r="R9" s="4"/>
      <c r="S9" s="4"/>
    </row>
    <row r="10" spans="1:19">
      <c r="B10" s="29" t="s">
        <v>111</v>
      </c>
      <c r="D10" s="4"/>
      <c r="E10" s="411"/>
      <c r="F10" s="29" t="s">
        <v>82</v>
      </c>
      <c r="H10" s="4"/>
      <c r="I10" s="4"/>
      <c r="J10" s="4"/>
      <c r="K10" s="4"/>
      <c r="L10" s="4"/>
      <c r="M10" s="4"/>
      <c r="N10" s="4"/>
      <c r="O10" s="4"/>
      <c r="P10" s="4"/>
      <c r="Q10" s="4"/>
      <c r="R10" s="4"/>
      <c r="S10" s="4"/>
    </row>
    <row r="11" spans="1:19">
      <c r="B11" s="4"/>
      <c r="C11" s="4"/>
      <c r="D11" s="4"/>
      <c r="E11" s="411"/>
      <c r="F11" s="29" t="s">
        <v>81</v>
      </c>
      <c r="H11" s="4"/>
      <c r="I11" s="4"/>
      <c r="J11" s="4"/>
      <c r="K11" s="4"/>
      <c r="L11" s="4"/>
      <c r="M11" s="4"/>
      <c r="N11" s="4"/>
      <c r="O11" s="4"/>
      <c r="P11" s="4"/>
      <c r="Q11" s="4"/>
      <c r="R11" s="4"/>
      <c r="S11" s="4"/>
    </row>
    <row r="12" spans="1:19">
      <c r="A12" s="117"/>
      <c r="B12" s="112"/>
      <c r="C12" s="112"/>
      <c r="D12" s="112"/>
      <c r="E12" s="120"/>
      <c r="F12" s="121"/>
      <c r="G12" s="118"/>
      <c r="H12" s="112"/>
      <c r="I12" s="4"/>
      <c r="J12" s="4"/>
      <c r="K12" s="4"/>
      <c r="L12" s="4"/>
      <c r="M12" s="4"/>
      <c r="N12" s="4"/>
      <c r="O12" s="4"/>
      <c r="P12" s="4"/>
      <c r="Q12" s="4"/>
      <c r="R12" s="4"/>
      <c r="S12" s="4"/>
    </row>
    <row r="13" spans="1:19" ht="14.25">
      <c r="A13" s="113" t="s">
        <v>146</v>
      </c>
      <c r="B13" s="4"/>
      <c r="C13" s="4"/>
      <c r="D13" s="4"/>
      <c r="E13" s="115"/>
      <c r="F13" s="53"/>
      <c r="G13" s="4"/>
      <c r="H13" s="4"/>
      <c r="I13" s="4"/>
      <c r="J13" s="4"/>
      <c r="K13" s="4"/>
      <c r="L13" s="4"/>
      <c r="M13" s="4"/>
      <c r="N13" s="4"/>
      <c r="O13" s="4"/>
      <c r="P13" s="4"/>
      <c r="Q13" s="4"/>
      <c r="R13" s="4"/>
      <c r="S13" s="4"/>
    </row>
    <row r="14" spans="1:19" ht="14.25">
      <c r="A14" s="113"/>
      <c r="B14" s="4"/>
      <c r="C14" s="4"/>
      <c r="D14" s="4"/>
      <c r="E14" s="115"/>
      <c r="F14" s="53"/>
      <c r="G14" s="4"/>
      <c r="H14" s="4"/>
      <c r="I14" s="4"/>
      <c r="J14" s="4"/>
      <c r="K14" s="4"/>
      <c r="L14" s="4"/>
      <c r="M14" s="4"/>
      <c r="N14" s="4"/>
      <c r="O14" s="4"/>
      <c r="P14" s="4"/>
      <c r="Q14" s="4"/>
      <c r="R14" s="4"/>
      <c r="S14" s="4"/>
    </row>
    <row r="15" spans="1:19" ht="15">
      <c r="A15" s="113"/>
      <c r="B15" s="4"/>
      <c r="C15" s="4"/>
      <c r="D15" s="4"/>
      <c r="E15" s="583" t="s">
        <v>412</v>
      </c>
      <c r="F15" s="53"/>
      <c r="G15" s="583" t="s">
        <v>413</v>
      </c>
      <c r="H15" s="53"/>
      <c r="I15" s="4"/>
      <c r="J15" s="4"/>
      <c r="K15" s="4"/>
      <c r="L15" s="4"/>
      <c r="M15" s="4"/>
      <c r="N15" s="4"/>
      <c r="O15" s="4"/>
      <c r="P15" s="4"/>
      <c r="Q15" s="4"/>
      <c r="R15" s="4"/>
      <c r="S15" s="4"/>
    </row>
    <row r="16" spans="1:19">
      <c r="B16" s="20" t="s">
        <v>147</v>
      </c>
      <c r="D16" s="4"/>
      <c r="E16" s="115"/>
      <c r="F16" s="54"/>
      <c r="G16" s="115"/>
      <c r="H16" s="54"/>
      <c r="I16" s="4"/>
      <c r="J16" s="4"/>
      <c r="K16" s="4"/>
      <c r="L16" s="4"/>
      <c r="M16" s="4"/>
      <c r="N16" s="4"/>
      <c r="O16" s="4"/>
      <c r="P16" s="4"/>
      <c r="Q16" s="4"/>
      <c r="R16" s="4"/>
      <c r="S16" s="4"/>
    </row>
    <row r="17" spans="1:19">
      <c r="B17" s="4" t="s">
        <v>85</v>
      </c>
      <c r="C17" s="4"/>
      <c r="D17" s="4"/>
      <c r="E17" s="411"/>
      <c r="F17" s="29" t="s">
        <v>89</v>
      </c>
      <c r="G17" s="411"/>
      <c r="H17" s="29" t="s">
        <v>89</v>
      </c>
      <c r="I17" s="4"/>
      <c r="J17" s="4"/>
      <c r="K17" s="4"/>
      <c r="L17" s="4"/>
      <c r="M17" s="4"/>
      <c r="N17" s="4"/>
      <c r="O17" s="4"/>
      <c r="P17" s="4"/>
      <c r="Q17" s="4"/>
      <c r="R17" s="4"/>
      <c r="S17" s="4"/>
    </row>
    <row r="18" spans="1:19">
      <c r="B18" s="4" t="s">
        <v>86</v>
      </c>
      <c r="C18" s="4"/>
      <c r="D18" s="4"/>
      <c r="E18" s="411"/>
      <c r="F18" s="29" t="s">
        <v>89</v>
      </c>
      <c r="G18" s="411"/>
      <c r="H18" s="29" t="s">
        <v>89</v>
      </c>
      <c r="I18" s="4"/>
      <c r="J18" s="4"/>
      <c r="K18" s="4"/>
      <c r="L18" s="4"/>
      <c r="M18" s="4"/>
      <c r="N18" s="4"/>
      <c r="O18" s="4"/>
      <c r="P18" s="4"/>
      <c r="Q18" s="4"/>
      <c r="R18" s="4"/>
      <c r="S18" s="4"/>
    </row>
    <row r="19" spans="1:19">
      <c r="A19" s="117"/>
      <c r="B19" s="112"/>
      <c r="C19" s="117"/>
      <c r="D19" s="117"/>
      <c r="E19" s="117"/>
      <c r="F19" s="117"/>
      <c r="G19" s="117"/>
      <c r="H19" s="112"/>
      <c r="I19" s="4"/>
      <c r="J19" s="4"/>
      <c r="K19" s="4"/>
      <c r="L19" s="4"/>
      <c r="M19" s="4"/>
      <c r="N19" s="4"/>
      <c r="O19" s="4"/>
      <c r="P19" s="4"/>
      <c r="Q19" s="4"/>
      <c r="R19" s="4"/>
      <c r="S19" s="4"/>
    </row>
    <row r="20" spans="1:19" ht="14.25">
      <c r="A20" s="113" t="s">
        <v>148</v>
      </c>
      <c r="B20" s="4"/>
      <c r="C20" s="4"/>
      <c r="D20" s="4"/>
      <c r="E20" s="4"/>
      <c r="F20" s="4"/>
      <c r="G20" s="4"/>
      <c r="H20" s="4"/>
      <c r="I20" s="4"/>
      <c r="J20" s="4"/>
      <c r="K20" s="4"/>
      <c r="L20" s="4"/>
      <c r="M20" s="4"/>
      <c r="N20" s="4"/>
      <c r="O20" s="4"/>
      <c r="P20" s="4"/>
      <c r="Q20" s="4"/>
      <c r="R20" s="4"/>
      <c r="S20" s="4"/>
    </row>
    <row r="21" spans="1:19">
      <c r="B21" s="4"/>
      <c r="C21" s="4"/>
      <c r="D21" s="4"/>
      <c r="E21" s="4"/>
      <c r="F21" s="4"/>
      <c r="G21" s="4"/>
      <c r="H21" s="4"/>
      <c r="I21" s="4"/>
      <c r="J21" s="4"/>
      <c r="K21" s="4"/>
      <c r="L21" s="4"/>
      <c r="M21" s="4"/>
      <c r="N21" s="4"/>
      <c r="O21" s="4"/>
      <c r="P21" s="4"/>
      <c r="Q21" s="4"/>
      <c r="R21" s="4"/>
      <c r="S21" s="4"/>
    </row>
    <row r="22" spans="1:19" ht="27.75" customHeight="1">
      <c r="B22" s="648" t="s">
        <v>414</v>
      </c>
      <c r="C22" s="642"/>
      <c r="D22" s="642"/>
      <c r="E22" s="642"/>
      <c r="F22" s="642"/>
      <c r="G22" s="642"/>
      <c r="H22" s="642"/>
      <c r="I22" s="4"/>
      <c r="J22" s="4"/>
      <c r="K22" s="4"/>
      <c r="L22" s="4"/>
      <c r="M22" s="4"/>
      <c r="N22" s="4"/>
      <c r="O22" s="4"/>
      <c r="P22" s="4"/>
      <c r="Q22" s="4"/>
      <c r="R22" s="4"/>
      <c r="S22" s="4"/>
    </row>
    <row r="23" spans="1:19">
      <c r="A23" s="117"/>
      <c r="B23" s="112"/>
      <c r="C23" s="112"/>
      <c r="D23" s="112"/>
      <c r="E23" s="112"/>
      <c r="F23" s="112"/>
      <c r="G23" s="112"/>
      <c r="H23" s="112"/>
      <c r="I23" s="4"/>
      <c r="J23" s="4"/>
      <c r="K23" s="4"/>
      <c r="L23" s="4"/>
      <c r="M23" s="4"/>
      <c r="N23" s="4"/>
      <c r="O23" s="4"/>
      <c r="P23" s="4"/>
      <c r="Q23" s="4"/>
      <c r="R23" s="4"/>
      <c r="S23" s="4"/>
    </row>
    <row r="24" spans="1:19" ht="15" thickBot="1">
      <c r="A24" s="116" t="s">
        <v>160</v>
      </c>
      <c r="B24" s="27"/>
      <c r="C24" s="27"/>
      <c r="F24" s="4"/>
      <c r="G24" s="4"/>
      <c r="H24" s="4"/>
      <c r="I24" s="4"/>
      <c r="J24" s="4"/>
      <c r="K24" s="4"/>
      <c r="L24" s="4"/>
      <c r="M24" s="4"/>
      <c r="N24" s="4"/>
      <c r="O24" s="4"/>
      <c r="P24" s="4"/>
      <c r="Q24" s="4"/>
      <c r="R24" s="4"/>
      <c r="S24" s="4"/>
    </row>
    <row r="25" spans="1:19" ht="16.5" thickBot="1">
      <c r="B25" s="4"/>
      <c r="C25" s="4"/>
      <c r="D25" s="4"/>
      <c r="E25" s="122" t="str">
        <f>IF(OR(E18="",E17="",G17="",G18=""),"---",IF(AND(E17&gt;=6,E18&gt;=6,G17&gt;=6,G18&gt;=6),"PASS","FAIL"))</f>
        <v>---</v>
      </c>
      <c r="F25" s="4"/>
      <c r="G25" s="4"/>
      <c r="H25" s="4"/>
      <c r="I25" s="8"/>
      <c r="J25" s="8"/>
      <c r="K25" s="4"/>
      <c r="L25" s="4"/>
      <c r="M25" s="4"/>
      <c r="N25" s="4"/>
      <c r="O25" s="4"/>
      <c r="P25" s="4"/>
      <c r="Q25" s="4"/>
      <c r="R25" s="4"/>
      <c r="S25" s="4"/>
    </row>
    <row r="26" spans="1:19">
      <c r="A26" s="25"/>
      <c r="B26" s="10"/>
      <c r="C26" s="10"/>
      <c r="D26" s="10"/>
      <c r="E26" s="10"/>
      <c r="F26" s="10"/>
      <c r="G26" s="10"/>
      <c r="H26" s="10"/>
      <c r="I26" s="4"/>
      <c r="J26" s="4"/>
      <c r="K26" s="4"/>
      <c r="L26" s="4"/>
      <c r="M26" s="4"/>
      <c r="N26" s="4"/>
      <c r="O26" s="4"/>
      <c r="P26" s="4"/>
      <c r="Q26" s="4"/>
      <c r="R26" s="4"/>
      <c r="S26" s="4"/>
    </row>
    <row r="27" spans="1:19" ht="14.25">
      <c r="A27" s="143" t="s">
        <v>159</v>
      </c>
      <c r="B27" s="144"/>
      <c r="C27" s="144"/>
      <c r="D27" s="144"/>
      <c r="E27" s="144"/>
      <c r="F27" s="144"/>
      <c r="G27" s="144"/>
      <c r="H27" s="144"/>
      <c r="I27" s="4"/>
      <c r="J27" s="4"/>
      <c r="K27" s="4"/>
      <c r="L27" s="4"/>
      <c r="M27" s="4"/>
      <c r="N27" s="4"/>
      <c r="O27" s="4"/>
      <c r="P27" s="4"/>
      <c r="Q27" s="4"/>
      <c r="R27" s="4"/>
      <c r="S27" s="4"/>
    </row>
    <row r="28" spans="1:19">
      <c r="A28" s="564"/>
      <c r="B28" s="565"/>
      <c r="C28" s="565"/>
      <c r="D28" s="565"/>
      <c r="E28" s="565"/>
      <c r="F28" s="565"/>
      <c r="G28" s="565"/>
      <c r="H28" s="565"/>
      <c r="I28" s="4"/>
      <c r="J28" s="4"/>
      <c r="K28" s="4"/>
      <c r="L28" s="4"/>
      <c r="M28" s="4"/>
      <c r="N28" s="4"/>
      <c r="O28" s="4"/>
      <c r="P28" s="4"/>
      <c r="Q28" s="4"/>
      <c r="R28" s="4"/>
      <c r="S28" s="4"/>
    </row>
    <row r="29" spans="1:19">
      <c r="A29" s="564"/>
      <c r="B29" s="565"/>
      <c r="C29" s="565"/>
      <c r="D29" s="565"/>
      <c r="E29" s="565"/>
      <c r="F29" s="565"/>
      <c r="G29" s="565"/>
      <c r="H29" s="565"/>
      <c r="I29" s="4"/>
      <c r="J29" s="4"/>
      <c r="K29" s="4"/>
      <c r="L29" s="4"/>
      <c r="M29" s="4"/>
      <c r="N29" s="4"/>
      <c r="O29" s="4"/>
      <c r="P29" s="4"/>
      <c r="Q29" s="4"/>
      <c r="R29" s="4"/>
      <c r="S29" s="4"/>
    </row>
    <row r="30" spans="1:19">
      <c r="A30" s="564"/>
      <c r="B30" s="565"/>
      <c r="C30" s="565"/>
      <c r="D30" s="565"/>
      <c r="E30" s="565"/>
      <c r="F30" s="565"/>
      <c r="G30" s="565"/>
      <c r="H30" s="565"/>
      <c r="I30" s="4"/>
      <c r="J30" s="4"/>
      <c r="K30" s="4"/>
      <c r="L30" s="4"/>
      <c r="M30" s="4"/>
      <c r="N30" s="4"/>
      <c r="O30" s="4"/>
      <c r="P30" s="4"/>
      <c r="Q30" s="4"/>
      <c r="R30" s="4"/>
      <c r="S30" s="4"/>
    </row>
    <row r="31" spans="1:19">
      <c r="A31" s="564"/>
      <c r="B31" s="565"/>
      <c r="C31" s="565"/>
      <c r="D31" s="565"/>
      <c r="E31" s="565"/>
      <c r="F31" s="565"/>
      <c r="G31" s="565"/>
      <c r="H31" s="565"/>
      <c r="I31" s="4"/>
      <c r="J31" s="4"/>
      <c r="K31" s="4"/>
      <c r="L31" s="4"/>
      <c r="M31" s="4"/>
      <c r="N31" s="4"/>
      <c r="O31" s="4"/>
      <c r="P31" s="4"/>
      <c r="Q31" s="4"/>
      <c r="R31" s="4"/>
      <c r="S31" s="4"/>
    </row>
    <row r="32" spans="1:19">
      <c r="A32" s="564"/>
      <c r="B32" s="565"/>
      <c r="C32" s="565"/>
      <c r="D32" s="565"/>
      <c r="E32" s="565"/>
      <c r="F32" s="565"/>
      <c r="G32" s="565"/>
      <c r="H32" s="565"/>
      <c r="I32" s="4"/>
      <c r="J32" s="4"/>
      <c r="K32" s="4"/>
      <c r="L32" s="4"/>
      <c r="M32" s="4"/>
      <c r="N32" s="4"/>
      <c r="O32" s="4"/>
      <c r="P32" s="4"/>
      <c r="Q32" s="4"/>
      <c r="R32" s="4"/>
      <c r="S32" s="4"/>
    </row>
    <row r="33" spans="1:19">
      <c r="A33" s="564"/>
      <c r="B33" s="565"/>
      <c r="C33" s="565"/>
      <c r="D33" s="565"/>
      <c r="E33" s="565"/>
      <c r="F33" s="565"/>
      <c r="G33" s="565"/>
      <c r="H33" s="565"/>
      <c r="I33" s="4"/>
      <c r="J33" s="4"/>
      <c r="K33" s="4"/>
      <c r="L33" s="4"/>
      <c r="M33" s="4"/>
      <c r="N33" s="4"/>
      <c r="O33" s="4"/>
      <c r="P33" s="4"/>
      <c r="Q33" s="4"/>
      <c r="R33" s="4"/>
      <c r="S33" s="4"/>
    </row>
    <row r="34" spans="1:19">
      <c r="A34" s="564"/>
      <c r="B34" s="565"/>
      <c r="C34" s="565"/>
      <c r="D34" s="565"/>
      <c r="E34" s="565"/>
      <c r="F34" s="565"/>
      <c r="G34" s="565"/>
      <c r="H34" s="565"/>
      <c r="I34" s="4"/>
      <c r="J34" s="4"/>
      <c r="K34" s="4"/>
      <c r="L34" s="4"/>
      <c r="M34" s="4"/>
      <c r="N34" s="4"/>
      <c r="O34" s="4"/>
      <c r="P34" s="4"/>
      <c r="Q34" s="4"/>
      <c r="R34" s="4"/>
      <c r="S34" s="4"/>
    </row>
    <row r="35" spans="1:19">
      <c r="A35" s="564"/>
      <c r="B35" s="565"/>
      <c r="C35" s="565"/>
      <c r="D35" s="565"/>
      <c r="E35" s="565"/>
      <c r="F35" s="565"/>
      <c r="G35" s="565"/>
      <c r="H35" s="565"/>
      <c r="I35" s="4"/>
      <c r="J35" s="4"/>
      <c r="K35" s="4"/>
      <c r="L35" s="4"/>
      <c r="M35" s="4"/>
      <c r="N35" s="4"/>
      <c r="O35" s="4"/>
      <c r="P35" s="4"/>
      <c r="Q35" s="4"/>
      <c r="R35" s="4"/>
      <c r="S35" s="4"/>
    </row>
    <row r="36" spans="1:19">
      <c r="A36" s="564"/>
      <c r="B36" s="565"/>
      <c r="C36" s="565"/>
      <c r="D36" s="565"/>
      <c r="E36" s="565"/>
      <c r="F36" s="565"/>
      <c r="G36" s="565"/>
      <c r="H36" s="565"/>
      <c r="I36" s="4"/>
      <c r="J36" s="4"/>
      <c r="K36" s="4"/>
      <c r="L36" s="4"/>
      <c r="M36" s="4"/>
      <c r="N36" s="4"/>
      <c r="O36" s="4"/>
      <c r="P36" s="4"/>
      <c r="Q36" s="4"/>
      <c r="R36" s="4"/>
      <c r="S36" s="4"/>
    </row>
    <row r="37" spans="1:19">
      <c r="A37" s="564"/>
      <c r="B37" s="565"/>
      <c r="C37" s="565"/>
      <c r="D37" s="565"/>
      <c r="E37" s="565"/>
      <c r="F37" s="565"/>
      <c r="G37" s="565"/>
      <c r="H37" s="565"/>
      <c r="I37" s="4"/>
      <c r="J37" s="4"/>
      <c r="K37" s="4"/>
      <c r="L37" s="4"/>
      <c r="M37" s="4"/>
      <c r="N37" s="4"/>
      <c r="O37" s="4"/>
      <c r="P37" s="4"/>
      <c r="Q37" s="4"/>
      <c r="R37" s="4"/>
      <c r="S37" s="4"/>
    </row>
    <row r="38" spans="1:19">
      <c r="A38" s="564"/>
      <c r="B38" s="565"/>
      <c r="C38" s="565"/>
      <c r="D38" s="565"/>
      <c r="E38" s="565"/>
      <c r="F38" s="565"/>
      <c r="G38" s="565"/>
      <c r="H38" s="565"/>
      <c r="I38" s="4"/>
      <c r="J38" s="4"/>
      <c r="K38" s="4"/>
      <c r="L38" s="4"/>
      <c r="M38" s="4"/>
      <c r="N38" s="4"/>
      <c r="O38" s="4"/>
      <c r="P38" s="4"/>
      <c r="Q38" s="4"/>
      <c r="R38" s="4"/>
      <c r="S38" s="4"/>
    </row>
    <row r="39" spans="1:19">
      <c r="A39" s="564"/>
      <c r="B39" s="565"/>
      <c r="C39" s="565"/>
      <c r="D39" s="565"/>
      <c r="E39" s="565"/>
      <c r="F39" s="565"/>
      <c r="G39" s="565"/>
      <c r="H39" s="565"/>
      <c r="I39" s="4"/>
      <c r="J39" s="4"/>
      <c r="K39" s="4"/>
      <c r="L39" s="4"/>
      <c r="M39" s="4"/>
      <c r="N39" s="4"/>
      <c r="O39" s="4"/>
      <c r="P39" s="4"/>
      <c r="Q39" s="4"/>
      <c r="R39" s="4"/>
      <c r="S39" s="4"/>
    </row>
    <row r="40" spans="1:19">
      <c r="A40" s="564"/>
      <c r="B40" s="565"/>
      <c r="C40" s="565"/>
      <c r="D40" s="565"/>
      <c r="E40" s="565"/>
      <c r="F40" s="565"/>
      <c r="G40" s="565"/>
      <c r="H40" s="565"/>
      <c r="I40" s="4"/>
      <c r="J40" s="4"/>
      <c r="K40" s="4"/>
      <c r="L40" s="4"/>
      <c r="M40" s="4"/>
      <c r="N40" s="4"/>
      <c r="O40" s="4"/>
      <c r="P40" s="4"/>
      <c r="Q40" s="4"/>
      <c r="R40" s="4"/>
      <c r="S40" s="4"/>
    </row>
    <row r="41" spans="1:19">
      <c r="A41" s="564"/>
      <c r="B41" s="565"/>
      <c r="C41" s="565"/>
      <c r="D41" s="565"/>
      <c r="E41" s="565"/>
      <c r="F41" s="565"/>
      <c r="G41" s="565"/>
      <c r="H41" s="565"/>
      <c r="I41" s="4"/>
      <c r="J41" s="4"/>
      <c r="K41" s="4"/>
      <c r="L41" s="4"/>
      <c r="M41" s="4"/>
      <c r="N41" s="4"/>
      <c r="O41" s="4"/>
      <c r="P41" s="4"/>
      <c r="Q41" s="4"/>
      <c r="R41" s="4"/>
      <c r="S41" s="4"/>
    </row>
    <row r="42" spans="1:19">
      <c r="A42" s="564"/>
      <c r="B42" s="564"/>
      <c r="C42" s="564"/>
      <c r="D42" s="564"/>
      <c r="E42" s="564"/>
      <c r="F42" s="564"/>
      <c r="G42" s="564"/>
      <c r="H42" s="564"/>
    </row>
    <row r="43" spans="1:19">
      <c r="A43" s="564"/>
      <c r="B43" s="564"/>
      <c r="C43" s="564"/>
      <c r="D43" s="564"/>
      <c r="E43" s="564"/>
      <c r="F43" s="564"/>
      <c r="G43" s="564"/>
      <c r="H43" s="564"/>
    </row>
    <row r="44" spans="1:19">
      <c r="A44" s="564"/>
      <c r="B44" s="564"/>
      <c r="C44" s="564"/>
      <c r="D44" s="564"/>
      <c r="E44" s="564"/>
      <c r="F44" s="564"/>
      <c r="G44" s="564"/>
      <c r="H44" s="564"/>
    </row>
    <row r="45" spans="1:19">
      <c r="A45" s="564"/>
      <c r="B45" s="564"/>
      <c r="C45" s="564"/>
      <c r="D45" s="564"/>
      <c r="E45" s="564"/>
      <c r="F45" s="564"/>
      <c r="G45" s="564"/>
      <c r="H45" s="564"/>
    </row>
    <row r="46" spans="1:19">
      <c r="A46" s="564"/>
      <c r="B46" s="564"/>
      <c r="C46" s="564"/>
      <c r="D46" s="564"/>
      <c r="E46" s="564"/>
      <c r="F46" s="564"/>
      <c r="G46" s="564"/>
      <c r="H46" s="564"/>
    </row>
    <row r="47" spans="1:19">
      <c r="A47" s="564"/>
      <c r="B47" s="564"/>
      <c r="C47" s="564"/>
      <c r="D47" s="564"/>
      <c r="E47" s="564"/>
      <c r="F47" s="564"/>
      <c r="G47" s="564"/>
      <c r="H47" s="564"/>
    </row>
    <row r="48" spans="1:19">
      <c r="A48" s="564"/>
      <c r="B48" s="564"/>
      <c r="C48" s="564"/>
      <c r="D48" s="564"/>
      <c r="E48" s="564"/>
      <c r="F48" s="564"/>
      <c r="G48" s="564"/>
      <c r="H48" s="564"/>
    </row>
    <row r="49" spans="1:8">
      <c r="A49" s="564"/>
      <c r="B49" s="564"/>
      <c r="C49" s="564"/>
      <c r="D49" s="564"/>
      <c r="E49" s="564"/>
      <c r="F49" s="564"/>
      <c r="G49" s="564"/>
      <c r="H49" s="564"/>
    </row>
    <row r="50" spans="1:8">
      <c r="A50" s="564"/>
      <c r="B50" s="564"/>
      <c r="C50" s="564"/>
      <c r="D50" s="564"/>
      <c r="E50" s="564"/>
      <c r="F50" s="564"/>
      <c r="G50" s="564"/>
      <c r="H50" s="564"/>
    </row>
  </sheetData>
  <mergeCells count="1">
    <mergeCell ref="B22:H22"/>
  </mergeCells>
  <phoneticPr fontId="7" type="noConversion"/>
  <pageMargins left="0.75" right="0.75" top="1" bottom="1" header="0.5" footer="0.5"/>
  <pageSetup paperSize="9" orientation="portrait"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32"/>
  </sheetPr>
  <dimension ref="A1:BK34"/>
  <sheetViews>
    <sheetView workbookViewId="0">
      <selection activeCell="G35" sqref="G35"/>
    </sheetView>
  </sheetViews>
  <sheetFormatPr defaultRowHeight="12.75"/>
  <sheetData>
    <row r="1" spans="1:63" ht="18">
      <c r="C1" s="307" t="s">
        <v>263</v>
      </c>
    </row>
    <row r="2" spans="1:63">
      <c r="F2" s="308" t="s">
        <v>264</v>
      </c>
    </row>
    <row r="3" spans="1:63">
      <c r="C3" s="309">
        <v>20</v>
      </c>
      <c r="D3" s="309">
        <f t="shared" ref="D3:AI3" si="0">1+C3</f>
        <v>21</v>
      </c>
      <c r="E3" s="309">
        <f t="shared" si="0"/>
        <v>22</v>
      </c>
      <c r="F3" s="309">
        <f t="shared" si="0"/>
        <v>23</v>
      </c>
      <c r="G3" s="309">
        <f t="shared" si="0"/>
        <v>24</v>
      </c>
      <c r="H3" s="309">
        <f t="shared" si="0"/>
        <v>25</v>
      </c>
      <c r="I3" s="309">
        <f t="shared" si="0"/>
        <v>26</v>
      </c>
      <c r="J3" s="309">
        <f t="shared" si="0"/>
        <v>27</v>
      </c>
      <c r="K3" s="309">
        <f t="shared" si="0"/>
        <v>28</v>
      </c>
      <c r="L3" s="309">
        <f t="shared" si="0"/>
        <v>29</v>
      </c>
      <c r="M3" s="309">
        <f t="shared" si="0"/>
        <v>30</v>
      </c>
      <c r="N3" s="309">
        <f t="shared" si="0"/>
        <v>31</v>
      </c>
      <c r="O3" s="309">
        <f t="shared" si="0"/>
        <v>32</v>
      </c>
      <c r="P3" s="309">
        <f t="shared" si="0"/>
        <v>33</v>
      </c>
      <c r="Q3" s="309">
        <f t="shared" si="0"/>
        <v>34</v>
      </c>
      <c r="R3" s="309">
        <f t="shared" si="0"/>
        <v>35</v>
      </c>
      <c r="S3" s="309">
        <f t="shared" si="0"/>
        <v>36</v>
      </c>
      <c r="T3" s="309">
        <f t="shared" si="0"/>
        <v>37</v>
      </c>
      <c r="U3" s="309">
        <f t="shared" si="0"/>
        <v>38</v>
      </c>
      <c r="V3" s="309">
        <f t="shared" si="0"/>
        <v>39</v>
      </c>
      <c r="W3" s="309">
        <f t="shared" si="0"/>
        <v>40</v>
      </c>
      <c r="X3" s="309">
        <f t="shared" si="0"/>
        <v>41</v>
      </c>
      <c r="Y3" s="309">
        <f t="shared" si="0"/>
        <v>42</v>
      </c>
      <c r="Z3" s="309">
        <f t="shared" si="0"/>
        <v>43</v>
      </c>
      <c r="AA3" s="309">
        <f t="shared" si="0"/>
        <v>44</v>
      </c>
      <c r="AB3" s="309">
        <f t="shared" si="0"/>
        <v>45</v>
      </c>
      <c r="AC3" s="309">
        <f t="shared" si="0"/>
        <v>46</v>
      </c>
      <c r="AD3" s="309">
        <f t="shared" si="0"/>
        <v>47</v>
      </c>
      <c r="AE3" s="309">
        <f t="shared" si="0"/>
        <v>48</v>
      </c>
      <c r="AF3" s="309">
        <f t="shared" si="0"/>
        <v>49</v>
      </c>
      <c r="AG3" s="309">
        <f t="shared" si="0"/>
        <v>50</v>
      </c>
      <c r="AH3" s="309">
        <f t="shared" si="0"/>
        <v>51</v>
      </c>
      <c r="AI3" s="309">
        <f t="shared" si="0"/>
        <v>52</v>
      </c>
      <c r="AJ3" s="309">
        <f t="shared" ref="AJ3:BK3" si="1">1+AI3</f>
        <v>53</v>
      </c>
      <c r="AK3" s="309">
        <f t="shared" si="1"/>
        <v>54</v>
      </c>
      <c r="AL3" s="309">
        <f t="shared" si="1"/>
        <v>55</v>
      </c>
      <c r="AM3" s="309">
        <f t="shared" si="1"/>
        <v>56</v>
      </c>
      <c r="AN3" s="309">
        <f t="shared" si="1"/>
        <v>57</v>
      </c>
      <c r="AO3" s="309">
        <f t="shared" si="1"/>
        <v>58</v>
      </c>
      <c r="AP3" s="309">
        <f t="shared" si="1"/>
        <v>59</v>
      </c>
      <c r="AQ3" s="309">
        <f t="shared" si="1"/>
        <v>60</v>
      </c>
      <c r="AR3" s="309">
        <f t="shared" si="1"/>
        <v>61</v>
      </c>
      <c r="AS3" s="309">
        <f t="shared" si="1"/>
        <v>62</v>
      </c>
      <c r="AT3" s="309">
        <f t="shared" si="1"/>
        <v>63</v>
      </c>
      <c r="AU3" s="309">
        <f t="shared" si="1"/>
        <v>64</v>
      </c>
      <c r="AV3" s="309">
        <f t="shared" si="1"/>
        <v>65</v>
      </c>
      <c r="AW3" s="309">
        <f t="shared" si="1"/>
        <v>66</v>
      </c>
      <c r="AX3" s="309">
        <f t="shared" si="1"/>
        <v>67</v>
      </c>
      <c r="AY3" s="309">
        <f t="shared" si="1"/>
        <v>68</v>
      </c>
      <c r="AZ3" s="309">
        <f t="shared" si="1"/>
        <v>69</v>
      </c>
      <c r="BA3" s="309">
        <f t="shared" si="1"/>
        <v>70</v>
      </c>
      <c r="BB3" s="309">
        <f t="shared" si="1"/>
        <v>71</v>
      </c>
      <c r="BC3" s="309">
        <f t="shared" si="1"/>
        <v>72</v>
      </c>
      <c r="BD3" s="309">
        <f t="shared" si="1"/>
        <v>73</v>
      </c>
      <c r="BE3" s="309">
        <f t="shared" si="1"/>
        <v>74</v>
      </c>
      <c r="BF3" s="309">
        <f t="shared" si="1"/>
        <v>75</v>
      </c>
      <c r="BG3" s="309">
        <f t="shared" si="1"/>
        <v>76</v>
      </c>
      <c r="BH3" s="309">
        <f t="shared" si="1"/>
        <v>77</v>
      </c>
      <c r="BI3" s="309">
        <f t="shared" si="1"/>
        <v>78</v>
      </c>
      <c r="BJ3" s="309">
        <f t="shared" si="1"/>
        <v>79</v>
      </c>
      <c r="BK3" s="309">
        <f t="shared" si="1"/>
        <v>80</v>
      </c>
    </row>
    <row r="4" spans="1:63">
      <c r="B4" s="310">
        <v>0.3</v>
      </c>
      <c r="C4" s="24">
        <v>0.378</v>
      </c>
      <c r="D4" s="24">
        <v>0.36629999999999996</v>
      </c>
      <c r="E4" s="24">
        <v>0.35459999999999997</v>
      </c>
      <c r="F4" s="24">
        <v>0.34289999999999998</v>
      </c>
      <c r="G4" s="24">
        <v>0.33119999999999999</v>
      </c>
      <c r="H4" s="24">
        <v>0.31950000000000001</v>
      </c>
      <c r="I4" s="24">
        <v>0.30779999999999996</v>
      </c>
      <c r="J4" s="24">
        <v>0.29610000000000003</v>
      </c>
      <c r="K4" s="24">
        <v>0.28439999999999999</v>
      </c>
      <c r="L4" s="24">
        <v>0.27270000000000005</v>
      </c>
      <c r="M4" s="24">
        <v>0.26100000000000001</v>
      </c>
      <c r="N4" s="24">
        <v>0.25320000000000004</v>
      </c>
      <c r="O4" s="24">
        <v>0.24539999999999998</v>
      </c>
      <c r="P4" s="24">
        <v>0.23760000000000003</v>
      </c>
      <c r="Q4" s="24">
        <v>0.2298</v>
      </c>
      <c r="R4" s="24">
        <v>0.222</v>
      </c>
      <c r="S4" s="24">
        <v>0.2142</v>
      </c>
      <c r="T4" s="24">
        <v>0.20639999999999997</v>
      </c>
      <c r="U4" s="24">
        <v>0.19860000000000003</v>
      </c>
      <c r="V4" s="24">
        <v>0.1908</v>
      </c>
      <c r="W4" s="24">
        <v>0.183</v>
      </c>
      <c r="X4" s="24">
        <v>0.1774</v>
      </c>
      <c r="Y4" s="24">
        <v>0.17180000000000001</v>
      </c>
      <c r="Z4" s="24">
        <v>0.16620000000000001</v>
      </c>
      <c r="AA4" s="24">
        <v>0.16059999999999999</v>
      </c>
      <c r="AB4" s="24">
        <v>0.155</v>
      </c>
      <c r="AC4" s="24">
        <v>0.151</v>
      </c>
      <c r="AD4" s="24">
        <v>0.14699999999999999</v>
      </c>
      <c r="AE4" s="24">
        <v>0.14300000000000002</v>
      </c>
      <c r="AF4" s="24">
        <v>0.13900000000000001</v>
      </c>
      <c r="AG4" s="24">
        <v>0.13500000000000001</v>
      </c>
      <c r="AH4" s="24">
        <v>0.13210000000000002</v>
      </c>
      <c r="AI4" s="24">
        <v>0.12920000000000001</v>
      </c>
      <c r="AJ4" s="24">
        <v>0.12630000000000002</v>
      </c>
      <c r="AK4" s="24">
        <v>0.1234</v>
      </c>
      <c r="AL4" s="24">
        <v>0.1205</v>
      </c>
      <c r="AM4" s="24">
        <v>0.11760000000000001</v>
      </c>
      <c r="AN4" s="24">
        <v>0.1147</v>
      </c>
      <c r="AO4" s="24">
        <v>0.1118</v>
      </c>
      <c r="AP4" s="24">
        <v>0.1089</v>
      </c>
      <c r="AQ4" s="24">
        <v>0.106</v>
      </c>
      <c r="AR4" s="24">
        <v>0.10400000000000001</v>
      </c>
      <c r="AS4" s="24">
        <v>0.10199999999999998</v>
      </c>
      <c r="AT4" s="24">
        <v>0.1</v>
      </c>
      <c r="AU4" s="24">
        <v>9.799999999999999E-2</v>
      </c>
      <c r="AV4" s="24">
        <v>9.6000000000000002E-2</v>
      </c>
      <c r="AW4" s="24">
        <v>9.4E-2</v>
      </c>
      <c r="AX4" s="24">
        <v>9.1999999999999998E-2</v>
      </c>
      <c r="AY4" s="24">
        <v>0.09</v>
      </c>
      <c r="AZ4" s="24">
        <v>8.7999999999999981E-2</v>
      </c>
      <c r="BA4" s="24">
        <v>8.5999999999999993E-2</v>
      </c>
      <c r="BB4" s="24">
        <v>8.48E-2</v>
      </c>
      <c r="BC4" s="24">
        <v>8.359999999999998E-2</v>
      </c>
      <c r="BD4" s="24">
        <v>8.2400000000000001E-2</v>
      </c>
      <c r="BE4" s="24">
        <v>8.1199999999999994E-2</v>
      </c>
      <c r="BF4" s="24">
        <v>0.08</v>
      </c>
      <c r="BG4" s="24">
        <v>7.8800000000000009E-2</v>
      </c>
      <c r="BH4" s="24">
        <v>7.7600000000000002E-2</v>
      </c>
      <c r="BI4" s="24">
        <v>7.6399999999999996E-2</v>
      </c>
      <c r="BJ4" s="24">
        <v>7.5199999999999989E-2</v>
      </c>
      <c r="BK4" s="24">
        <v>7.3999999999999996E-2</v>
      </c>
    </row>
    <row r="5" spans="1:63">
      <c r="B5" s="310">
        <v>0.31</v>
      </c>
      <c r="C5" s="24">
        <v>0.3866</v>
      </c>
      <c r="D5" s="24">
        <v>0.37469999999999998</v>
      </c>
      <c r="E5" s="24">
        <v>0.36280000000000001</v>
      </c>
      <c r="F5" s="24">
        <v>0.35089999999999999</v>
      </c>
      <c r="G5" s="24">
        <v>0.33900000000000002</v>
      </c>
      <c r="H5" s="24">
        <v>0.3271</v>
      </c>
      <c r="I5" s="24">
        <v>0.31520000000000004</v>
      </c>
      <c r="J5" s="24">
        <v>0.30330000000000001</v>
      </c>
      <c r="K5" s="24">
        <v>0.29139999999999999</v>
      </c>
      <c r="L5" s="24">
        <v>0.27950000000000003</v>
      </c>
      <c r="M5" s="24">
        <v>0.2676</v>
      </c>
      <c r="N5" s="24">
        <v>0.25963999999999998</v>
      </c>
      <c r="O5" s="24">
        <v>0.25168000000000001</v>
      </c>
      <c r="P5" s="24">
        <v>0.24371999999999999</v>
      </c>
      <c r="Q5" s="24">
        <v>0.23576000000000003</v>
      </c>
      <c r="R5" s="24">
        <v>0.2278</v>
      </c>
      <c r="S5" s="24">
        <v>0.21983999999999998</v>
      </c>
      <c r="T5" s="24">
        <v>0.21187999999999996</v>
      </c>
      <c r="U5" s="24">
        <v>0.20392000000000002</v>
      </c>
      <c r="V5" s="24">
        <v>0.19596000000000002</v>
      </c>
      <c r="W5" s="24">
        <v>0.188</v>
      </c>
      <c r="X5" s="24">
        <v>0.18228</v>
      </c>
      <c r="Y5" s="24">
        <v>0.17655999999999999</v>
      </c>
      <c r="Z5" s="24">
        <v>0.17083999999999999</v>
      </c>
      <c r="AA5" s="24">
        <v>0.16511999999999999</v>
      </c>
      <c r="AB5" s="24">
        <v>0.15939999999999999</v>
      </c>
      <c r="AC5" s="24">
        <v>0.15528</v>
      </c>
      <c r="AD5" s="24">
        <v>0.15115999999999999</v>
      </c>
      <c r="AE5" s="24">
        <v>0.14704</v>
      </c>
      <c r="AF5" s="24">
        <v>0.14292000000000002</v>
      </c>
      <c r="AG5" s="24">
        <v>0.13880000000000001</v>
      </c>
      <c r="AH5" s="24">
        <v>0.13582000000000002</v>
      </c>
      <c r="AI5" s="24">
        <v>0.13284000000000001</v>
      </c>
      <c r="AJ5" s="24">
        <v>0.12986</v>
      </c>
      <c r="AK5" s="24">
        <v>0.12687999999999999</v>
      </c>
      <c r="AL5" s="24">
        <v>0.1239</v>
      </c>
      <c r="AM5" s="24">
        <v>0.12092000000000001</v>
      </c>
      <c r="AN5" s="24">
        <v>0.11793999999999999</v>
      </c>
      <c r="AO5" s="24">
        <v>0.11496000000000001</v>
      </c>
      <c r="AP5" s="24">
        <v>0.11197999999999997</v>
      </c>
      <c r="AQ5" s="24">
        <v>0.10899999999999999</v>
      </c>
      <c r="AR5" s="24">
        <v>0.10693999999999999</v>
      </c>
      <c r="AS5" s="24">
        <v>0.10487999999999999</v>
      </c>
      <c r="AT5" s="24">
        <v>0.10281999999999999</v>
      </c>
      <c r="AU5" s="24">
        <v>0.10075999999999999</v>
      </c>
      <c r="AV5" s="24">
        <v>9.8699999999999982E-2</v>
      </c>
      <c r="AW5" s="24">
        <v>9.6640000000000004E-2</v>
      </c>
      <c r="AX5" s="24">
        <v>9.4579999999999997E-2</v>
      </c>
      <c r="AY5" s="24">
        <v>9.2519999999999991E-2</v>
      </c>
      <c r="AZ5" s="24">
        <v>9.0459999999999985E-2</v>
      </c>
      <c r="BA5" s="24">
        <v>8.8399999999999992E-2</v>
      </c>
      <c r="BB5" s="24">
        <v>8.7179999999999994E-2</v>
      </c>
      <c r="BC5" s="24">
        <v>8.5959999999999995E-2</v>
      </c>
      <c r="BD5" s="24">
        <v>8.4739999999999996E-2</v>
      </c>
      <c r="BE5" s="24">
        <v>8.3519999999999983E-2</v>
      </c>
      <c r="BF5" s="24">
        <v>8.2299999999999984E-2</v>
      </c>
      <c r="BG5" s="24">
        <v>8.1079999999999999E-2</v>
      </c>
      <c r="BH5" s="24">
        <v>7.9859999999999987E-2</v>
      </c>
      <c r="BI5" s="24">
        <v>7.8639999999999988E-2</v>
      </c>
      <c r="BJ5" s="24">
        <v>7.7419999999999989E-2</v>
      </c>
      <c r="BK5" s="24">
        <v>7.619999999999999E-2</v>
      </c>
    </row>
    <row r="6" spans="1:63">
      <c r="B6" s="310">
        <v>0.32</v>
      </c>
      <c r="C6" s="24">
        <v>0.3952</v>
      </c>
      <c r="D6" s="24">
        <v>0.38309999999999994</v>
      </c>
      <c r="E6" s="24">
        <v>0.371</v>
      </c>
      <c r="F6" s="24">
        <v>0.3589</v>
      </c>
      <c r="G6" s="24">
        <v>0.3468</v>
      </c>
      <c r="H6" s="24">
        <v>0.3347</v>
      </c>
      <c r="I6" s="24">
        <v>0.3226</v>
      </c>
      <c r="J6" s="24">
        <v>0.3105</v>
      </c>
      <c r="K6" s="24">
        <v>0.2984</v>
      </c>
      <c r="L6" s="24">
        <v>0.2863</v>
      </c>
      <c r="M6" s="24">
        <v>0.2742</v>
      </c>
      <c r="N6" s="24">
        <v>0.26607999999999998</v>
      </c>
      <c r="O6" s="24">
        <v>0.25795999999999997</v>
      </c>
      <c r="P6" s="24">
        <v>0.24984000000000001</v>
      </c>
      <c r="Q6" s="24">
        <v>0.24172000000000002</v>
      </c>
      <c r="R6" s="24">
        <v>0.2336</v>
      </c>
      <c r="S6" s="24">
        <v>0.22547999999999999</v>
      </c>
      <c r="T6" s="24">
        <v>0.21735999999999997</v>
      </c>
      <c r="U6" s="24">
        <v>0.20924000000000004</v>
      </c>
      <c r="V6" s="24">
        <v>0.20112000000000002</v>
      </c>
      <c r="W6" s="24">
        <v>0.193</v>
      </c>
      <c r="X6" s="24">
        <v>0.18716000000000002</v>
      </c>
      <c r="Y6" s="24">
        <v>0.18131999999999998</v>
      </c>
      <c r="Z6" s="24">
        <v>0.17548000000000002</v>
      </c>
      <c r="AA6" s="24">
        <v>0.16964000000000001</v>
      </c>
      <c r="AB6" s="24">
        <v>0.1638</v>
      </c>
      <c r="AC6" s="24">
        <v>0.15955999999999998</v>
      </c>
      <c r="AD6" s="24">
        <v>0.15531999999999999</v>
      </c>
      <c r="AE6" s="24">
        <v>0.15108000000000002</v>
      </c>
      <c r="AF6" s="24">
        <v>0.14684</v>
      </c>
      <c r="AG6" s="24">
        <v>0.1426</v>
      </c>
      <c r="AH6" s="24">
        <v>0.13954000000000003</v>
      </c>
      <c r="AI6" s="24">
        <v>0.13647999999999999</v>
      </c>
      <c r="AJ6" s="24">
        <v>0.13342000000000001</v>
      </c>
      <c r="AK6" s="24">
        <v>0.13036</v>
      </c>
      <c r="AL6" s="24">
        <v>0.1273</v>
      </c>
      <c r="AM6" s="24">
        <v>0.12424000000000002</v>
      </c>
      <c r="AN6" s="24">
        <v>0.12118000000000001</v>
      </c>
      <c r="AO6" s="24">
        <v>0.11812000000000002</v>
      </c>
      <c r="AP6" s="24">
        <v>0.11506</v>
      </c>
      <c r="AQ6" s="24">
        <v>0.112</v>
      </c>
      <c r="AR6" s="24">
        <v>0.10988000000000001</v>
      </c>
      <c r="AS6" s="24">
        <v>0.10775999999999999</v>
      </c>
      <c r="AT6" s="24">
        <v>0.10564000000000001</v>
      </c>
      <c r="AU6" s="24">
        <v>0.10352</v>
      </c>
      <c r="AV6" s="24">
        <v>0.10139999999999999</v>
      </c>
      <c r="AW6" s="24">
        <v>9.9280000000000007E-2</v>
      </c>
      <c r="AX6" s="24">
        <v>9.7159999999999996E-2</v>
      </c>
      <c r="AY6" s="24">
        <v>9.5039999999999999E-2</v>
      </c>
      <c r="AZ6" s="24">
        <v>9.2919999999999989E-2</v>
      </c>
      <c r="BA6" s="24">
        <v>9.0799999999999992E-2</v>
      </c>
      <c r="BB6" s="24">
        <v>8.9560000000000001E-2</v>
      </c>
      <c r="BC6" s="24">
        <v>8.8319999999999996E-2</v>
      </c>
      <c r="BD6" s="24">
        <v>8.7079999999999991E-2</v>
      </c>
      <c r="BE6" s="24">
        <v>8.584E-2</v>
      </c>
      <c r="BF6" s="24">
        <v>8.4599999999999995E-2</v>
      </c>
      <c r="BG6" s="24">
        <v>8.335999999999999E-2</v>
      </c>
      <c r="BH6" s="24">
        <v>8.2119999999999999E-2</v>
      </c>
      <c r="BI6" s="24">
        <v>8.0879999999999994E-2</v>
      </c>
      <c r="BJ6" s="24">
        <v>7.9639999999999989E-2</v>
      </c>
      <c r="BK6" s="24">
        <v>7.8399999999999997E-2</v>
      </c>
    </row>
    <row r="7" spans="1:63">
      <c r="B7" s="310">
        <v>0.33</v>
      </c>
      <c r="C7" s="24">
        <v>0.40379999999999994</v>
      </c>
      <c r="D7" s="24">
        <v>0.39149999999999996</v>
      </c>
      <c r="E7" s="24">
        <v>0.37919999999999998</v>
      </c>
      <c r="F7" s="24">
        <v>0.36689999999999989</v>
      </c>
      <c r="G7" s="24">
        <v>0.35459999999999997</v>
      </c>
      <c r="H7" s="24">
        <v>0.34229999999999994</v>
      </c>
      <c r="I7" s="24">
        <v>0.33</v>
      </c>
      <c r="J7" s="24">
        <v>0.31769999999999998</v>
      </c>
      <c r="K7" s="24">
        <v>0.3054</v>
      </c>
      <c r="L7" s="24">
        <v>0.29309999999999997</v>
      </c>
      <c r="M7" s="24">
        <v>0.28079999999999999</v>
      </c>
      <c r="N7" s="24">
        <v>0.27251999999999998</v>
      </c>
      <c r="O7" s="24">
        <v>0.26423999999999997</v>
      </c>
      <c r="P7" s="24">
        <v>0.25596000000000002</v>
      </c>
      <c r="Q7" s="24">
        <v>0.24768000000000001</v>
      </c>
      <c r="R7" s="24">
        <v>0.2394</v>
      </c>
      <c r="S7" s="24">
        <v>0.23111999999999999</v>
      </c>
      <c r="T7" s="24">
        <v>0.22283999999999998</v>
      </c>
      <c r="U7" s="24">
        <v>0.21456</v>
      </c>
      <c r="V7" s="24">
        <v>0.20627999999999999</v>
      </c>
      <c r="W7" s="24">
        <v>0.19799999999999998</v>
      </c>
      <c r="X7" s="24">
        <v>0.19203999999999999</v>
      </c>
      <c r="Y7" s="24">
        <v>0.18607999999999997</v>
      </c>
      <c r="Z7" s="24">
        <v>0.18012</v>
      </c>
      <c r="AA7" s="24">
        <v>0.17415999999999998</v>
      </c>
      <c r="AB7" s="24">
        <v>0.16819999999999999</v>
      </c>
      <c r="AC7" s="24">
        <v>0.16383999999999999</v>
      </c>
      <c r="AD7" s="24">
        <v>0.15947999999999998</v>
      </c>
      <c r="AE7" s="24">
        <v>0.15512000000000001</v>
      </c>
      <c r="AF7" s="24">
        <v>0.15076000000000001</v>
      </c>
      <c r="AG7" s="24">
        <v>0.1464</v>
      </c>
      <c r="AH7" s="24">
        <v>0.14326</v>
      </c>
      <c r="AI7" s="24">
        <v>0.14011999999999999</v>
      </c>
      <c r="AJ7" s="24">
        <v>0.13697999999999999</v>
      </c>
      <c r="AK7" s="24">
        <v>0.13383999999999999</v>
      </c>
      <c r="AL7" s="24">
        <v>0.13069999999999998</v>
      </c>
      <c r="AM7" s="24">
        <v>0.12756000000000001</v>
      </c>
      <c r="AN7" s="24">
        <v>0.12441999999999999</v>
      </c>
      <c r="AO7" s="24">
        <v>0.12128</v>
      </c>
      <c r="AP7" s="24">
        <v>0.11813999999999998</v>
      </c>
      <c r="AQ7" s="24">
        <v>0.115</v>
      </c>
      <c r="AR7" s="24">
        <v>0.11282</v>
      </c>
      <c r="AS7" s="24">
        <v>0.11063999999999999</v>
      </c>
      <c r="AT7" s="24">
        <v>0.10846</v>
      </c>
      <c r="AU7" s="24">
        <v>0.10627999999999999</v>
      </c>
      <c r="AV7" s="24">
        <v>0.1041</v>
      </c>
      <c r="AW7" s="24">
        <v>0.10192000000000001</v>
      </c>
      <c r="AX7" s="24">
        <v>9.9739999999999995E-2</v>
      </c>
      <c r="AY7" s="24">
        <v>9.7560000000000008E-2</v>
      </c>
      <c r="AZ7" s="24">
        <v>9.5379999999999993E-2</v>
      </c>
      <c r="BA7" s="24">
        <v>9.3200000000000005E-2</v>
      </c>
      <c r="BB7" s="24">
        <v>9.1940000000000008E-2</v>
      </c>
      <c r="BC7" s="24">
        <v>9.0680000000000011E-2</v>
      </c>
      <c r="BD7" s="24">
        <v>8.9419999999999999E-2</v>
      </c>
      <c r="BE7" s="24">
        <v>8.8160000000000002E-2</v>
      </c>
      <c r="BF7" s="24">
        <v>8.6900000000000005E-2</v>
      </c>
      <c r="BG7" s="24">
        <v>8.5640000000000008E-2</v>
      </c>
      <c r="BH7" s="24">
        <v>8.4380000000000011E-2</v>
      </c>
      <c r="BI7" s="24">
        <v>8.3120000000000013E-2</v>
      </c>
      <c r="BJ7" s="24">
        <v>8.1860000000000002E-2</v>
      </c>
      <c r="BK7" s="24">
        <v>8.0600000000000005E-2</v>
      </c>
    </row>
    <row r="8" spans="1:63">
      <c r="B8" s="310">
        <v>0.34</v>
      </c>
      <c r="C8" s="24">
        <v>0.41239999999999999</v>
      </c>
      <c r="D8" s="24">
        <v>0.39989999999999998</v>
      </c>
      <c r="E8" s="24">
        <v>0.38739999999999997</v>
      </c>
      <c r="F8" s="24">
        <v>0.37490000000000001</v>
      </c>
      <c r="G8" s="24">
        <v>0.3624</v>
      </c>
      <c r="H8" s="24">
        <v>0.34989999999999999</v>
      </c>
      <c r="I8" s="24">
        <v>0.33739999999999998</v>
      </c>
      <c r="J8" s="24">
        <v>0.32489999999999997</v>
      </c>
      <c r="K8" s="24">
        <v>0.31240000000000001</v>
      </c>
      <c r="L8" s="24">
        <v>0.2999</v>
      </c>
      <c r="M8" s="24">
        <v>0.28739999999999999</v>
      </c>
      <c r="N8" s="24">
        <v>0.27895999999999999</v>
      </c>
      <c r="O8" s="24">
        <v>0.27051999999999998</v>
      </c>
      <c r="P8" s="24">
        <v>0.26208000000000004</v>
      </c>
      <c r="Q8" s="24">
        <v>0.25363999999999998</v>
      </c>
      <c r="R8" s="24">
        <v>0.24519999999999997</v>
      </c>
      <c r="S8" s="24">
        <v>0.23675999999999997</v>
      </c>
      <c r="T8" s="24">
        <v>0.22831999999999997</v>
      </c>
      <c r="U8" s="24">
        <v>0.21988000000000002</v>
      </c>
      <c r="V8" s="24">
        <v>0.21143999999999999</v>
      </c>
      <c r="W8" s="24">
        <v>0.20299999999999999</v>
      </c>
      <c r="X8" s="24">
        <v>0.19691999999999998</v>
      </c>
      <c r="Y8" s="24">
        <v>0.19083999999999998</v>
      </c>
      <c r="Z8" s="24">
        <v>0.18475999999999998</v>
      </c>
      <c r="AA8" s="24">
        <v>0.17867999999999998</v>
      </c>
      <c r="AB8" s="24">
        <v>0.17259999999999998</v>
      </c>
      <c r="AC8" s="24">
        <v>0.16811999999999999</v>
      </c>
      <c r="AD8" s="24">
        <v>0.16363999999999998</v>
      </c>
      <c r="AE8" s="24">
        <v>0.15916</v>
      </c>
      <c r="AF8" s="24">
        <v>0.15467999999999998</v>
      </c>
      <c r="AG8" s="24">
        <v>0.1502</v>
      </c>
      <c r="AH8" s="24">
        <v>0.14698</v>
      </c>
      <c r="AI8" s="24">
        <v>0.14376</v>
      </c>
      <c r="AJ8" s="24">
        <v>0.14054</v>
      </c>
      <c r="AK8" s="24">
        <v>0.13732</v>
      </c>
      <c r="AL8" s="24">
        <v>0.1341</v>
      </c>
      <c r="AM8" s="24">
        <v>0.13088</v>
      </c>
      <c r="AN8" s="24">
        <v>0.12766</v>
      </c>
      <c r="AO8" s="24">
        <v>0.12444</v>
      </c>
      <c r="AP8" s="24">
        <v>0.12121999999999998</v>
      </c>
      <c r="AQ8" s="24">
        <v>0.11799999999999999</v>
      </c>
      <c r="AR8" s="24">
        <v>0.11576</v>
      </c>
      <c r="AS8" s="24">
        <v>0.11351999999999998</v>
      </c>
      <c r="AT8" s="24">
        <v>0.11128</v>
      </c>
      <c r="AU8" s="24">
        <v>0.10904</v>
      </c>
      <c r="AV8" s="24">
        <v>0.10679999999999999</v>
      </c>
      <c r="AW8" s="24">
        <v>0.10456</v>
      </c>
      <c r="AX8" s="24">
        <v>0.10231999999999999</v>
      </c>
      <c r="AY8" s="24">
        <v>0.10008</v>
      </c>
      <c r="AZ8" s="24">
        <v>9.7839999999999983E-2</v>
      </c>
      <c r="BA8" s="24">
        <v>9.5599999999999991E-2</v>
      </c>
      <c r="BB8" s="24">
        <v>9.4319999999999987E-2</v>
      </c>
      <c r="BC8" s="24">
        <v>9.3039999999999998E-2</v>
      </c>
      <c r="BD8" s="24">
        <v>9.1759999999999994E-2</v>
      </c>
      <c r="BE8" s="24">
        <v>9.0479999999999991E-2</v>
      </c>
      <c r="BF8" s="24">
        <v>8.9200000000000002E-2</v>
      </c>
      <c r="BG8" s="24">
        <v>8.7919999999999998E-2</v>
      </c>
      <c r="BH8" s="24">
        <v>8.6639999999999995E-2</v>
      </c>
      <c r="BI8" s="24">
        <v>8.5359999999999991E-2</v>
      </c>
      <c r="BJ8" s="24">
        <v>8.4079999999999988E-2</v>
      </c>
      <c r="BK8" s="24">
        <v>8.2799999999999999E-2</v>
      </c>
    </row>
    <row r="9" spans="1:63">
      <c r="B9" s="310">
        <v>0.35</v>
      </c>
      <c r="C9" s="24">
        <v>0.42099999999999999</v>
      </c>
      <c r="D9" s="24">
        <v>0.4083</v>
      </c>
      <c r="E9" s="24">
        <v>0.39559999999999995</v>
      </c>
      <c r="F9" s="24">
        <v>0.38289999999999996</v>
      </c>
      <c r="G9" s="24">
        <v>0.37020000000000003</v>
      </c>
      <c r="H9" s="24">
        <v>0.35749999999999998</v>
      </c>
      <c r="I9" s="24">
        <v>0.3448</v>
      </c>
      <c r="J9" s="24">
        <v>0.33210000000000001</v>
      </c>
      <c r="K9" s="24">
        <v>0.31939999999999996</v>
      </c>
      <c r="L9" s="24">
        <v>0.30669999999999997</v>
      </c>
      <c r="M9" s="24">
        <v>0.29399999999999998</v>
      </c>
      <c r="N9" s="24">
        <v>0.28539999999999999</v>
      </c>
      <c r="O9" s="24">
        <v>0.27679999999999999</v>
      </c>
      <c r="P9" s="24">
        <v>0.26819999999999999</v>
      </c>
      <c r="Q9" s="24">
        <v>0.2596</v>
      </c>
      <c r="R9" s="24">
        <v>0.251</v>
      </c>
      <c r="S9" s="24">
        <v>0.24239999999999998</v>
      </c>
      <c r="T9" s="24">
        <v>0.23379999999999998</v>
      </c>
      <c r="U9" s="24">
        <v>0.22520000000000001</v>
      </c>
      <c r="V9" s="24">
        <v>0.21660000000000001</v>
      </c>
      <c r="W9" s="24">
        <v>0.20799999999999999</v>
      </c>
      <c r="X9" s="24">
        <v>0.20179999999999998</v>
      </c>
      <c r="Y9" s="24">
        <v>0.1956</v>
      </c>
      <c r="Z9" s="24">
        <v>0.18940000000000001</v>
      </c>
      <c r="AA9" s="24">
        <v>0.18319999999999997</v>
      </c>
      <c r="AB9" s="24">
        <v>0.17699999999999999</v>
      </c>
      <c r="AC9" s="24">
        <v>0.17239999999999997</v>
      </c>
      <c r="AD9" s="24">
        <v>0.16779999999999998</v>
      </c>
      <c r="AE9" s="24">
        <v>0.16320000000000001</v>
      </c>
      <c r="AF9" s="24">
        <v>0.15860000000000002</v>
      </c>
      <c r="AG9" s="24">
        <v>0.154</v>
      </c>
      <c r="AH9" s="24">
        <v>0.1507</v>
      </c>
      <c r="AI9" s="24">
        <v>0.1474</v>
      </c>
      <c r="AJ9" s="24">
        <v>0.14410000000000001</v>
      </c>
      <c r="AK9" s="24">
        <v>0.14079999999999998</v>
      </c>
      <c r="AL9" s="24">
        <v>0.13750000000000001</v>
      </c>
      <c r="AM9" s="24">
        <v>0.13420000000000001</v>
      </c>
      <c r="AN9" s="24">
        <v>0.13089999999999999</v>
      </c>
      <c r="AO9" s="24">
        <v>0.12759999999999999</v>
      </c>
      <c r="AP9" s="24">
        <v>0.12429999999999998</v>
      </c>
      <c r="AQ9" s="24">
        <v>0.121</v>
      </c>
      <c r="AR9" s="24">
        <v>0.1187</v>
      </c>
      <c r="AS9" s="24">
        <v>0.11639999999999999</v>
      </c>
      <c r="AT9" s="24">
        <v>0.11410000000000001</v>
      </c>
      <c r="AU9" s="24">
        <v>0.11179999999999998</v>
      </c>
      <c r="AV9" s="24">
        <v>0.1095</v>
      </c>
      <c r="AW9" s="24">
        <v>0.10720000000000002</v>
      </c>
      <c r="AX9" s="24">
        <v>0.10489999999999999</v>
      </c>
      <c r="AY9" s="24">
        <v>0.1026</v>
      </c>
      <c r="AZ9" s="24">
        <v>0.1003</v>
      </c>
      <c r="BA9" s="24">
        <v>9.8000000000000004E-2</v>
      </c>
      <c r="BB9" s="24">
        <v>9.6700000000000008E-2</v>
      </c>
      <c r="BC9" s="24">
        <v>9.5399999999999999E-2</v>
      </c>
      <c r="BD9" s="24">
        <v>9.4100000000000017E-2</v>
      </c>
      <c r="BE9" s="24">
        <v>9.2799999999999994E-2</v>
      </c>
      <c r="BF9" s="24">
        <v>9.1499999999999998E-2</v>
      </c>
      <c r="BG9" s="24">
        <v>9.0200000000000002E-2</v>
      </c>
      <c r="BH9" s="24">
        <v>8.8900000000000007E-2</v>
      </c>
      <c r="BI9" s="24">
        <v>8.7600000000000011E-2</v>
      </c>
      <c r="BJ9" s="24">
        <v>8.6300000000000002E-2</v>
      </c>
      <c r="BK9" s="24">
        <v>8.5000000000000006E-2</v>
      </c>
    </row>
    <row r="10" spans="1:63">
      <c r="B10" s="310">
        <v>0.36</v>
      </c>
      <c r="C10" s="24">
        <v>0.42880000000000001</v>
      </c>
      <c r="D10" s="24">
        <v>0.41596</v>
      </c>
      <c r="E10" s="24">
        <v>0.40311999999999998</v>
      </c>
      <c r="F10" s="24">
        <v>0.39028000000000002</v>
      </c>
      <c r="G10" s="24">
        <v>0.37744000000000005</v>
      </c>
      <c r="H10" s="24">
        <v>0.36460000000000004</v>
      </c>
      <c r="I10" s="24">
        <v>0.35176000000000002</v>
      </c>
      <c r="J10" s="24">
        <v>0.33892</v>
      </c>
      <c r="K10" s="24">
        <v>0.32607999999999998</v>
      </c>
      <c r="L10" s="24">
        <v>0.31324000000000002</v>
      </c>
      <c r="M10" s="24">
        <v>0.3004</v>
      </c>
      <c r="N10" s="24">
        <v>0.29164000000000001</v>
      </c>
      <c r="O10" s="24">
        <v>0.28288000000000002</v>
      </c>
      <c r="P10" s="24">
        <v>0.27412000000000003</v>
      </c>
      <c r="Q10" s="24">
        <v>0.26536000000000004</v>
      </c>
      <c r="R10" s="24">
        <v>0.25659999999999999</v>
      </c>
      <c r="S10" s="24">
        <v>0.24784</v>
      </c>
      <c r="T10" s="24">
        <v>0.23907999999999999</v>
      </c>
      <c r="U10" s="24">
        <v>0.23032000000000002</v>
      </c>
      <c r="V10" s="24">
        <v>0.22156000000000003</v>
      </c>
      <c r="W10" s="24">
        <v>0.21280000000000002</v>
      </c>
      <c r="X10" s="24">
        <v>0.20648</v>
      </c>
      <c r="Y10" s="24">
        <v>0.20016</v>
      </c>
      <c r="Z10" s="24">
        <v>0.19383999999999998</v>
      </c>
      <c r="AA10" s="24">
        <v>0.18751999999999999</v>
      </c>
      <c r="AB10" s="24">
        <v>0.18119999999999997</v>
      </c>
      <c r="AC10" s="24">
        <v>0.17647999999999997</v>
      </c>
      <c r="AD10" s="24">
        <v>0.17175999999999997</v>
      </c>
      <c r="AE10" s="24">
        <v>0.16704000000000002</v>
      </c>
      <c r="AF10" s="24">
        <v>0.16232000000000002</v>
      </c>
      <c r="AG10" s="24">
        <v>0.15760000000000002</v>
      </c>
      <c r="AH10" s="24">
        <v>0.15424000000000004</v>
      </c>
      <c r="AI10" s="24">
        <v>0.15088000000000001</v>
      </c>
      <c r="AJ10" s="24">
        <v>0.14752000000000001</v>
      </c>
      <c r="AK10" s="24">
        <v>0.14416000000000001</v>
      </c>
      <c r="AL10" s="24">
        <v>0.14080000000000001</v>
      </c>
      <c r="AM10" s="24">
        <v>0.13744000000000001</v>
      </c>
      <c r="AN10" s="24">
        <v>0.13407999999999998</v>
      </c>
      <c r="AO10" s="24">
        <v>0.13072</v>
      </c>
      <c r="AP10" s="24">
        <v>0.12736</v>
      </c>
      <c r="AQ10" s="24">
        <v>0.124</v>
      </c>
      <c r="AR10" s="24">
        <v>0.12166</v>
      </c>
      <c r="AS10" s="24">
        <v>0.11932</v>
      </c>
      <c r="AT10" s="24">
        <v>0.11698</v>
      </c>
      <c r="AU10" s="24">
        <v>0.11463999999999999</v>
      </c>
      <c r="AV10" s="24">
        <v>0.1123</v>
      </c>
      <c r="AW10" s="24">
        <v>0.10996</v>
      </c>
      <c r="AX10" s="24">
        <v>0.10761999999999999</v>
      </c>
      <c r="AY10" s="24">
        <v>0.10528000000000001</v>
      </c>
      <c r="AZ10" s="24">
        <v>0.10293999999999999</v>
      </c>
      <c r="BA10" s="24">
        <v>0.10059999999999999</v>
      </c>
      <c r="BB10" s="24">
        <v>9.9260000000000015E-2</v>
      </c>
      <c r="BC10" s="24">
        <v>9.7920000000000007E-2</v>
      </c>
      <c r="BD10" s="24">
        <v>9.6579999999999999E-2</v>
      </c>
      <c r="BE10" s="24">
        <v>9.5239999999999991E-2</v>
      </c>
      <c r="BF10" s="24">
        <v>9.3900000000000011E-2</v>
      </c>
      <c r="BG10" s="24">
        <v>9.2560000000000003E-2</v>
      </c>
      <c r="BH10" s="24">
        <v>9.1220000000000009E-2</v>
      </c>
      <c r="BI10" s="24">
        <v>8.9880000000000002E-2</v>
      </c>
      <c r="BJ10" s="24">
        <v>8.8540000000000008E-2</v>
      </c>
      <c r="BK10" s="24">
        <v>8.7200000000000014E-2</v>
      </c>
    </row>
    <row r="11" spans="1:63">
      <c r="B11" s="310">
        <v>0.37</v>
      </c>
      <c r="C11" s="24">
        <v>0.43659999999999999</v>
      </c>
      <c r="D11" s="24">
        <v>0.42362</v>
      </c>
      <c r="E11" s="24">
        <v>0.41064000000000001</v>
      </c>
      <c r="F11" s="24">
        <v>0.39765999999999996</v>
      </c>
      <c r="G11" s="24">
        <v>0.38468000000000002</v>
      </c>
      <c r="H11" s="24">
        <v>0.37170000000000003</v>
      </c>
      <c r="I11" s="24">
        <v>0.35872000000000004</v>
      </c>
      <c r="J11" s="24">
        <v>0.34574000000000005</v>
      </c>
      <c r="K11" s="24">
        <v>0.33276</v>
      </c>
      <c r="L11" s="24">
        <v>0.31978000000000001</v>
      </c>
      <c r="M11" s="24">
        <v>0.30680000000000002</v>
      </c>
      <c r="N11" s="24">
        <v>0.29787999999999998</v>
      </c>
      <c r="O11" s="24">
        <v>0.28895999999999999</v>
      </c>
      <c r="P11" s="24">
        <v>0.28004000000000001</v>
      </c>
      <c r="Q11" s="24">
        <v>0.27112000000000003</v>
      </c>
      <c r="R11" s="24">
        <v>0.26219999999999999</v>
      </c>
      <c r="S11" s="24">
        <v>0.25328000000000001</v>
      </c>
      <c r="T11" s="24">
        <v>0.24435999999999999</v>
      </c>
      <c r="U11" s="24">
        <v>0.23544000000000001</v>
      </c>
      <c r="V11" s="24">
        <v>0.22652</v>
      </c>
      <c r="W11" s="24">
        <v>0.21759999999999999</v>
      </c>
      <c r="X11" s="24">
        <v>0.21115999999999999</v>
      </c>
      <c r="Y11" s="24">
        <v>0.20472000000000001</v>
      </c>
      <c r="Z11" s="24">
        <v>0.19828000000000001</v>
      </c>
      <c r="AA11" s="24">
        <v>0.19184000000000001</v>
      </c>
      <c r="AB11" s="24">
        <v>0.18540000000000001</v>
      </c>
      <c r="AC11" s="24">
        <v>0.18056</v>
      </c>
      <c r="AD11" s="24">
        <v>0.17571999999999999</v>
      </c>
      <c r="AE11" s="24">
        <v>0.17088</v>
      </c>
      <c r="AF11" s="24">
        <v>0.16603999999999999</v>
      </c>
      <c r="AG11" s="24">
        <v>0.16119999999999998</v>
      </c>
      <c r="AH11" s="24">
        <v>0.15778</v>
      </c>
      <c r="AI11" s="24">
        <v>0.15436</v>
      </c>
      <c r="AJ11" s="24">
        <v>0.15093999999999999</v>
      </c>
      <c r="AK11" s="24">
        <v>0.14751999999999998</v>
      </c>
      <c r="AL11" s="24">
        <v>0.14410000000000001</v>
      </c>
      <c r="AM11" s="24">
        <v>0.14068000000000003</v>
      </c>
      <c r="AN11" s="24">
        <v>0.13725999999999999</v>
      </c>
      <c r="AO11" s="24">
        <v>0.13384000000000001</v>
      </c>
      <c r="AP11" s="24">
        <v>0.13041999999999998</v>
      </c>
      <c r="AQ11" s="24">
        <v>0.127</v>
      </c>
      <c r="AR11" s="24">
        <v>0.12462000000000001</v>
      </c>
      <c r="AS11" s="24">
        <v>0.12224</v>
      </c>
      <c r="AT11" s="24">
        <v>0.11985999999999999</v>
      </c>
      <c r="AU11" s="24">
        <v>0.11748</v>
      </c>
      <c r="AV11" s="24">
        <v>0.11510000000000001</v>
      </c>
      <c r="AW11" s="24">
        <v>0.11272000000000001</v>
      </c>
      <c r="AX11" s="24">
        <v>0.11033999999999999</v>
      </c>
      <c r="AY11" s="24">
        <v>0.10796</v>
      </c>
      <c r="AZ11" s="24">
        <v>0.10557999999999998</v>
      </c>
      <c r="BA11" s="24">
        <v>0.1032</v>
      </c>
      <c r="BB11" s="24">
        <v>0.10181999999999999</v>
      </c>
      <c r="BC11" s="24">
        <v>0.10044</v>
      </c>
      <c r="BD11" s="24">
        <v>9.9059999999999995E-2</v>
      </c>
      <c r="BE11" s="24">
        <v>9.7679999999999989E-2</v>
      </c>
      <c r="BF11" s="24">
        <v>9.6299999999999997E-2</v>
      </c>
      <c r="BG11" s="24">
        <v>9.4920000000000004E-2</v>
      </c>
      <c r="BH11" s="24">
        <v>9.3540000000000012E-2</v>
      </c>
      <c r="BI11" s="24">
        <v>9.2160000000000006E-2</v>
      </c>
      <c r="BJ11" s="24">
        <v>9.078E-2</v>
      </c>
      <c r="BK11" s="24">
        <v>8.9400000000000007E-2</v>
      </c>
    </row>
    <row r="12" spans="1:63">
      <c r="B12" s="310">
        <v>0.38</v>
      </c>
      <c r="C12" s="24">
        <v>0.44440000000000002</v>
      </c>
      <c r="D12" s="24">
        <v>0.43128</v>
      </c>
      <c r="E12" s="24">
        <v>0.41816000000000003</v>
      </c>
      <c r="F12" s="24">
        <v>0.40503999999999996</v>
      </c>
      <c r="G12" s="24">
        <v>0.39192000000000005</v>
      </c>
      <c r="H12" s="24">
        <v>0.37880000000000003</v>
      </c>
      <c r="I12" s="24">
        <v>0.36568000000000001</v>
      </c>
      <c r="J12" s="24">
        <v>0.35255999999999998</v>
      </c>
      <c r="K12" s="24">
        <v>0.33943999999999996</v>
      </c>
      <c r="L12" s="24">
        <v>0.32632</v>
      </c>
      <c r="M12" s="24">
        <v>0.31319999999999998</v>
      </c>
      <c r="N12" s="24">
        <v>0.30412</v>
      </c>
      <c r="O12" s="24">
        <v>0.29503999999999997</v>
      </c>
      <c r="P12" s="24">
        <v>0.28595999999999999</v>
      </c>
      <c r="Q12" s="24">
        <v>0.27687999999999996</v>
      </c>
      <c r="R12" s="24">
        <v>0.26779999999999998</v>
      </c>
      <c r="S12" s="24">
        <v>0.25871999999999995</v>
      </c>
      <c r="T12" s="24">
        <v>0.24963999999999997</v>
      </c>
      <c r="U12" s="24">
        <v>0.24056</v>
      </c>
      <c r="V12" s="24">
        <v>0.23148000000000002</v>
      </c>
      <c r="W12" s="24">
        <v>0.22239999999999999</v>
      </c>
      <c r="X12" s="24">
        <v>0.21583999999999998</v>
      </c>
      <c r="Y12" s="24">
        <v>0.20927999999999997</v>
      </c>
      <c r="Z12" s="24">
        <v>0.20271999999999998</v>
      </c>
      <c r="AA12" s="24">
        <v>0.19616</v>
      </c>
      <c r="AB12" s="24">
        <v>0.18959999999999999</v>
      </c>
      <c r="AC12" s="24">
        <v>0.18463999999999997</v>
      </c>
      <c r="AD12" s="24">
        <v>0.17968000000000001</v>
      </c>
      <c r="AE12" s="24">
        <v>0.17471999999999999</v>
      </c>
      <c r="AF12" s="24">
        <v>0.16976000000000002</v>
      </c>
      <c r="AG12" s="24">
        <v>0.1648</v>
      </c>
      <c r="AH12" s="24">
        <v>0.16132000000000002</v>
      </c>
      <c r="AI12" s="24">
        <v>0.15784000000000001</v>
      </c>
      <c r="AJ12" s="24">
        <v>0.15436</v>
      </c>
      <c r="AK12" s="24">
        <v>0.15087999999999999</v>
      </c>
      <c r="AL12" s="24">
        <v>0.1474</v>
      </c>
      <c r="AM12" s="24">
        <v>0.14392000000000002</v>
      </c>
      <c r="AN12" s="24">
        <v>0.14044000000000001</v>
      </c>
      <c r="AO12" s="24">
        <v>0.13696000000000003</v>
      </c>
      <c r="AP12" s="24">
        <v>0.13347999999999999</v>
      </c>
      <c r="AQ12" s="24">
        <v>0.13</v>
      </c>
      <c r="AR12" s="24">
        <v>0.12758</v>
      </c>
      <c r="AS12" s="24">
        <v>0.12515999999999999</v>
      </c>
      <c r="AT12" s="24">
        <v>0.12274000000000002</v>
      </c>
      <c r="AU12" s="24">
        <v>0.12032</v>
      </c>
      <c r="AV12" s="24">
        <v>0.1179</v>
      </c>
      <c r="AW12" s="24">
        <v>0.11548000000000001</v>
      </c>
      <c r="AX12" s="24">
        <v>0.11306000000000001</v>
      </c>
      <c r="AY12" s="24">
        <v>0.11064</v>
      </c>
      <c r="AZ12" s="24">
        <v>0.10822</v>
      </c>
      <c r="BA12" s="24">
        <v>0.10580000000000001</v>
      </c>
      <c r="BB12" s="24">
        <v>0.10438000000000001</v>
      </c>
      <c r="BC12" s="24">
        <v>0.10296</v>
      </c>
      <c r="BD12" s="24">
        <v>0.10154000000000002</v>
      </c>
      <c r="BE12" s="24">
        <v>0.10012000000000001</v>
      </c>
      <c r="BF12" s="24">
        <v>9.870000000000001E-2</v>
      </c>
      <c r="BG12" s="24">
        <v>9.7280000000000005E-2</v>
      </c>
      <c r="BH12" s="24">
        <v>9.5860000000000001E-2</v>
      </c>
      <c r="BI12" s="24">
        <v>9.4440000000000024E-2</v>
      </c>
      <c r="BJ12" s="24">
        <v>9.3020000000000005E-2</v>
      </c>
      <c r="BK12" s="24">
        <v>9.1600000000000015E-2</v>
      </c>
    </row>
    <row r="13" spans="1:63">
      <c r="B13" s="310">
        <v>0.39</v>
      </c>
      <c r="C13" s="24">
        <v>0.45219999999999999</v>
      </c>
      <c r="D13" s="24">
        <v>0.43894</v>
      </c>
      <c r="E13" s="24">
        <v>0.42568</v>
      </c>
      <c r="F13" s="24">
        <v>0.41242000000000001</v>
      </c>
      <c r="G13" s="24">
        <v>0.39916000000000007</v>
      </c>
      <c r="H13" s="24">
        <v>0.38590000000000002</v>
      </c>
      <c r="I13" s="24">
        <v>0.37263999999999997</v>
      </c>
      <c r="J13" s="24">
        <v>0.35938000000000003</v>
      </c>
      <c r="K13" s="24">
        <v>0.34611999999999998</v>
      </c>
      <c r="L13" s="24">
        <v>0.33285999999999999</v>
      </c>
      <c r="M13" s="24">
        <v>0.3196</v>
      </c>
      <c r="N13" s="24">
        <v>0.31035999999999997</v>
      </c>
      <c r="O13" s="24">
        <v>0.30112</v>
      </c>
      <c r="P13" s="24">
        <v>0.29188000000000003</v>
      </c>
      <c r="Q13" s="24">
        <v>0.28264</v>
      </c>
      <c r="R13" s="24">
        <v>0.27339999999999998</v>
      </c>
      <c r="S13" s="24">
        <v>0.26416000000000001</v>
      </c>
      <c r="T13" s="24">
        <v>0.25491999999999998</v>
      </c>
      <c r="U13" s="24">
        <v>0.24568000000000001</v>
      </c>
      <c r="V13" s="24">
        <v>0.23643999999999998</v>
      </c>
      <c r="W13" s="24">
        <v>0.22719999999999999</v>
      </c>
      <c r="X13" s="24">
        <v>0.22051999999999999</v>
      </c>
      <c r="Y13" s="24">
        <v>0.21384000000000003</v>
      </c>
      <c r="Z13" s="24">
        <v>0.20716000000000001</v>
      </c>
      <c r="AA13" s="24">
        <v>0.20048000000000002</v>
      </c>
      <c r="AB13" s="24">
        <v>0.19380000000000003</v>
      </c>
      <c r="AC13" s="24">
        <v>0.18872</v>
      </c>
      <c r="AD13" s="24">
        <v>0.18364</v>
      </c>
      <c r="AE13" s="24">
        <v>0.17856</v>
      </c>
      <c r="AF13" s="24">
        <v>0.17348</v>
      </c>
      <c r="AG13" s="24">
        <v>0.16839999999999997</v>
      </c>
      <c r="AH13" s="24">
        <v>0.16485999999999998</v>
      </c>
      <c r="AI13" s="24">
        <v>0.16131999999999996</v>
      </c>
      <c r="AJ13" s="24">
        <v>0.15777999999999998</v>
      </c>
      <c r="AK13" s="24">
        <v>0.15423999999999999</v>
      </c>
      <c r="AL13" s="24">
        <v>0.1507</v>
      </c>
      <c r="AM13" s="24">
        <v>0.14716000000000001</v>
      </c>
      <c r="AN13" s="24">
        <v>0.14362</v>
      </c>
      <c r="AO13" s="24">
        <v>0.14008000000000001</v>
      </c>
      <c r="AP13" s="24">
        <v>0.13653999999999999</v>
      </c>
      <c r="AQ13" s="24">
        <v>0.13300000000000001</v>
      </c>
      <c r="AR13" s="24">
        <v>0.13054000000000002</v>
      </c>
      <c r="AS13" s="24">
        <v>0.12808</v>
      </c>
      <c r="AT13" s="24">
        <v>0.12562000000000001</v>
      </c>
      <c r="AU13" s="24">
        <v>0.12315999999999999</v>
      </c>
      <c r="AV13" s="24">
        <v>0.1207</v>
      </c>
      <c r="AW13" s="24">
        <v>0.11824000000000001</v>
      </c>
      <c r="AX13" s="24">
        <v>0.11577999999999999</v>
      </c>
      <c r="AY13" s="24">
        <v>0.11332</v>
      </c>
      <c r="AZ13" s="24">
        <v>0.11085999999999999</v>
      </c>
      <c r="BA13" s="24">
        <v>0.1084</v>
      </c>
      <c r="BB13" s="24">
        <v>0.10694000000000001</v>
      </c>
      <c r="BC13" s="24">
        <v>0.10547999999999999</v>
      </c>
      <c r="BD13" s="24">
        <v>0.10402</v>
      </c>
      <c r="BE13" s="24">
        <v>0.10255999999999998</v>
      </c>
      <c r="BF13" s="24">
        <v>0.1011</v>
      </c>
      <c r="BG13" s="24">
        <v>9.9640000000000006E-2</v>
      </c>
      <c r="BH13" s="24">
        <v>9.817999999999999E-2</v>
      </c>
      <c r="BI13" s="24">
        <v>9.672E-2</v>
      </c>
      <c r="BJ13" s="24">
        <v>9.5259999999999984E-2</v>
      </c>
      <c r="BK13" s="24">
        <v>9.3799999999999994E-2</v>
      </c>
    </row>
    <row r="14" spans="1:63">
      <c r="B14" s="310">
        <v>0.4</v>
      </c>
      <c r="C14" s="24">
        <v>0.46</v>
      </c>
      <c r="D14" s="24">
        <v>0.4466</v>
      </c>
      <c r="E14" s="24">
        <v>0.43320000000000003</v>
      </c>
      <c r="F14" s="24">
        <v>0.41980000000000001</v>
      </c>
      <c r="G14" s="24">
        <v>0.40640000000000009</v>
      </c>
      <c r="H14" s="24">
        <v>0.39300000000000002</v>
      </c>
      <c r="I14" s="24">
        <v>0.37959999999999999</v>
      </c>
      <c r="J14" s="24">
        <v>0.36620000000000003</v>
      </c>
      <c r="K14" s="24">
        <v>0.3528</v>
      </c>
      <c r="L14" s="24">
        <v>0.33940000000000003</v>
      </c>
      <c r="M14" s="24">
        <v>0.32600000000000001</v>
      </c>
      <c r="N14" s="24">
        <v>0.31659999999999999</v>
      </c>
      <c r="O14" s="24">
        <v>0.30720000000000003</v>
      </c>
      <c r="P14" s="24">
        <v>0.29780000000000006</v>
      </c>
      <c r="Q14" s="24">
        <v>0.28839999999999999</v>
      </c>
      <c r="R14" s="24">
        <v>0.27900000000000003</v>
      </c>
      <c r="S14" s="24">
        <v>0.26960000000000001</v>
      </c>
      <c r="T14" s="24">
        <v>0.26019999999999999</v>
      </c>
      <c r="U14" s="24">
        <v>0.25080000000000002</v>
      </c>
      <c r="V14" s="24">
        <v>0.2414</v>
      </c>
      <c r="W14" s="24">
        <v>0.23200000000000001</v>
      </c>
      <c r="X14" s="24">
        <v>0.22520000000000001</v>
      </c>
      <c r="Y14" s="24">
        <v>0.21840000000000001</v>
      </c>
      <c r="Z14" s="24">
        <v>0.21160000000000001</v>
      </c>
      <c r="AA14" s="24">
        <v>0.20480000000000004</v>
      </c>
      <c r="AB14" s="24">
        <v>0.19800000000000001</v>
      </c>
      <c r="AC14" s="24">
        <v>0.19280000000000003</v>
      </c>
      <c r="AD14" s="24">
        <v>0.18759999999999999</v>
      </c>
      <c r="AE14" s="24">
        <v>0.18240000000000001</v>
      </c>
      <c r="AF14" s="24">
        <v>0.17719999999999997</v>
      </c>
      <c r="AG14" s="24">
        <v>0.17199999999999999</v>
      </c>
      <c r="AH14" s="24">
        <v>0.16839999999999999</v>
      </c>
      <c r="AI14" s="24">
        <v>0.16479999999999997</v>
      </c>
      <c r="AJ14" s="24">
        <v>0.16120000000000001</v>
      </c>
      <c r="AK14" s="24">
        <v>0.15759999999999999</v>
      </c>
      <c r="AL14" s="24">
        <v>0.154</v>
      </c>
      <c r="AM14" s="24">
        <v>0.15040000000000003</v>
      </c>
      <c r="AN14" s="24">
        <v>0.14679999999999999</v>
      </c>
      <c r="AO14" s="24">
        <v>0.14319999999999999</v>
      </c>
      <c r="AP14" s="24">
        <v>0.1396</v>
      </c>
      <c r="AQ14" s="24">
        <v>0.13600000000000001</v>
      </c>
      <c r="AR14" s="24">
        <v>0.13350000000000001</v>
      </c>
      <c r="AS14" s="24">
        <v>0.13100000000000001</v>
      </c>
      <c r="AT14" s="24">
        <v>0.1285</v>
      </c>
      <c r="AU14" s="24">
        <v>0.126</v>
      </c>
      <c r="AV14" s="24">
        <v>0.1235</v>
      </c>
      <c r="AW14" s="24">
        <v>0.12100000000000002</v>
      </c>
      <c r="AX14" s="24">
        <v>0.11849999999999999</v>
      </c>
      <c r="AY14" s="24">
        <v>0.11600000000000001</v>
      </c>
      <c r="AZ14" s="24">
        <v>0.11349999999999999</v>
      </c>
      <c r="BA14" s="24">
        <v>0.111</v>
      </c>
      <c r="BB14" s="24">
        <v>0.10950000000000001</v>
      </c>
      <c r="BC14" s="24">
        <v>0.108</v>
      </c>
      <c r="BD14" s="24">
        <v>0.1065</v>
      </c>
      <c r="BE14" s="24">
        <v>0.105</v>
      </c>
      <c r="BF14" s="24">
        <v>0.10350000000000001</v>
      </c>
      <c r="BG14" s="24">
        <v>0.10200000000000001</v>
      </c>
      <c r="BH14" s="24">
        <v>0.10050000000000001</v>
      </c>
      <c r="BI14" s="24">
        <v>9.9000000000000005E-2</v>
      </c>
      <c r="BJ14" s="24">
        <v>9.7500000000000003E-2</v>
      </c>
      <c r="BK14" s="24">
        <v>9.6000000000000002E-2</v>
      </c>
    </row>
    <row r="15" spans="1:63">
      <c r="B15" s="310">
        <v>0.41</v>
      </c>
      <c r="C15" s="24">
        <v>0.46719999999999995</v>
      </c>
      <c r="D15" s="24">
        <v>0.45369999999999994</v>
      </c>
      <c r="E15" s="24">
        <v>0.44019999999999998</v>
      </c>
      <c r="F15" s="24">
        <v>0.42669999999999997</v>
      </c>
      <c r="G15" s="24">
        <v>0.41320000000000001</v>
      </c>
      <c r="H15" s="24">
        <v>0.39969999999999994</v>
      </c>
      <c r="I15" s="24">
        <v>0.38619999999999999</v>
      </c>
      <c r="J15" s="24">
        <v>0.37269999999999998</v>
      </c>
      <c r="K15" s="24">
        <v>0.35919999999999996</v>
      </c>
      <c r="L15" s="24">
        <v>0.34570000000000001</v>
      </c>
      <c r="M15" s="24">
        <v>0.3322</v>
      </c>
      <c r="N15" s="24">
        <v>0.32269999999999999</v>
      </c>
      <c r="O15" s="24">
        <v>0.31319999999999998</v>
      </c>
      <c r="P15" s="24">
        <v>0.30370000000000003</v>
      </c>
      <c r="Q15" s="24">
        <v>0.29420000000000002</v>
      </c>
      <c r="R15" s="24">
        <v>0.28470000000000001</v>
      </c>
      <c r="S15" s="24">
        <v>0.2752</v>
      </c>
      <c r="T15" s="24">
        <v>0.26569999999999999</v>
      </c>
      <c r="U15" s="24">
        <v>0.25619999999999998</v>
      </c>
      <c r="V15" s="24">
        <v>0.2467</v>
      </c>
      <c r="W15" s="24">
        <v>0.23719999999999999</v>
      </c>
      <c r="X15" s="24">
        <v>0.23024</v>
      </c>
      <c r="Y15" s="24">
        <v>0.22328000000000001</v>
      </c>
      <c r="Z15" s="24">
        <v>0.21632000000000001</v>
      </c>
      <c r="AA15" s="24">
        <v>0.20935999999999999</v>
      </c>
      <c r="AB15" s="24">
        <v>0.2024</v>
      </c>
      <c r="AC15" s="24">
        <v>0.19711999999999999</v>
      </c>
      <c r="AD15" s="24">
        <v>0.19183999999999998</v>
      </c>
      <c r="AE15" s="24">
        <v>0.18656</v>
      </c>
      <c r="AF15" s="24">
        <v>0.18128</v>
      </c>
      <c r="AG15" s="24">
        <v>0.17599999999999999</v>
      </c>
      <c r="AH15" s="24">
        <v>0.17232</v>
      </c>
      <c r="AI15" s="24">
        <v>0.16863999999999998</v>
      </c>
      <c r="AJ15" s="24">
        <v>0.16496</v>
      </c>
      <c r="AK15" s="24">
        <v>0.16127999999999998</v>
      </c>
      <c r="AL15" s="24">
        <v>0.15759999999999999</v>
      </c>
      <c r="AM15" s="24">
        <v>0.15392</v>
      </c>
      <c r="AN15" s="24">
        <v>0.15023999999999998</v>
      </c>
      <c r="AO15" s="24">
        <v>0.14656</v>
      </c>
      <c r="AP15" s="24">
        <v>0.14287999999999995</v>
      </c>
      <c r="AQ15" s="24">
        <v>0.13919999999999999</v>
      </c>
      <c r="AR15" s="24">
        <v>0.13661999999999999</v>
      </c>
      <c r="AS15" s="24">
        <v>0.13403999999999999</v>
      </c>
      <c r="AT15" s="24">
        <v>0.13145999999999999</v>
      </c>
      <c r="AU15" s="24">
        <v>0.12887999999999997</v>
      </c>
      <c r="AV15" s="24">
        <v>0.1263</v>
      </c>
      <c r="AW15" s="24">
        <v>0.12372</v>
      </c>
      <c r="AX15" s="24">
        <v>0.12113999999999997</v>
      </c>
      <c r="AY15" s="24">
        <v>0.11856</v>
      </c>
      <c r="AZ15" s="24">
        <v>0.11597999999999997</v>
      </c>
      <c r="BA15" s="24">
        <v>0.11339999999999999</v>
      </c>
      <c r="BB15" s="24">
        <v>0.11185999999999999</v>
      </c>
      <c r="BC15" s="24">
        <v>0.11031999999999999</v>
      </c>
      <c r="BD15" s="24">
        <v>0.10877999999999999</v>
      </c>
      <c r="BE15" s="24">
        <v>0.10723999999999997</v>
      </c>
      <c r="BF15" s="24">
        <v>0.10569999999999999</v>
      </c>
      <c r="BG15" s="24">
        <v>0.10416</v>
      </c>
      <c r="BH15" s="24">
        <v>0.10261999999999999</v>
      </c>
      <c r="BI15" s="24">
        <v>0.10108</v>
      </c>
      <c r="BJ15" s="24">
        <v>9.9540000000000003E-2</v>
      </c>
      <c r="BK15" s="24">
        <v>9.8000000000000004E-2</v>
      </c>
    </row>
    <row r="16" spans="1:63">
      <c r="A16" s="308" t="s">
        <v>265</v>
      </c>
      <c r="B16" s="310">
        <v>0.42</v>
      </c>
      <c r="C16" s="24">
        <v>0.47439999999999999</v>
      </c>
      <c r="D16" s="24">
        <v>0.46079999999999999</v>
      </c>
      <c r="E16" s="24">
        <v>0.44720000000000004</v>
      </c>
      <c r="F16" s="24">
        <v>0.43359999999999999</v>
      </c>
      <c r="G16" s="24">
        <v>0.42</v>
      </c>
      <c r="H16" s="24">
        <v>0.40639999999999998</v>
      </c>
      <c r="I16" s="24">
        <v>0.39280000000000004</v>
      </c>
      <c r="J16" s="24">
        <v>0.37920000000000004</v>
      </c>
      <c r="K16" s="24">
        <v>0.36559999999999998</v>
      </c>
      <c r="L16" s="24">
        <v>0.35200000000000004</v>
      </c>
      <c r="M16" s="24">
        <v>0.33840000000000003</v>
      </c>
      <c r="N16" s="24">
        <v>0.32880000000000004</v>
      </c>
      <c r="O16" s="24">
        <v>0.31919999999999998</v>
      </c>
      <c r="P16" s="24">
        <v>0.30960000000000004</v>
      </c>
      <c r="Q16" s="24">
        <v>0.3</v>
      </c>
      <c r="R16" s="24">
        <v>0.29039999999999999</v>
      </c>
      <c r="S16" s="24">
        <v>0.28079999999999999</v>
      </c>
      <c r="T16" s="24">
        <v>0.2712</v>
      </c>
      <c r="U16" s="24">
        <v>0.26160000000000005</v>
      </c>
      <c r="V16" s="24">
        <v>0.252</v>
      </c>
      <c r="W16" s="24">
        <v>0.2424</v>
      </c>
      <c r="X16" s="24">
        <v>0.23527999999999999</v>
      </c>
      <c r="Y16" s="24">
        <v>0.22815999999999997</v>
      </c>
      <c r="Z16" s="24">
        <v>0.22103999999999999</v>
      </c>
      <c r="AA16" s="24">
        <v>0.21392</v>
      </c>
      <c r="AB16" s="24">
        <v>0.20679999999999998</v>
      </c>
      <c r="AC16" s="24">
        <v>0.20143999999999998</v>
      </c>
      <c r="AD16" s="24">
        <v>0.19607999999999998</v>
      </c>
      <c r="AE16" s="24">
        <v>0.19072</v>
      </c>
      <c r="AF16" s="24">
        <v>0.18536</v>
      </c>
      <c r="AG16" s="24">
        <v>0.18</v>
      </c>
      <c r="AH16" s="24">
        <v>0.17624000000000001</v>
      </c>
      <c r="AI16" s="24">
        <v>0.17247999999999999</v>
      </c>
      <c r="AJ16" s="24">
        <v>0.16872000000000001</v>
      </c>
      <c r="AK16" s="24">
        <v>0.16496</v>
      </c>
      <c r="AL16" s="24">
        <v>0.16120000000000001</v>
      </c>
      <c r="AM16" s="24">
        <v>0.15744000000000002</v>
      </c>
      <c r="AN16" s="24">
        <v>0.15367999999999998</v>
      </c>
      <c r="AO16" s="24">
        <v>0.14992</v>
      </c>
      <c r="AP16" s="24">
        <v>0.14615999999999998</v>
      </c>
      <c r="AQ16" s="24">
        <v>0.1424</v>
      </c>
      <c r="AR16" s="24">
        <v>0.13974</v>
      </c>
      <c r="AS16" s="24">
        <v>0.13708000000000001</v>
      </c>
      <c r="AT16" s="24">
        <v>0.13441999999999998</v>
      </c>
      <c r="AU16" s="24">
        <v>0.13175999999999999</v>
      </c>
      <c r="AV16" s="24">
        <v>0.12909999999999999</v>
      </c>
      <c r="AW16" s="24">
        <v>0.12644</v>
      </c>
      <c r="AX16" s="24">
        <v>0.12377999999999997</v>
      </c>
      <c r="AY16" s="24">
        <v>0.12112000000000001</v>
      </c>
      <c r="AZ16" s="24">
        <v>0.11845999999999998</v>
      </c>
      <c r="BA16" s="24">
        <v>0.11579999999999999</v>
      </c>
      <c r="BB16" s="24">
        <v>0.11422</v>
      </c>
      <c r="BC16" s="24">
        <v>0.11263999999999999</v>
      </c>
      <c r="BD16" s="24">
        <v>0.11105999999999999</v>
      </c>
      <c r="BE16" s="24">
        <v>0.10947999999999998</v>
      </c>
      <c r="BF16" s="24">
        <v>0.1079</v>
      </c>
      <c r="BG16" s="24">
        <v>0.10632</v>
      </c>
      <c r="BH16" s="24">
        <v>0.10474</v>
      </c>
      <c r="BI16" s="24">
        <v>0.10316</v>
      </c>
      <c r="BJ16" s="24">
        <v>0.10157999999999999</v>
      </c>
      <c r="BK16" s="24">
        <v>0.1</v>
      </c>
    </row>
    <row r="17" spans="1:63">
      <c r="A17" s="308" t="s">
        <v>266</v>
      </c>
      <c r="B17" s="310">
        <v>0.43</v>
      </c>
      <c r="C17" s="24">
        <v>0.48160000000000003</v>
      </c>
      <c r="D17" s="24">
        <v>0.46790000000000004</v>
      </c>
      <c r="E17" s="24">
        <v>0.45420000000000005</v>
      </c>
      <c r="F17" s="24">
        <v>0.4405</v>
      </c>
      <c r="G17" s="24">
        <v>0.42680000000000001</v>
      </c>
      <c r="H17" s="24">
        <v>0.41310000000000002</v>
      </c>
      <c r="I17" s="24">
        <v>0.39940000000000003</v>
      </c>
      <c r="J17" s="24">
        <v>0.38570000000000004</v>
      </c>
      <c r="K17" s="24">
        <v>0.372</v>
      </c>
      <c r="L17" s="24">
        <v>0.35830000000000001</v>
      </c>
      <c r="M17" s="24">
        <v>0.34460000000000002</v>
      </c>
      <c r="N17" s="24">
        <v>0.33489999999999998</v>
      </c>
      <c r="O17" s="24">
        <v>0.32519999999999999</v>
      </c>
      <c r="P17" s="24">
        <v>0.3155</v>
      </c>
      <c r="Q17" s="24">
        <v>0.30580000000000007</v>
      </c>
      <c r="R17" s="24">
        <v>0.29610000000000003</v>
      </c>
      <c r="S17" s="24">
        <v>0.28639999999999999</v>
      </c>
      <c r="T17" s="24">
        <v>0.2767</v>
      </c>
      <c r="U17" s="24">
        <v>0.26700000000000002</v>
      </c>
      <c r="V17" s="24">
        <v>0.25730000000000003</v>
      </c>
      <c r="W17" s="24">
        <v>0.24760000000000001</v>
      </c>
      <c r="X17" s="24">
        <v>0.24032000000000001</v>
      </c>
      <c r="Y17" s="24">
        <v>0.23304000000000002</v>
      </c>
      <c r="Z17" s="24">
        <v>0.22576000000000002</v>
      </c>
      <c r="AA17" s="24">
        <v>0.21848000000000001</v>
      </c>
      <c r="AB17" s="24">
        <v>0.2112</v>
      </c>
      <c r="AC17" s="24">
        <v>0.20576</v>
      </c>
      <c r="AD17" s="24">
        <v>0.20032</v>
      </c>
      <c r="AE17" s="24">
        <v>0.19488</v>
      </c>
      <c r="AF17" s="24">
        <v>0.18944</v>
      </c>
      <c r="AG17" s="24">
        <v>0.184</v>
      </c>
      <c r="AH17" s="24">
        <v>0.18016000000000001</v>
      </c>
      <c r="AI17" s="24">
        <v>0.17632</v>
      </c>
      <c r="AJ17" s="24">
        <v>0.17247999999999999</v>
      </c>
      <c r="AK17" s="24">
        <v>0.16863999999999998</v>
      </c>
      <c r="AL17" s="24">
        <v>0.1648</v>
      </c>
      <c r="AM17" s="24">
        <v>0.16096000000000002</v>
      </c>
      <c r="AN17" s="24">
        <v>0.15711999999999998</v>
      </c>
      <c r="AO17" s="24">
        <v>0.15328000000000003</v>
      </c>
      <c r="AP17" s="24">
        <v>0.14943999999999999</v>
      </c>
      <c r="AQ17" s="24">
        <v>0.14560000000000001</v>
      </c>
      <c r="AR17" s="24">
        <v>0.14286000000000001</v>
      </c>
      <c r="AS17" s="24">
        <v>0.14012000000000002</v>
      </c>
      <c r="AT17" s="24">
        <v>0.13738</v>
      </c>
      <c r="AU17" s="24">
        <v>0.13463999999999998</v>
      </c>
      <c r="AV17" s="24">
        <v>0.13190000000000002</v>
      </c>
      <c r="AW17" s="24">
        <v>0.12916</v>
      </c>
      <c r="AX17" s="24">
        <v>0.12642</v>
      </c>
      <c r="AY17" s="24">
        <v>0.12368000000000001</v>
      </c>
      <c r="AZ17" s="24">
        <v>0.12093999999999999</v>
      </c>
      <c r="BA17" s="24">
        <v>0.1182</v>
      </c>
      <c r="BB17" s="24">
        <v>0.11658</v>
      </c>
      <c r="BC17" s="24">
        <v>0.11495999999999999</v>
      </c>
      <c r="BD17" s="24">
        <v>0.11334000000000001</v>
      </c>
      <c r="BE17" s="24">
        <v>0.11171999999999999</v>
      </c>
      <c r="BF17" s="24">
        <v>0.1101</v>
      </c>
      <c r="BG17" s="24">
        <v>0.10848000000000002</v>
      </c>
      <c r="BH17" s="24">
        <v>0.10686</v>
      </c>
      <c r="BI17" s="24">
        <v>0.10524000000000001</v>
      </c>
      <c r="BJ17" s="24">
        <v>0.10362</v>
      </c>
      <c r="BK17" s="24">
        <v>0.10200000000000001</v>
      </c>
    </row>
    <row r="18" spans="1:63">
      <c r="B18" s="310">
        <v>0.44</v>
      </c>
      <c r="C18" s="24">
        <v>0.48880000000000007</v>
      </c>
      <c r="D18" s="24">
        <v>0.47499999999999998</v>
      </c>
      <c r="E18" s="24">
        <v>0.46120000000000005</v>
      </c>
      <c r="F18" s="24">
        <v>0.44740000000000002</v>
      </c>
      <c r="G18" s="24">
        <v>0.4336000000000001</v>
      </c>
      <c r="H18" s="24">
        <v>0.41980000000000006</v>
      </c>
      <c r="I18" s="24">
        <v>0.40600000000000003</v>
      </c>
      <c r="J18" s="24">
        <v>0.39219999999999999</v>
      </c>
      <c r="K18" s="24">
        <v>0.37839999999999996</v>
      </c>
      <c r="L18" s="24">
        <v>0.36459999999999998</v>
      </c>
      <c r="M18" s="24">
        <v>0.3508</v>
      </c>
      <c r="N18" s="24">
        <v>0.34099999999999997</v>
      </c>
      <c r="O18" s="24">
        <v>0.33119999999999999</v>
      </c>
      <c r="P18" s="24">
        <v>0.32140000000000002</v>
      </c>
      <c r="Q18" s="24">
        <v>0.31159999999999999</v>
      </c>
      <c r="R18" s="24">
        <v>0.30180000000000001</v>
      </c>
      <c r="S18" s="24">
        <v>0.29200000000000004</v>
      </c>
      <c r="T18" s="24">
        <v>0.28220000000000001</v>
      </c>
      <c r="U18" s="24">
        <v>0.27240000000000003</v>
      </c>
      <c r="V18" s="24">
        <v>0.26260000000000006</v>
      </c>
      <c r="W18" s="24">
        <v>0.25280000000000002</v>
      </c>
      <c r="X18" s="24">
        <v>0.24536000000000002</v>
      </c>
      <c r="Y18" s="24">
        <v>0.23792000000000002</v>
      </c>
      <c r="Z18" s="24">
        <v>0.23048000000000002</v>
      </c>
      <c r="AA18" s="24">
        <v>0.22304000000000002</v>
      </c>
      <c r="AB18" s="24">
        <v>0.21560000000000001</v>
      </c>
      <c r="AC18" s="24">
        <v>0.21007999999999999</v>
      </c>
      <c r="AD18" s="24">
        <v>0.20455999999999999</v>
      </c>
      <c r="AE18" s="24">
        <v>0.19904000000000005</v>
      </c>
      <c r="AF18" s="24">
        <v>0.19352000000000003</v>
      </c>
      <c r="AG18" s="24">
        <v>0.18800000000000003</v>
      </c>
      <c r="AH18" s="24">
        <v>0.18408000000000005</v>
      </c>
      <c r="AI18" s="24">
        <v>0.18016000000000001</v>
      </c>
      <c r="AJ18" s="24">
        <v>0.17624000000000004</v>
      </c>
      <c r="AK18" s="24">
        <v>0.17232000000000003</v>
      </c>
      <c r="AL18" s="24">
        <v>0.16840000000000002</v>
      </c>
      <c r="AM18" s="24">
        <v>0.16448000000000002</v>
      </c>
      <c r="AN18" s="24">
        <v>0.16056000000000004</v>
      </c>
      <c r="AO18" s="24">
        <v>0.15664</v>
      </c>
      <c r="AP18" s="24">
        <v>0.15271999999999999</v>
      </c>
      <c r="AQ18" s="24">
        <v>0.14880000000000002</v>
      </c>
      <c r="AR18" s="24">
        <v>0.14598000000000003</v>
      </c>
      <c r="AS18" s="24">
        <v>0.14316000000000001</v>
      </c>
      <c r="AT18" s="24">
        <v>0.14034000000000002</v>
      </c>
      <c r="AU18" s="24">
        <v>0.13752</v>
      </c>
      <c r="AV18" s="24">
        <v>0.13470000000000001</v>
      </c>
      <c r="AW18" s="24">
        <v>0.13188000000000002</v>
      </c>
      <c r="AX18" s="24">
        <v>0.12906000000000001</v>
      </c>
      <c r="AY18" s="24">
        <v>0.12624000000000002</v>
      </c>
      <c r="AZ18" s="24">
        <v>0.12342</v>
      </c>
      <c r="BA18" s="24">
        <v>0.12060000000000001</v>
      </c>
      <c r="BB18" s="24">
        <v>0.11894000000000002</v>
      </c>
      <c r="BC18" s="24">
        <v>0.11728</v>
      </c>
      <c r="BD18" s="24">
        <v>0.11562000000000003</v>
      </c>
      <c r="BE18" s="24">
        <v>0.11396000000000001</v>
      </c>
      <c r="BF18" s="24">
        <v>0.11230000000000001</v>
      </c>
      <c r="BG18" s="24">
        <v>0.11064000000000002</v>
      </c>
      <c r="BH18" s="24">
        <v>0.10898000000000002</v>
      </c>
      <c r="BI18" s="24">
        <v>0.10732</v>
      </c>
      <c r="BJ18" s="24">
        <v>0.10566</v>
      </c>
      <c r="BK18" s="24">
        <v>0.10400000000000001</v>
      </c>
    </row>
    <row r="19" spans="1:63">
      <c r="B19" s="310">
        <v>0.45</v>
      </c>
      <c r="C19" s="24">
        <v>0.496</v>
      </c>
      <c r="D19" s="24">
        <v>0.48209999999999997</v>
      </c>
      <c r="E19" s="24">
        <v>0.46820000000000001</v>
      </c>
      <c r="F19" s="24">
        <v>0.45429999999999998</v>
      </c>
      <c r="G19" s="24">
        <v>0.44040000000000001</v>
      </c>
      <c r="H19" s="24">
        <v>0.42649999999999999</v>
      </c>
      <c r="I19" s="24">
        <v>0.41259999999999997</v>
      </c>
      <c r="J19" s="24">
        <v>0.3987</v>
      </c>
      <c r="K19" s="24">
        <v>0.38480000000000003</v>
      </c>
      <c r="L19" s="24">
        <v>0.37090000000000001</v>
      </c>
      <c r="M19" s="24">
        <v>0.35699999999999998</v>
      </c>
      <c r="N19" s="24">
        <v>0.34710000000000002</v>
      </c>
      <c r="O19" s="24">
        <v>0.33719999999999994</v>
      </c>
      <c r="P19" s="24">
        <v>0.32729999999999998</v>
      </c>
      <c r="Q19" s="24">
        <v>0.31740000000000002</v>
      </c>
      <c r="R19" s="24">
        <v>0.3075</v>
      </c>
      <c r="S19" s="24">
        <v>0.29759999999999998</v>
      </c>
      <c r="T19" s="24">
        <v>0.28769999999999996</v>
      </c>
      <c r="U19" s="24">
        <v>0.27780000000000005</v>
      </c>
      <c r="V19" s="24">
        <v>0.26790000000000003</v>
      </c>
      <c r="W19" s="24">
        <v>0.25800000000000001</v>
      </c>
      <c r="X19" s="24">
        <v>0.25040000000000001</v>
      </c>
      <c r="Y19" s="24">
        <v>0.24280000000000002</v>
      </c>
      <c r="Z19" s="24">
        <v>0.23520000000000002</v>
      </c>
      <c r="AA19" s="24">
        <v>0.22760000000000002</v>
      </c>
      <c r="AB19" s="24">
        <v>0.22</v>
      </c>
      <c r="AC19" s="24">
        <v>0.21440000000000001</v>
      </c>
      <c r="AD19" s="24">
        <v>0.20879999999999999</v>
      </c>
      <c r="AE19" s="24">
        <v>0.20319999999999999</v>
      </c>
      <c r="AF19" s="24">
        <v>0.1976</v>
      </c>
      <c r="AG19" s="24">
        <v>0.192</v>
      </c>
      <c r="AH19" s="24">
        <v>0.188</v>
      </c>
      <c r="AI19" s="24">
        <v>0.184</v>
      </c>
      <c r="AJ19" s="24">
        <v>0.18</v>
      </c>
      <c r="AK19" s="24">
        <v>0.17599999999999999</v>
      </c>
      <c r="AL19" s="24">
        <v>0.17199999999999999</v>
      </c>
      <c r="AM19" s="24">
        <v>0.16800000000000004</v>
      </c>
      <c r="AN19" s="24">
        <v>0.16399999999999998</v>
      </c>
      <c r="AO19" s="24">
        <v>0.16</v>
      </c>
      <c r="AP19" s="24">
        <v>0.156</v>
      </c>
      <c r="AQ19" s="24">
        <v>0.152</v>
      </c>
      <c r="AR19" s="24">
        <v>0.14910000000000001</v>
      </c>
      <c r="AS19" s="24">
        <v>0.1462</v>
      </c>
      <c r="AT19" s="24">
        <v>0.14329999999999998</v>
      </c>
      <c r="AU19" s="24">
        <v>0.1404</v>
      </c>
      <c r="AV19" s="24">
        <v>0.13750000000000001</v>
      </c>
      <c r="AW19" s="24">
        <v>0.1346</v>
      </c>
      <c r="AX19" s="24">
        <v>0.13169999999999998</v>
      </c>
      <c r="AY19" s="24">
        <v>0.1288</v>
      </c>
      <c r="AZ19" s="24">
        <v>0.12589999999999998</v>
      </c>
      <c r="BA19" s="24">
        <v>0.123</v>
      </c>
      <c r="BB19" s="24">
        <v>0.12130000000000001</v>
      </c>
      <c r="BC19" s="24">
        <v>0.11959999999999998</v>
      </c>
      <c r="BD19" s="24">
        <v>0.1179</v>
      </c>
      <c r="BE19" s="24">
        <v>0.11619999999999998</v>
      </c>
      <c r="BF19" s="24">
        <v>0.11449999999999999</v>
      </c>
      <c r="BG19" s="24">
        <v>0.11280000000000001</v>
      </c>
      <c r="BH19" s="24">
        <v>0.11109999999999999</v>
      </c>
      <c r="BI19" s="24">
        <v>0.1094</v>
      </c>
      <c r="BJ19" s="24">
        <v>0.10769999999999999</v>
      </c>
      <c r="BK19" s="24">
        <v>0.106</v>
      </c>
    </row>
    <row r="20" spans="1:63">
      <c r="B20" s="310">
        <v>0.46</v>
      </c>
      <c r="C20" s="24">
        <v>0.50260000000000005</v>
      </c>
      <c r="D20" s="24">
        <v>0.48866000000000004</v>
      </c>
      <c r="E20" s="24">
        <v>0.47472000000000003</v>
      </c>
      <c r="F20" s="24">
        <v>0.46078000000000002</v>
      </c>
      <c r="G20" s="24">
        <v>0.44684000000000001</v>
      </c>
      <c r="H20" s="24">
        <v>0.43290000000000001</v>
      </c>
      <c r="I20" s="24">
        <v>0.41896</v>
      </c>
      <c r="J20" s="24">
        <v>0.40501999999999999</v>
      </c>
      <c r="K20" s="24">
        <v>0.39107999999999998</v>
      </c>
      <c r="L20" s="24">
        <v>0.37713999999999998</v>
      </c>
      <c r="M20" s="24">
        <v>0.36319999999999997</v>
      </c>
      <c r="N20" s="24">
        <v>0.35321999999999998</v>
      </c>
      <c r="O20" s="24">
        <v>0.34323999999999999</v>
      </c>
      <c r="P20" s="24">
        <v>0.33326</v>
      </c>
      <c r="Q20" s="24">
        <v>0.32328000000000001</v>
      </c>
      <c r="R20" s="24">
        <v>0.31330000000000002</v>
      </c>
      <c r="S20" s="24">
        <v>0.30332000000000003</v>
      </c>
      <c r="T20" s="24">
        <v>0.29333999999999999</v>
      </c>
      <c r="U20" s="24">
        <v>0.28336</v>
      </c>
      <c r="V20" s="24">
        <v>0.27338000000000001</v>
      </c>
      <c r="W20" s="24">
        <v>0.26340000000000002</v>
      </c>
      <c r="X20" s="24">
        <v>0.25572</v>
      </c>
      <c r="Y20" s="24">
        <v>0.24804000000000004</v>
      </c>
      <c r="Z20" s="24">
        <v>0.24036000000000002</v>
      </c>
      <c r="AA20" s="24">
        <v>0.23268000000000003</v>
      </c>
      <c r="AB20" s="24">
        <v>0.22500000000000001</v>
      </c>
      <c r="AC20" s="24">
        <v>0.21928</v>
      </c>
      <c r="AD20" s="24">
        <v>0.21355999999999997</v>
      </c>
      <c r="AE20" s="24">
        <v>0.20784000000000002</v>
      </c>
      <c r="AF20" s="24">
        <v>0.20211999999999999</v>
      </c>
      <c r="AG20" s="24">
        <v>0.19639999999999999</v>
      </c>
      <c r="AH20" s="24">
        <v>0.19223999999999999</v>
      </c>
      <c r="AI20" s="24">
        <v>0.18807999999999997</v>
      </c>
      <c r="AJ20" s="24">
        <v>0.18391999999999997</v>
      </c>
      <c r="AK20" s="24">
        <v>0.17975999999999998</v>
      </c>
      <c r="AL20" s="24">
        <v>0.17559999999999998</v>
      </c>
      <c r="AM20" s="24">
        <v>0.17143999999999998</v>
      </c>
      <c r="AN20" s="24">
        <v>0.16727999999999998</v>
      </c>
      <c r="AO20" s="24">
        <v>0.16311999999999999</v>
      </c>
      <c r="AP20" s="24">
        <v>0.15895999999999999</v>
      </c>
      <c r="AQ20" s="24">
        <v>0.15479999999999999</v>
      </c>
      <c r="AR20" s="24">
        <v>0.15188000000000001</v>
      </c>
      <c r="AS20" s="24">
        <v>0.14895999999999998</v>
      </c>
      <c r="AT20" s="24">
        <v>0.14604</v>
      </c>
      <c r="AU20" s="24">
        <v>0.14311999999999997</v>
      </c>
      <c r="AV20" s="24">
        <v>0.14019999999999999</v>
      </c>
      <c r="AW20" s="24">
        <v>0.13728000000000001</v>
      </c>
      <c r="AX20" s="24">
        <v>0.13435999999999998</v>
      </c>
      <c r="AY20" s="24">
        <v>0.13144</v>
      </c>
      <c r="AZ20" s="24">
        <v>0.12851999999999997</v>
      </c>
      <c r="BA20" s="24">
        <v>0.12559999999999999</v>
      </c>
      <c r="BB20" s="24">
        <v>0.12385999999999998</v>
      </c>
      <c r="BC20" s="24">
        <v>0.12211999999999999</v>
      </c>
      <c r="BD20" s="24">
        <v>0.12037999999999999</v>
      </c>
      <c r="BE20" s="24">
        <v>0.11864</v>
      </c>
      <c r="BF20" s="24">
        <v>0.11689999999999999</v>
      </c>
      <c r="BG20" s="24">
        <v>0.11515999999999998</v>
      </c>
      <c r="BH20" s="24">
        <v>0.11341999999999999</v>
      </c>
      <c r="BI20" s="24">
        <v>0.11167999999999999</v>
      </c>
      <c r="BJ20" s="24">
        <v>0.10994</v>
      </c>
      <c r="BK20" s="24">
        <v>0.10819999999999999</v>
      </c>
    </row>
    <row r="21" spans="1:63">
      <c r="B21" s="310">
        <v>0.47</v>
      </c>
      <c r="C21" s="24">
        <v>0.50919999999999999</v>
      </c>
      <c r="D21" s="24">
        <v>0.49521999999999999</v>
      </c>
      <c r="E21" s="24">
        <v>0.48124</v>
      </c>
      <c r="F21" s="24">
        <v>0.46726000000000001</v>
      </c>
      <c r="G21" s="24">
        <v>0.45328000000000002</v>
      </c>
      <c r="H21" s="24">
        <v>0.43930000000000002</v>
      </c>
      <c r="I21" s="24">
        <v>0.42531999999999998</v>
      </c>
      <c r="J21" s="24">
        <v>0.41133999999999998</v>
      </c>
      <c r="K21" s="24">
        <v>0.39735999999999999</v>
      </c>
      <c r="L21" s="24">
        <v>0.38338</v>
      </c>
      <c r="M21" s="24">
        <v>0.36940000000000001</v>
      </c>
      <c r="N21" s="24">
        <v>0.35933999999999999</v>
      </c>
      <c r="O21" s="24">
        <v>0.34927999999999998</v>
      </c>
      <c r="P21" s="24">
        <v>0.33922000000000002</v>
      </c>
      <c r="Q21" s="24">
        <v>0.32916000000000001</v>
      </c>
      <c r="R21" s="24">
        <v>0.31909999999999999</v>
      </c>
      <c r="S21" s="24">
        <v>0.30903999999999998</v>
      </c>
      <c r="T21" s="24">
        <v>0.29897999999999997</v>
      </c>
      <c r="U21" s="24">
        <v>0.28892000000000001</v>
      </c>
      <c r="V21" s="24">
        <v>0.27886</v>
      </c>
      <c r="W21" s="24">
        <v>0.26879999999999998</v>
      </c>
      <c r="X21" s="24">
        <v>0.26103999999999994</v>
      </c>
      <c r="Y21" s="24">
        <v>0.25328000000000001</v>
      </c>
      <c r="Z21" s="24">
        <v>0.24552000000000002</v>
      </c>
      <c r="AA21" s="24">
        <v>0.23776000000000003</v>
      </c>
      <c r="AB21" s="24">
        <v>0.23</v>
      </c>
      <c r="AC21" s="24">
        <v>0.22416</v>
      </c>
      <c r="AD21" s="24">
        <v>0.21832000000000001</v>
      </c>
      <c r="AE21" s="24">
        <v>0.21248</v>
      </c>
      <c r="AF21" s="24">
        <v>0.20664000000000002</v>
      </c>
      <c r="AG21" s="24">
        <v>0.20080000000000001</v>
      </c>
      <c r="AH21" s="24">
        <v>0.19648000000000002</v>
      </c>
      <c r="AI21" s="24">
        <v>0.19216</v>
      </c>
      <c r="AJ21" s="24">
        <v>0.18784000000000001</v>
      </c>
      <c r="AK21" s="24">
        <v>0.18352000000000002</v>
      </c>
      <c r="AL21" s="24">
        <v>0.17920000000000003</v>
      </c>
      <c r="AM21" s="24">
        <v>0.17488000000000004</v>
      </c>
      <c r="AN21" s="24">
        <v>0.17056000000000002</v>
      </c>
      <c r="AO21" s="24">
        <v>0.16624000000000003</v>
      </c>
      <c r="AP21" s="24">
        <v>0.16192000000000001</v>
      </c>
      <c r="AQ21" s="24">
        <v>0.15760000000000002</v>
      </c>
      <c r="AR21" s="24">
        <v>0.15466000000000002</v>
      </c>
      <c r="AS21" s="24">
        <v>0.15172000000000002</v>
      </c>
      <c r="AT21" s="24">
        <v>0.14878000000000002</v>
      </c>
      <c r="AU21" s="24">
        <v>0.14584</v>
      </c>
      <c r="AV21" s="24">
        <v>0.14290000000000003</v>
      </c>
      <c r="AW21" s="24">
        <v>0.13996000000000003</v>
      </c>
      <c r="AX21" s="24">
        <v>0.13702</v>
      </c>
      <c r="AY21" s="24">
        <v>0.13408000000000003</v>
      </c>
      <c r="AZ21" s="24">
        <v>0.13114000000000001</v>
      </c>
      <c r="BA21" s="24">
        <v>0.12820000000000001</v>
      </c>
      <c r="BB21" s="24">
        <v>0.12642</v>
      </c>
      <c r="BC21" s="24">
        <v>0.12464</v>
      </c>
      <c r="BD21" s="24">
        <v>0.12286000000000001</v>
      </c>
      <c r="BE21" s="24">
        <v>0.12107999999999999</v>
      </c>
      <c r="BF21" s="24">
        <v>0.1193</v>
      </c>
      <c r="BG21" s="24">
        <v>0.11752000000000001</v>
      </c>
      <c r="BH21" s="24">
        <v>0.11574</v>
      </c>
      <c r="BI21" s="24">
        <v>0.11396000000000001</v>
      </c>
      <c r="BJ21" s="24">
        <v>0.11217999999999999</v>
      </c>
      <c r="BK21" s="24">
        <v>0.1104</v>
      </c>
    </row>
    <row r="22" spans="1:63">
      <c r="B22" s="310">
        <v>0.48</v>
      </c>
      <c r="C22" s="24">
        <v>0.51580000000000004</v>
      </c>
      <c r="D22" s="24">
        <v>0.50178</v>
      </c>
      <c r="E22" s="24">
        <v>0.48776000000000003</v>
      </c>
      <c r="F22" s="24">
        <v>0.47373999999999999</v>
      </c>
      <c r="G22" s="24">
        <v>0.45972000000000002</v>
      </c>
      <c r="H22" s="24">
        <v>0.44569999999999999</v>
      </c>
      <c r="I22" s="24">
        <v>0.43168000000000001</v>
      </c>
      <c r="J22" s="24">
        <v>0.41766000000000003</v>
      </c>
      <c r="K22" s="24">
        <v>0.40364</v>
      </c>
      <c r="L22" s="24">
        <v>0.38962000000000002</v>
      </c>
      <c r="M22" s="24">
        <v>0.37559999999999999</v>
      </c>
      <c r="N22" s="24">
        <v>0.36545999999999995</v>
      </c>
      <c r="O22" s="24">
        <v>0.35531999999999997</v>
      </c>
      <c r="P22" s="24">
        <v>0.34517999999999999</v>
      </c>
      <c r="Q22" s="24">
        <v>0.33504</v>
      </c>
      <c r="R22" s="24">
        <v>0.32489999999999997</v>
      </c>
      <c r="S22" s="24">
        <v>0.31475999999999998</v>
      </c>
      <c r="T22" s="24">
        <v>0.30462</v>
      </c>
      <c r="U22" s="24">
        <v>0.29448000000000002</v>
      </c>
      <c r="V22" s="24">
        <v>0.28433999999999998</v>
      </c>
      <c r="W22" s="24">
        <v>0.2742</v>
      </c>
      <c r="X22" s="24">
        <v>0.26635999999999999</v>
      </c>
      <c r="Y22" s="24">
        <v>0.25851999999999997</v>
      </c>
      <c r="Z22" s="24">
        <v>0.25068000000000001</v>
      </c>
      <c r="AA22" s="24">
        <v>0.24284</v>
      </c>
      <c r="AB22" s="24">
        <v>0.23499999999999999</v>
      </c>
      <c r="AC22" s="24">
        <v>0.22903999999999997</v>
      </c>
      <c r="AD22" s="24">
        <v>0.22307999999999997</v>
      </c>
      <c r="AE22" s="24">
        <v>0.21712000000000001</v>
      </c>
      <c r="AF22" s="24">
        <v>0.21115999999999999</v>
      </c>
      <c r="AG22" s="24">
        <v>0.20519999999999999</v>
      </c>
      <c r="AH22" s="24">
        <v>0.20072000000000001</v>
      </c>
      <c r="AI22" s="24">
        <v>0.19623999999999997</v>
      </c>
      <c r="AJ22" s="24">
        <v>0.19176000000000001</v>
      </c>
      <c r="AK22" s="24">
        <v>0.18728</v>
      </c>
      <c r="AL22" s="24">
        <v>0.18280000000000002</v>
      </c>
      <c r="AM22" s="24">
        <v>0.17832000000000003</v>
      </c>
      <c r="AN22" s="24">
        <v>0.17383999999999999</v>
      </c>
      <c r="AO22" s="24">
        <v>0.16936000000000001</v>
      </c>
      <c r="AP22" s="24">
        <v>0.16488</v>
      </c>
      <c r="AQ22" s="24">
        <v>0.16040000000000001</v>
      </c>
      <c r="AR22" s="24">
        <v>0.15744000000000002</v>
      </c>
      <c r="AS22" s="24">
        <v>0.15448000000000001</v>
      </c>
      <c r="AT22" s="24">
        <v>0.15152000000000002</v>
      </c>
      <c r="AU22" s="24">
        <v>0.14856</v>
      </c>
      <c r="AV22" s="24">
        <v>0.14560000000000001</v>
      </c>
      <c r="AW22" s="24">
        <v>0.14264000000000002</v>
      </c>
      <c r="AX22" s="24">
        <v>0.13968</v>
      </c>
      <c r="AY22" s="24">
        <v>0.13672000000000001</v>
      </c>
      <c r="AZ22" s="24">
        <v>0.13375999999999999</v>
      </c>
      <c r="BA22" s="24">
        <v>0.1308</v>
      </c>
      <c r="BB22" s="24">
        <v>0.12898000000000001</v>
      </c>
      <c r="BC22" s="24">
        <v>0.12716</v>
      </c>
      <c r="BD22" s="24">
        <v>0.12534000000000001</v>
      </c>
      <c r="BE22" s="24">
        <v>0.12351999999999999</v>
      </c>
      <c r="BF22" s="24">
        <v>0.1217</v>
      </c>
      <c r="BG22" s="24">
        <v>0.11988</v>
      </c>
      <c r="BH22" s="24">
        <v>0.11806</v>
      </c>
      <c r="BI22" s="24">
        <v>0.11624000000000001</v>
      </c>
      <c r="BJ22" s="24">
        <v>0.11441999999999998</v>
      </c>
      <c r="BK22" s="24">
        <v>0.11259999999999999</v>
      </c>
    </row>
    <row r="23" spans="1:63">
      <c r="B23" s="310">
        <v>0.49</v>
      </c>
      <c r="C23" s="24">
        <v>0.52239999999999998</v>
      </c>
      <c r="D23" s="24">
        <v>0.5083399999999999</v>
      </c>
      <c r="E23" s="24">
        <v>0.49428</v>
      </c>
      <c r="F23" s="24">
        <v>0.48021999999999998</v>
      </c>
      <c r="G23" s="24">
        <v>0.46616000000000002</v>
      </c>
      <c r="H23" s="24">
        <v>0.4521</v>
      </c>
      <c r="I23" s="24">
        <v>0.43803999999999998</v>
      </c>
      <c r="J23" s="24">
        <v>0.42398000000000002</v>
      </c>
      <c r="K23" s="24">
        <v>0.40992000000000001</v>
      </c>
      <c r="L23" s="24">
        <v>0.39586000000000005</v>
      </c>
      <c r="M23" s="24">
        <v>0.38180000000000003</v>
      </c>
      <c r="N23" s="24">
        <v>0.37158000000000002</v>
      </c>
      <c r="O23" s="24">
        <v>0.36135999999999996</v>
      </c>
      <c r="P23" s="24">
        <v>0.35114000000000006</v>
      </c>
      <c r="Q23" s="24">
        <v>0.34092</v>
      </c>
      <c r="R23" s="24">
        <v>0.33069999999999999</v>
      </c>
      <c r="S23" s="24">
        <v>0.32047999999999999</v>
      </c>
      <c r="T23" s="24">
        <v>0.31025999999999998</v>
      </c>
      <c r="U23" s="24">
        <v>0.30003999999999997</v>
      </c>
      <c r="V23" s="24">
        <v>0.28981999999999997</v>
      </c>
      <c r="W23" s="24">
        <v>0.27959999999999996</v>
      </c>
      <c r="X23" s="24">
        <v>0.27167999999999992</v>
      </c>
      <c r="Y23" s="24">
        <v>0.26375999999999999</v>
      </c>
      <c r="Z23" s="24">
        <v>0.25583999999999996</v>
      </c>
      <c r="AA23" s="24">
        <v>0.24791999999999997</v>
      </c>
      <c r="AB23" s="24">
        <v>0.24</v>
      </c>
      <c r="AC23" s="24">
        <v>0.23391999999999999</v>
      </c>
      <c r="AD23" s="24">
        <v>0.22783999999999999</v>
      </c>
      <c r="AE23" s="24">
        <v>0.22176000000000001</v>
      </c>
      <c r="AF23" s="24">
        <v>0.21568000000000001</v>
      </c>
      <c r="AG23" s="24">
        <v>0.20960000000000001</v>
      </c>
      <c r="AH23" s="24">
        <v>0.20496000000000003</v>
      </c>
      <c r="AI23" s="24">
        <v>0.20032</v>
      </c>
      <c r="AJ23" s="24">
        <v>0.19568000000000002</v>
      </c>
      <c r="AK23" s="24">
        <v>0.19103999999999999</v>
      </c>
      <c r="AL23" s="24">
        <v>0.18640000000000001</v>
      </c>
      <c r="AM23" s="24">
        <v>0.18176000000000003</v>
      </c>
      <c r="AN23" s="24">
        <v>0.17712</v>
      </c>
      <c r="AO23" s="24">
        <v>0.17248000000000002</v>
      </c>
      <c r="AP23" s="24">
        <v>0.16783999999999999</v>
      </c>
      <c r="AQ23" s="24">
        <v>0.16320000000000001</v>
      </c>
      <c r="AR23" s="24">
        <v>0.16022000000000003</v>
      </c>
      <c r="AS23" s="24">
        <v>0.15723999999999999</v>
      </c>
      <c r="AT23" s="24">
        <v>0.15426000000000001</v>
      </c>
      <c r="AU23" s="24">
        <v>0.15128</v>
      </c>
      <c r="AV23" s="24">
        <v>0.14829999999999999</v>
      </c>
      <c r="AW23" s="24">
        <v>0.14532</v>
      </c>
      <c r="AX23" s="24">
        <v>0.14233999999999999</v>
      </c>
      <c r="AY23" s="24">
        <v>0.13935999999999998</v>
      </c>
      <c r="AZ23" s="24">
        <v>0.13637999999999997</v>
      </c>
      <c r="BA23" s="24">
        <v>0.13339999999999999</v>
      </c>
      <c r="BB23" s="24">
        <v>0.13153999999999999</v>
      </c>
      <c r="BC23" s="24">
        <v>0.12967999999999999</v>
      </c>
      <c r="BD23" s="24">
        <v>0.12781999999999999</v>
      </c>
      <c r="BE23" s="24">
        <v>0.12595999999999999</v>
      </c>
      <c r="BF23" s="24">
        <v>0.1241</v>
      </c>
      <c r="BG23" s="24">
        <v>0.12224000000000002</v>
      </c>
      <c r="BH23" s="24">
        <v>0.12038</v>
      </c>
      <c r="BI23" s="24">
        <v>0.11852000000000001</v>
      </c>
      <c r="BJ23" s="24">
        <v>0.11666</v>
      </c>
      <c r="BK23" s="24">
        <v>0.11480000000000001</v>
      </c>
    </row>
    <row r="24" spans="1:63">
      <c r="B24" s="310">
        <v>0.5</v>
      </c>
      <c r="C24" s="24">
        <v>0.52900000000000003</v>
      </c>
      <c r="D24" s="24">
        <v>0.51490000000000002</v>
      </c>
      <c r="E24" s="24">
        <v>0.50080000000000002</v>
      </c>
      <c r="F24" s="24">
        <v>0.48670000000000002</v>
      </c>
      <c r="G24" s="24">
        <v>0.47260000000000002</v>
      </c>
      <c r="H24" s="24">
        <v>0.45850000000000002</v>
      </c>
      <c r="I24" s="24">
        <v>0.44440000000000002</v>
      </c>
      <c r="J24" s="24">
        <v>0.43030000000000002</v>
      </c>
      <c r="K24" s="24">
        <v>0.41620000000000001</v>
      </c>
      <c r="L24" s="24">
        <v>0.40210000000000001</v>
      </c>
      <c r="M24" s="24">
        <v>0.38800000000000001</v>
      </c>
      <c r="N24" s="24">
        <v>0.37769999999999998</v>
      </c>
      <c r="O24" s="24">
        <v>0.3674</v>
      </c>
      <c r="P24" s="24">
        <v>0.35709999999999997</v>
      </c>
      <c r="Q24" s="24">
        <v>0.3468</v>
      </c>
      <c r="R24" s="24">
        <v>0.33650000000000002</v>
      </c>
      <c r="S24" s="24">
        <v>0.32619999999999999</v>
      </c>
      <c r="T24" s="24">
        <v>0.31589999999999996</v>
      </c>
      <c r="U24" s="24">
        <v>0.30559999999999998</v>
      </c>
      <c r="V24" s="24">
        <v>0.29530000000000001</v>
      </c>
      <c r="W24" s="24">
        <v>0.28499999999999998</v>
      </c>
      <c r="X24" s="24">
        <v>0.27699999999999997</v>
      </c>
      <c r="Y24" s="24">
        <v>0.26900000000000002</v>
      </c>
      <c r="Z24" s="24">
        <v>0.26100000000000001</v>
      </c>
      <c r="AA24" s="24">
        <v>0.253</v>
      </c>
      <c r="AB24" s="24">
        <v>0.245</v>
      </c>
      <c r="AC24" s="24">
        <v>0.23879999999999998</v>
      </c>
      <c r="AD24" s="24">
        <v>0.23259999999999997</v>
      </c>
      <c r="AE24" s="24">
        <v>0.22640000000000002</v>
      </c>
      <c r="AF24" s="24">
        <v>0.22020000000000001</v>
      </c>
      <c r="AG24" s="24">
        <v>0.214</v>
      </c>
      <c r="AH24" s="24">
        <v>0.20920000000000002</v>
      </c>
      <c r="AI24" s="24">
        <v>0.2044</v>
      </c>
      <c r="AJ24" s="24">
        <v>0.19960000000000003</v>
      </c>
      <c r="AK24" s="24">
        <v>0.19479999999999997</v>
      </c>
      <c r="AL24" s="24">
        <v>0.19</v>
      </c>
      <c r="AM24" s="24">
        <v>0.18520000000000003</v>
      </c>
      <c r="AN24" s="24">
        <v>0.1804</v>
      </c>
      <c r="AO24" s="24">
        <v>0.17560000000000001</v>
      </c>
      <c r="AP24" s="24">
        <v>0.17079999999999998</v>
      </c>
      <c r="AQ24" s="24">
        <v>0.16600000000000001</v>
      </c>
      <c r="AR24" s="24">
        <v>0.16300000000000001</v>
      </c>
      <c r="AS24" s="24">
        <v>0.16</v>
      </c>
      <c r="AT24" s="24">
        <v>0.15700000000000003</v>
      </c>
      <c r="AU24" s="24">
        <v>0.154</v>
      </c>
      <c r="AV24" s="24">
        <v>0.15100000000000002</v>
      </c>
      <c r="AW24" s="24">
        <v>0.14800000000000002</v>
      </c>
      <c r="AX24" s="24">
        <v>0.14499999999999999</v>
      </c>
      <c r="AY24" s="24">
        <v>0.14200000000000002</v>
      </c>
      <c r="AZ24" s="24">
        <v>0.13899999999999998</v>
      </c>
      <c r="BA24" s="24">
        <v>0.13600000000000001</v>
      </c>
      <c r="BB24" s="24">
        <v>0.1341</v>
      </c>
      <c r="BC24" s="24">
        <v>0.13220000000000001</v>
      </c>
      <c r="BD24" s="24">
        <v>0.13030000000000003</v>
      </c>
      <c r="BE24" s="24">
        <v>0.12840000000000001</v>
      </c>
      <c r="BF24" s="24">
        <v>0.1265</v>
      </c>
      <c r="BG24" s="24">
        <v>0.12460000000000002</v>
      </c>
      <c r="BH24" s="24">
        <v>0.1227</v>
      </c>
      <c r="BI24" s="24">
        <v>0.12080000000000002</v>
      </c>
      <c r="BJ24" s="24">
        <v>0.11890000000000001</v>
      </c>
      <c r="BK24" s="24">
        <v>0.11700000000000001</v>
      </c>
    </row>
    <row r="25" spans="1:63">
      <c r="B25" s="310">
        <v>0.51</v>
      </c>
      <c r="C25" s="24">
        <v>0.53500000000000003</v>
      </c>
      <c r="D25" s="24">
        <v>0.52092000000000005</v>
      </c>
      <c r="E25" s="24">
        <v>0.50684000000000007</v>
      </c>
      <c r="F25" s="24">
        <v>0.49276000000000003</v>
      </c>
      <c r="G25" s="24">
        <v>0.47867999999999999</v>
      </c>
      <c r="H25" s="24">
        <v>0.46460000000000001</v>
      </c>
      <c r="I25" s="24">
        <v>0.45052000000000003</v>
      </c>
      <c r="J25" s="24">
        <v>0.43643999999999999</v>
      </c>
      <c r="K25" s="24">
        <v>0.42236000000000001</v>
      </c>
      <c r="L25" s="24">
        <v>0.40828000000000003</v>
      </c>
      <c r="M25" s="24">
        <v>0.39419999999999999</v>
      </c>
      <c r="N25" s="24">
        <v>0.38380000000000003</v>
      </c>
      <c r="O25" s="24">
        <v>0.37339999999999995</v>
      </c>
      <c r="P25" s="24">
        <v>0.36299999999999999</v>
      </c>
      <c r="Q25" s="24">
        <v>0.35260000000000002</v>
      </c>
      <c r="R25" s="24">
        <v>0.34219999999999995</v>
      </c>
      <c r="S25" s="24">
        <v>0.33179999999999998</v>
      </c>
      <c r="T25" s="24">
        <v>0.32139999999999996</v>
      </c>
      <c r="U25" s="24">
        <v>0.311</v>
      </c>
      <c r="V25" s="24">
        <v>0.30059999999999992</v>
      </c>
      <c r="W25" s="24">
        <v>0.29019999999999996</v>
      </c>
      <c r="X25" s="24">
        <v>0.28223999999999999</v>
      </c>
      <c r="Y25" s="24">
        <v>0.27427999999999997</v>
      </c>
      <c r="Z25" s="24">
        <v>0.26632</v>
      </c>
      <c r="AA25" s="24">
        <v>0.25836000000000003</v>
      </c>
      <c r="AB25" s="24">
        <v>0.25040000000000001</v>
      </c>
      <c r="AC25" s="24">
        <v>0.24399999999999999</v>
      </c>
      <c r="AD25" s="24">
        <v>0.23760000000000001</v>
      </c>
      <c r="AE25" s="24">
        <v>0.23120000000000002</v>
      </c>
      <c r="AF25" s="24">
        <v>0.2248</v>
      </c>
      <c r="AG25" s="24">
        <v>0.21840000000000001</v>
      </c>
      <c r="AH25" s="24">
        <v>0.21362000000000003</v>
      </c>
      <c r="AI25" s="24">
        <v>0.20884</v>
      </c>
      <c r="AJ25" s="24">
        <v>0.20406000000000002</v>
      </c>
      <c r="AK25" s="24">
        <v>0.19928000000000001</v>
      </c>
      <c r="AL25" s="24">
        <v>0.19450000000000001</v>
      </c>
      <c r="AM25" s="24">
        <v>0.18972</v>
      </c>
      <c r="AN25" s="24">
        <v>0.18493999999999999</v>
      </c>
      <c r="AO25" s="24">
        <v>0.18015999999999999</v>
      </c>
      <c r="AP25" s="24">
        <v>0.17537999999999998</v>
      </c>
      <c r="AQ25" s="24">
        <v>0.1706</v>
      </c>
      <c r="AR25" s="24">
        <v>0.16750000000000001</v>
      </c>
      <c r="AS25" s="24">
        <v>0.16439999999999999</v>
      </c>
      <c r="AT25" s="24">
        <v>0.1613</v>
      </c>
      <c r="AU25" s="24">
        <v>0.15819999999999998</v>
      </c>
      <c r="AV25" s="24">
        <v>0.15510000000000002</v>
      </c>
      <c r="AW25" s="24">
        <v>0.15200000000000002</v>
      </c>
      <c r="AX25" s="24">
        <v>0.1489</v>
      </c>
      <c r="AY25" s="24">
        <v>0.14580000000000001</v>
      </c>
      <c r="AZ25" s="24">
        <v>0.14269999999999999</v>
      </c>
      <c r="BA25" s="24">
        <v>0.1396</v>
      </c>
      <c r="BB25" s="24">
        <v>0.13766</v>
      </c>
      <c r="BC25" s="24">
        <v>0.13572000000000001</v>
      </c>
      <c r="BD25" s="24">
        <v>0.13378000000000001</v>
      </c>
      <c r="BE25" s="24">
        <v>0.13183999999999998</v>
      </c>
      <c r="BF25" s="24">
        <v>0.12990000000000002</v>
      </c>
      <c r="BG25" s="24">
        <v>0.12796000000000002</v>
      </c>
      <c r="BH25" s="24">
        <v>0.12602000000000002</v>
      </c>
      <c r="BI25" s="24">
        <v>0.12408000000000002</v>
      </c>
      <c r="BJ25" s="24">
        <v>0.12214</v>
      </c>
      <c r="BK25" s="24">
        <v>0.12020000000000002</v>
      </c>
    </row>
    <row r="26" spans="1:63">
      <c r="B26" s="310">
        <v>0.52</v>
      </c>
      <c r="C26" s="24">
        <v>0.54100000000000004</v>
      </c>
      <c r="D26" s="24">
        <v>0.52694000000000007</v>
      </c>
      <c r="E26" s="24">
        <v>0.51288000000000011</v>
      </c>
      <c r="F26" s="24">
        <v>0.49882000000000004</v>
      </c>
      <c r="G26" s="24">
        <v>0.48476000000000008</v>
      </c>
      <c r="H26" s="24">
        <v>0.47070000000000006</v>
      </c>
      <c r="I26" s="24">
        <v>0.45664000000000005</v>
      </c>
      <c r="J26" s="24">
        <v>0.44258000000000008</v>
      </c>
      <c r="K26" s="24">
        <v>0.42852000000000007</v>
      </c>
      <c r="L26" s="24">
        <v>0.41446000000000011</v>
      </c>
      <c r="M26" s="24">
        <v>0.40040000000000009</v>
      </c>
      <c r="N26" s="24">
        <v>0.38990000000000008</v>
      </c>
      <c r="O26" s="24">
        <v>0.37940000000000007</v>
      </c>
      <c r="P26" s="24">
        <v>0.36890000000000012</v>
      </c>
      <c r="Q26" s="24">
        <v>0.35840000000000005</v>
      </c>
      <c r="R26" s="24">
        <v>0.34790000000000004</v>
      </c>
      <c r="S26" s="24">
        <v>0.33740000000000003</v>
      </c>
      <c r="T26" s="24">
        <v>0.32689999999999997</v>
      </c>
      <c r="U26" s="24">
        <v>0.31640000000000001</v>
      </c>
      <c r="V26" s="24">
        <v>0.30590000000000006</v>
      </c>
      <c r="W26" s="24">
        <v>0.2954</v>
      </c>
      <c r="X26" s="24">
        <v>0.28748000000000001</v>
      </c>
      <c r="Y26" s="24">
        <v>0.27956000000000003</v>
      </c>
      <c r="Z26" s="24">
        <v>0.27163999999999999</v>
      </c>
      <c r="AA26" s="24">
        <v>0.26372000000000007</v>
      </c>
      <c r="AB26" s="24">
        <v>0.25580000000000003</v>
      </c>
      <c r="AC26" s="24">
        <v>0.24920000000000003</v>
      </c>
      <c r="AD26" s="24">
        <v>0.24260000000000001</v>
      </c>
      <c r="AE26" s="24">
        <v>0.23600000000000004</v>
      </c>
      <c r="AF26" s="24">
        <v>0.22940000000000005</v>
      </c>
      <c r="AG26" s="24">
        <v>0.22280000000000003</v>
      </c>
      <c r="AH26" s="24">
        <v>0.21804000000000007</v>
      </c>
      <c r="AI26" s="24">
        <v>0.21328000000000003</v>
      </c>
      <c r="AJ26" s="24">
        <v>0.20852000000000004</v>
      </c>
      <c r="AK26" s="24">
        <v>0.20376</v>
      </c>
      <c r="AL26" s="24">
        <v>0.19900000000000001</v>
      </c>
      <c r="AM26" s="24">
        <v>0.19424000000000002</v>
      </c>
      <c r="AN26" s="24">
        <v>0.18948000000000001</v>
      </c>
      <c r="AO26" s="24">
        <v>0.18472000000000002</v>
      </c>
      <c r="AP26" s="24">
        <v>0.17996000000000001</v>
      </c>
      <c r="AQ26" s="24">
        <v>0.17520000000000002</v>
      </c>
      <c r="AR26" s="24">
        <v>0.17200000000000001</v>
      </c>
      <c r="AS26" s="24">
        <v>0.16880000000000001</v>
      </c>
      <c r="AT26" s="24">
        <v>0.16560000000000002</v>
      </c>
      <c r="AU26" s="24">
        <v>0.16240000000000002</v>
      </c>
      <c r="AV26" s="24">
        <v>0.15920000000000001</v>
      </c>
      <c r="AW26" s="24">
        <v>0.15600000000000003</v>
      </c>
      <c r="AX26" s="24">
        <v>0.15280000000000002</v>
      </c>
      <c r="AY26" s="24">
        <v>0.14960000000000004</v>
      </c>
      <c r="AZ26" s="24">
        <v>0.14640000000000003</v>
      </c>
      <c r="BA26" s="24">
        <v>0.14320000000000002</v>
      </c>
      <c r="BB26" s="24">
        <v>0.14122000000000004</v>
      </c>
      <c r="BC26" s="24">
        <v>0.13924000000000003</v>
      </c>
      <c r="BD26" s="24">
        <v>0.13726000000000002</v>
      </c>
      <c r="BE26" s="24">
        <v>0.13528000000000001</v>
      </c>
      <c r="BF26" s="24">
        <v>0.13330000000000003</v>
      </c>
      <c r="BG26" s="24">
        <v>0.13132000000000005</v>
      </c>
      <c r="BH26" s="24">
        <v>0.12934000000000004</v>
      </c>
      <c r="BI26" s="24">
        <v>0.12736000000000003</v>
      </c>
      <c r="BJ26" s="24">
        <v>0.12538000000000002</v>
      </c>
      <c r="BK26" s="24">
        <v>0.12340000000000004</v>
      </c>
    </row>
    <row r="27" spans="1:63">
      <c r="B27" s="310">
        <v>0.53</v>
      </c>
      <c r="C27" s="24">
        <v>0.54700000000000004</v>
      </c>
      <c r="D27" s="24">
        <v>0.5329600000000001</v>
      </c>
      <c r="E27" s="24">
        <v>0.51892000000000005</v>
      </c>
      <c r="F27" s="24">
        <v>0.50488</v>
      </c>
      <c r="G27" s="24">
        <v>0.49084000000000005</v>
      </c>
      <c r="H27" s="24">
        <v>0.4768</v>
      </c>
      <c r="I27" s="24">
        <v>0.46276</v>
      </c>
      <c r="J27" s="24">
        <v>0.44872000000000001</v>
      </c>
      <c r="K27" s="24">
        <v>0.43468000000000001</v>
      </c>
      <c r="L27" s="24">
        <v>0.42064000000000001</v>
      </c>
      <c r="M27" s="24">
        <v>0.40660000000000002</v>
      </c>
      <c r="N27" s="24">
        <v>0.39600000000000002</v>
      </c>
      <c r="O27" s="24">
        <v>0.38540000000000002</v>
      </c>
      <c r="P27" s="24">
        <v>0.37480000000000002</v>
      </c>
      <c r="Q27" s="24">
        <v>0.36420000000000002</v>
      </c>
      <c r="R27" s="24">
        <v>0.35360000000000003</v>
      </c>
      <c r="S27" s="24">
        <v>0.34300000000000003</v>
      </c>
      <c r="T27" s="24">
        <v>0.33240000000000003</v>
      </c>
      <c r="U27" s="24">
        <v>0.32180000000000003</v>
      </c>
      <c r="V27" s="24">
        <v>0.31120000000000003</v>
      </c>
      <c r="W27" s="24">
        <v>0.30060000000000003</v>
      </c>
      <c r="X27" s="24">
        <v>0.29272000000000004</v>
      </c>
      <c r="Y27" s="24">
        <v>0.28484000000000004</v>
      </c>
      <c r="Z27" s="24">
        <v>0.27696000000000004</v>
      </c>
      <c r="AA27" s="24">
        <v>0.26908000000000004</v>
      </c>
      <c r="AB27" s="24">
        <v>0.26120000000000004</v>
      </c>
      <c r="AC27" s="24">
        <v>0.25440000000000002</v>
      </c>
      <c r="AD27" s="24">
        <v>0.24760000000000004</v>
      </c>
      <c r="AE27" s="24">
        <v>0.24080000000000001</v>
      </c>
      <c r="AF27" s="24">
        <v>0.23400000000000004</v>
      </c>
      <c r="AG27" s="24">
        <v>0.22720000000000001</v>
      </c>
      <c r="AH27" s="24">
        <v>0.22246000000000005</v>
      </c>
      <c r="AI27" s="24">
        <v>0.21772000000000002</v>
      </c>
      <c r="AJ27" s="24">
        <v>0.21298</v>
      </c>
      <c r="AK27" s="24">
        <v>0.20823999999999998</v>
      </c>
      <c r="AL27" s="24">
        <v>0.20350000000000001</v>
      </c>
      <c r="AM27" s="24">
        <v>0.19876000000000005</v>
      </c>
      <c r="AN27" s="24">
        <v>0.19402000000000003</v>
      </c>
      <c r="AO27" s="24">
        <v>0.18928</v>
      </c>
      <c r="AP27" s="24">
        <v>0.18453999999999998</v>
      </c>
      <c r="AQ27" s="24">
        <v>0.17980000000000002</v>
      </c>
      <c r="AR27" s="24">
        <v>0.17650000000000002</v>
      </c>
      <c r="AS27" s="24">
        <v>0.17319999999999999</v>
      </c>
      <c r="AT27" s="24">
        <v>0.16990000000000005</v>
      </c>
      <c r="AU27" s="24">
        <v>0.16660000000000003</v>
      </c>
      <c r="AV27" s="24">
        <v>0.16330000000000003</v>
      </c>
      <c r="AW27" s="24">
        <v>0.16</v>
      </c>
      <c r="AX27" s="24">
        <v>0.15670000000000003</v>
      </c>
      <c r="AY27" s="24">
        <v>0.15340000000000004</v>
      </c>
      <c r="AZ27" s="24">
        <v>0.15010000000000004</v>
      </c>
      <c r="BA27" s="24">
        <v>0.14680000000000004</v>
      </c>
      <c r="BB27" s="24">
        <v>0.14478000000000005</v>
      </c>
      <c r="BC27" s="24">
        <v>0.14276000000000003</v>
      </c>
      <c r="BD27" s="24">
        <v>0.14074000000000003</v>
      </c>
      <c r="BE27" s="24">
        <v>0.13872000000000004</v>
      </c>
      <c r="BF27" s="24">
        <v>0.13670000000000004</v>
      </c>
      <c r="BG27" s="24">
        <v>0.13468000000000005</v>
      </c>
      <c r="BH27" s="24">
        <v>0.13266000000000003</v>
      </c>
      <c r="BI27" s="24">
        <v>0.13064000000000003</v>
      </c>
      <c r="BJ27" s="24">
        <v>0.12862000000000001</v>
      </c>
      <c r="BK27" s="24">
        <v>0.12660000000000002</v>
      </c>
    </row>
    <row r="28" spans="1:63">
      <c r="B28" s="310">
        <v>0.54</v>
      </c>
      <c r="C28" s="24">
        <v>0.55300000000000005</v>
      </c>
      <c r="D28" s="24">
        <v>0.53898000000000001</v>
      </c>
      <c r="E28" s="24">
        <v>0.52496000000000009</v>
      </c>
      <c r="F28" s="24">
        <v>0.51094000000000006</v>
      </c>
      <c r="G28" s="24">
        <v>0.49692000000000008</v>
      </c>
      <c r="H28" s="24">
        <v>0.48290000000000005</v>
      </c>
      <c r="I28" s="24">
        <v>0.46888000000000007</v>
      </c>
      <c r="J28" s="24">
        <v>0.45486000000000004</v>
      </c>
      <c r="K28" s="24">
        <v>0.44084000000000007</v>
      </c>
      <c r="L28" s="24">
        <v>0.42682000000000009</v>
      </c>
      <c r="M28" s="24">
        <v>0.41280000000000006</v>
      </c>
      <c r="N28" s="24">
        <v>0.40210000000000007</v>
      </c>
      <c r="O28" s="24">
        <v>0.39140000000000003</v>
      </c>
      <c r="P28" s="24">
        <v>0.38070000000000004</v>
      </c>
      <c r="Q28" s="24">
        <v>0.37</v>
      </c>
      <c r="R28" s="24">
        <v>0.35930000000000006</v>
      </c>
      <c r="S28" s="24">
        <v>0.34860000000000002</v>
      </c>
      <c r="T28" s="24">
        <v>0.33789999999999998</v>
      </c>
      <c r="U28" s="24">
        <v>0.32720000000000005</v>
      </c>
      <c r="V28" s="24">
        <v>0.3165</v>
      </c>
      <c r="W28" s="24">
        <v>0.30580000000000002</v>
      </c>
      <c r="X28" s="24">
        <v>0.29796</v>
      </c>
      <c r="Y28" s="24">
        <v>0.29012000000000004</v>
      </c>
      <c r="Z28" s="24">
        <v>0.28228000000000003</v>
      </c>
      <c r="AA28" s="24">
        <v>0.27444000000000007</v>
      </c>
      <c r="AB28" s="24">
        <v>0.26660000000000006</v>
      </c>
      <c r="AC28" s="24">
        <v>0.25960000000000005</v>
      </c>
      <c r="AD28" s="24">
        <v>0.25260000000000005</v>
      </c>
      <c r="AE28" s="24">
        <v>0.24560000000000007</v>
      </c>
      <c r="AF28" s="24">
        <v>0.23860000000000003</v>
      </c>
      <c r="AG28" s="24">
        <v>0.23160000000000003</v>
      </c>
      <c r="AH28" s="24">
        <v>0.22688000000000003</v>
      </c>
      <c r="AI28" s="24">
        <v>0.22216000000000002</v>
      </c>
      <c r="AJ28" s="24">
        <v>0.21744000000000005</v>
      </c>
      <c r="AK28" s="24">
        <v>0.21272000000000002</v>
      </c>
      <c r="AL28" s="24">
        <v>0.20800000000000002</v>
      </c>
      <c r="AM28" s="24">
        <v>0.20328000000000007</v>
      </c>
      <c r="AN28" s="24">
        <v>0.19856000000000001</v>
      </c>
      <c r="AO28" s="24">
        <v>0.19384000000000004</v>
      </c>
      <c r="AP28" s="24">
        <v>0.18912000000000004</v>
      </c>
      <c r="AQ28" s="24">
        <v>0.18440000000000004</v>
      </c>
      <c r="AR28" s="24">
        <v>0.18100000000000005</v>
      </c>
      <c r="AS28" s="24">
        <v>0.17760000000000001</v>
      </c>
      <c r="AT28" s="24">
        <v>0.17420000000000005</v>
      </c>
      <c r="AU28" s="24">
        <v>0.17080000000000004</v>
      </c>
      <c r="AV28" s="24">
        <v>0.16740000000000005</v>
      </c>
      <c r="AW28" s="24">
        <v>0.16400000000000003</v>
      </c>
      <c r="AX28" s="24">
        <v>0.16060000000000002</v>
      </c>
      <c r="AY28" s="24">
        <v>0.15720000000000003</v>
      </c>
      <c r="AZ28" s="24">
        <v>0.15380000000000002</v>
      </c>
      <c r="BA28" s="24">
        <v>0.15040000000000003</v>
      </c>
      <c r="BB28" s="24">
        <v>0.14834000000000006</v>
      </c>
      <c r="BC28" s="24">
        <v>0.14628000000000002</v>
      </c>
      <c r="BD28" s="24">
        <v>0.14422000000000004</v>
      </c>
      <c r="BE28" s="24">
        <v>0.14216000000000004</v>
      </c>
      <c r="BF28" s="24">
        <v>0.14010000000000003</v>
      </c>
      <c r="BG28" s="24">
        <v>0.13804000000000002</v>
      </c>
      <c r="BH28" s="24">
        <v>0.13598000000000002</v>
      </c>
      <c r="BI28" s="24">
        <v>0.13392000000000004</v>
      </c>
      <c r="BJ28" s="24">
        <v>0.13186000000000003</v>
      </c>
      <c r="BK28" s="24">
        <v>0.12980000000000003</v>
      </c>
    </row>
    <row r="29" spans="1:63">
      <c r="B29" s="310">
        <v>0.55000000000000004</v>
      </c>
      <c r="C29" s="24">
        <v>0.55900000000000005</v>
      </c>
      <c r="D29" s="24">
        <v>0.54500000000000004</v>
      </c>
      <c r="E29" s="24">
        <v>0.53100000000000003</v>
      </c>
      <c r="F29" s="24">
        <v>0.51700000000000002</v>
      </c>
      <c r="G29" s="24">
        <v>0.503</v>
      </c>
      <c r="H29" s="24">
        <v>0.48899999999999999</v>
      </c>
      <c r="I29" s="24">
        <v>0.47499999999999998</v>
      </c>
      <c r="J29" s="24">
        <v>0.46099999999999997</v>
      </c>
      <c r="K29" s="24">
        <v>0.44699999999999995</v>
      </c>
      <c r="L29" s="24">
        <v>0.433</v>
      </c>
      <c r="M29" s="24">
        <v>0.41899999999999998</v>
      </c>
      <c r="N29" s="24">
        <v>0.40819999999999995</v>
      </c>
      <c r="O29" s="24">
        <v>0.39739999999999992</v>
      </c>
      <c r="P29" s="24">
        <v>0.3866</v>
      </c>
      <c r="Q29" s="24">
        <v>0.37579999999999997</v>
      </c>
      <c r="R29" s="24">
        <v>0.36499999999999999</v>
      </c>
      <c r="S29" s="24">
        <v>0.35419999999999996</v>
      </c>
      <c r="T29" s="24">
        <v>0.34339999999999998</v>
      </c>
      <c r="U29" s="24">
        <v>0.33260000000000001</v>
      </c>
      <c r="V29" s="24">
        <v>0.32180000000000003</v>
      </c>
      <c r="W29" s="24">
        <v>0.311</v>
      </c>
      <c r="X29" s="24">
        <v>0.30319999999999997</v>
      </c>
      <c r="Y29" s="24">
        <v>0.2954</v>
      </c>
      <c r="Z29" s="24">
        <v>0.28760000000000002</v>
      </c>
      <c r="AA29" s="24">
        <v>0.27979999999999999</v>
      </c>
      <c r="AB29" s="24">
        <v>0.27200000000000002</v>
      </c>
      <c r="AC29" s="24">
        <v>0.26479999999999998</v>
      </c>
      <c r="AD29" s="24">
        <v>0.2576</v>
      </c>
      <c r="AE29" s="24">
        <v>0.25040000000000001</v>
      </c>
      <c r="AF29" s="24">
        <v>0.2432</v>
      </c>
      <c r="AG29" s="24">
        <v>0.23599999999999999</v>
      </c>
      <c r="AH29" s="24">
        <v>0.23130000000000001</v>
      </c>
      <c r="AI29" s="24">
        <v>0.22659999999999997</v>
      </c>
      <c r="AJ29" s="24">
        <v>0.22190000000000001</v>
      </c>
      <c r="AK29" s="24">
        <v>0.2172</v>
      </c>
      <c r="AL29" s="24">
        <v>0.21249999999999999</v>
      </c>
      <c r="AM29" s="24">
        <v>0.20780000000000001</v>
      </c>
      <c r="AN29" s="24">
        <v>0.2031</v>
      </c>
      <c r="AO29" s="24">
        <v>0.19840000000000002</v>
      </c>
      <c r="AP29" s="24">
        <v>0.19369999999999998</v>
      </c>
      <c r="AQ29" s="24">
        <v>0.189</v>
      </c>
      <c r="AR29" s="24">
        <v>0.1855</v>
      </c>
      <c r="AS29" s="24">
        <v>0.182</v>
      </c>
      <c r="AT29" s="24">
        <v>0.17849999999999999</v>
      </c>
      <c r="AU29" s="24">
        <v>0.17499999999999999</v>
      </c>
      <c r="AV29" s="24">
        <v>0.17149999999999999</v>
      </c>
      <c r="AW29" s="24">
        <v>0.16800000000000001</v>
      </c>
      <c r="AX29" s="24">
        <v>0.16449999999999998</v>
      </c>
      <c r="AY29" s="24">
        <v>0.161</v>
      </c>
      <c r="AZ29" s="24">
        <v>0.1575</v>
      </c>
      <c r="BA29" s="24">
        <v>0.154</v>
      </c>
      <c r="BB29" s="24">
        <v>0.15190000000000001</v>
      </c>
      <c r="BC29" s="24">
        <v>0.14979999999999999</v>
      </c>
      <c r="BD29" s="24">
        <v>0.1477</v>
      </c>
      <c r="BE29" s="24">
        <v>0.14560000000000001</v>
      </c>
      <c r="BF29" s="24">
        <v>0.14350000000000002</v>
      </c>
      <c r="BG29" s="24">
        <v>0.1414</v>
      </c>
      <c r="BH29" s="24">
        <v>0.13930000000000001</v>
      </c>
      <c r="BI29" s="24">
        <v>0.13720000000000002</v>
      </c>
      <c r="BJ29" s="24">
        <v>0.1351</v>
      </c>
      <c r="BK29" s="24">
        <v>0.13300000000000001</v>
      </c>
    </row>
    <row r="30" spans="1:63">
      <c r="B30" s="310">
        <v>0.56000000000000005</v>
      </c>
      <c r="C30" s="24">
        <v>0.56420000000000003</v>
      </c>
      <c r="D30" s="24">
        <v>0.55026000000000008</v>
      </c>
      <c r="E30" s="24">
        <v>0.53632000000000002</v>
      </c>
      <c r="F30" s="24">
        <v>0.52238000000000007</v>
      </c>
      <c r="G30" s="24">
        <v>0.50844</v>
      </c>
      <c r="H30" s="24">
        <v>0.4945</v>
      </c>
      <c r="I30" s="24">
        <v>0.48055999999999999</v>
      </c>
      <c r="J30" s="24">
        <v>0.46662000000000003</v>
      </c>
      <c r="K30" s="24">
        <v>0.45267999999999997</v>
      </c>
      <c r="L30" s="24">
        <v>0.43874000000000002</v>
      </c>
      <c r="M30" s="24">
        <v>0.42479999999999996</v>
      </c>
      <c r="N30" s="24">
        <v>0.41397999999999996</v>
      </c>
      <c r="O30" s="24">
        <v>0.40315999999999991</v>
      </c>
      <c r="P30" s="24">
        <v>0.39234000000000002</v>
      </c>
      <c r="Q30" s="24">
        <v>0.38151999999999997</v>
      </c>
      <c r="R30" s="24">
        <v>0.37069999999999997</v>
      </c>
      <c r="S30" s="24">
        <v>0.35987999999999998</v>
      </c>
      <c r="T30" s="24">
        <v>0.34905999999999993</v>
      </c>
      <c r="U30" s="24">
        <v>0.33823999999999999</v>
      </c>
      <c r="V30" s="24">
        <v>0.32741999999999999</v>
      </c>
      <c r="W30" s="24">
        <v>0.31659999999999999</v>
      </c>
      <c r="X30" s="24">
        <v>0.30859999999999999</v>
      </c>
      <c r="Y30" s="24">
        <v>0.30059999999999998</v>
      </c>
      <c r="Z30" s="24">
        <v>0.29259999999999997</v>
      </c>
      <c r="AA30" s="24">
        <v>0.28460000000000002</v>
      </c>
      <c r="AB30" s="24">
        <v>0.27660000000000001</v>
      </c>
      <c r="AC30" s="24">
        <v>0.26948</v>
      </c>
      <c r="AD30" s="24">
        <v>0.26235999999999998</v>
      </c>
      <c r="AE30" s="24">
        <v>0.25524000000000002</v>
      </c>
      <c r="AF30" s="24">
        <v>0.24812000000000001</v>
      </c>
      <c r="AG30" s="24">
        <v>0.24099999999999999</v>
      </c>
      <c r="AH30" s="24">
        <v>0.23621999999999999</v>
      </c>
      <c r="AI30" s="24">
        <v>0.23143999999999998</v>
      </c>
      <c r="AJ30" s="24">
        <v>0.22666000000000003</v>
      </c>
      <c r="AK30" s="24">
        <v>0.22187999999999999</v>
      </c>
      <c r="AL30" s="24">
        <v>0.21710000000000002</v>
      </c>
      <c r="AM30" s="24">
        <v>0.21232000000000001</v>
      </c>
      <c r="AN30" s="24">
        <v>0.20754</v>
      </c>
      <c r="AO30" s="24">
        <v>0.20276000000000002</v>
      </c>
      <c r="AP30" s="24">
        <v>0.19797999999999999</v>
      </c>
      <c r="AQ30" s="24">
        <v>0.19320000000000001</v>
      </c>
      <c r="AR30" s="24">
        <v>0.18964000000000003</v>
      </c>
      <c r="AS30" s="24">
        <v>0.18608000000000002</v>
      </c>
      <c r="AT30" s="24">
        <v>0.18252000000000002</v>
      </c>
      <c r="AU30" s="24">
        <v>0.17896000000000001</v>
      </c>
      <c r="AV30" s="24">
        <v>0.1754</v>
      </c>
      <c r="AW30" s="24">
        <v>0.17184000000000002</v>
      </c>
      <c r="AX30" s="24">
        <v>0.16828000000000001</v>
      </c>
      <c r="AY30" s="24">
        <v>0.16472000000000003</v>
      </c>
      <c r="AZ30" s="24">
        <v>0.16116</v>
      </c>
      <c r="BA30" s="24">
        <v>0.15760000000000002</v>
      </c>
      <c r="BB30" s="24">
        <v>0.15546000000000004</v>
      </c>
      <c r="BC30" s="24">
        <v>0.15332000000000001</v>
      </c>
      <c r="BD30" s="24">
        <v>0.15118000000000004</v>
      </c>
      <c r="BE30" s="24">
        <v>0.14904000000000001</v>
      </c>
      <c r="BF30" s="24">
        <v>0.14690000000000003</v>
      </c>
      <c r="BG30" s="24">
        <v>0.14476000000000003</v>
      </c>
      <c r="BH30" s="24">
        <v>0.14262000000000002</v>
      </c>
      <c r="BI30" s="24">
        <v>0.14048000000000002</v>
      </c>
      <c r="BJ30" s="24">
        <v>0.13834000000000002</v>
      </c>
      <c r="BK30" s="24">
        <v>0.13620000000000002</v>
      </c>
    </row>
    <row r="31" spans="1:63">
      <c r="B31" s="310">
        <v>0.56999999999999995</v>
      </c>
      <c r="C31" s="24">
        <v>0.56940000000000002</v>
      </c>
      <c r="D31" s="24">
        <v>0.5555199999999999</v>
      </c>
      <c r="E31" s="24">
        <v>0.54164000000000001</v>
      </c>
      <c r="F31" s="24">
        <v>0.52776000000000001</v>
      </c>
      <c r="G31" s="24">
        <v>0.51388</v>
      </c>
      <c r="H31" s="24">
        <v>0.5</v>
      </c>
      <c r="I31" s="24">
        <v>0.48612</v>
      </c>
      <c r="J31" s="24">
        <v>0.47223999999999999</v>
      </c>
      <c r="K31" s="24">
        <v>0.45835999999999999</v>
      </c>
      <c r="L31" s="24">
        <v>0.44447999999999999</v>
      </c>
      <c r="M31" s="24">
        <v>0.43059999999999998</v>
      </c>
      <c r="N31" s="24">
        <v>0.41975999999999997</v>
      </c>
      <c r="O31" s="24">
        <v>0.40891999999999995</v>
      </c>
      <c r="P31" s="24">
        <v>0.39808000000000004</v>
      </c>
      <c r="Q31" s="24">
        <v>0.38724000000000003</v>
      </c>
      <c r="R31" s="24">
        <v>0.37640000000000001</v>
      </c>
      <c r="S31" s="24">
        <v>0.36556</v>
      </c>
      <c r="T31" s="24">
        <v>0.35471999999999998</v>
      </c>
      <c r="U31" s="24">
        <v>0.34388000000000007</v>
      </c>
      <c r="V31" s="24">
        <v>0.33304000000000006</v>
      </c>
      <c r="W31" s="24">
        <v>0.32220000000000004</v>
      </c>
      <c r="X31" s="24">
        <v>0.31400000000000006</v>
      </c>
      <c r="Y31" s="24">
        <v>0.30580000000000002</v>
      </c>
      <c r="Z31" s="24">
        <v>0.29760000000000003</v>
      </c>
      <c r="AA31" s="24">
        <v>0.28940000000000005</v>
      </c>
      <c r="AB31" s="24">
        <v>0.28120000000000001</v>
      </c>
      <c r="AC31" s="24">
        <v>0.27416000000000001</v>
      </c>
      <c r="AD31" s="24">
        <v>0.26711999999999997</v>
      </c>
      <c r="AE31" s="24">
        <v>0.26007999999999998</v>
      </c>
      <c r="AF31" s="24">
        <v>0.25303999999999999</v>
      </c>
      <c r="AG31" s="24">
        <v>0.246</v>
      </c>
      <c r="AH31" s="24">
        <v>0.24114000000000002</v>
      </c>
      <c r="AI31" s="24">
        <v>0.23627999999999999</v>
      </c>
      <c r="AJ31" s="24">
        <v>0.23142000000000001</v>
      </c>
      <c r="AK31" s="24">
        <v>0.22655999999999998</v>
      </c>
      <c r="AL31" s="24">
        <v>0.22170000000000001</v>
      </c>
      <c r="AM31" s="24">
        <v>0.21684000000000003</v>
      </c>
      <c r="AN31" s="24">
        <v>0.21198</v>
      </c>
      <c r="AO31" s="24">
        <v>0.20712000000000003</v>
      </c>
      <c r="AP31" s="24">
        <v>0.20226</v>
      </c>
      <c r="AQ31" s="24">
        <v>0.19740000000000002</v>
      </c>
      <c r="AR31" s="24">
        <v>0.19378000000000004</v>
      </c>
      <c r="AS31" s="24">
        <v>0.19016</v>
      </c>
      <c r="AT31" s="24">
        <v>0.18654000000000004</v>
      </c>
      <c r="AU31" s="24">
        <v>0.18292000000000003</v>
      </c>
      <c r="AV31" s="24">
        <v>0.17930000000000001</v>
      </c>
      <c r="AW31" s="24">
        <v>0.17568</v>
      </c>
      <c r="AX31" s="24">
        <v>0.17206000000000002</v>
      </c>
      <c r="AY31" s="24">
        <v>0.16844000000000003</v>
      </c>
      <c r="AZ31" s="24">
        <v>0.16481999999999999</v>
      </c>
      <c r="BA31" s="24">
        <v>0.16120000000000001</v>
      </c>
      <c r="BB31" s="24">
        <v>0.15902000000000002</v>
      </c>
      <c r="BC31" s="24">
        <v>0.15684000000000001</v>
      </c>
      <c r="BD31" s="24">
        <v>0.15466000000000002</v>
      </c>
      <c r="BE31" s="24">
        <v>0.15248</v>
      </c>
      <c r="BF31" s="24">
        <v>0.15029999999999999</v>
      </c>
      <c r="BG31" s="24">
        <v>0.14812000000000003</v>
      </c>
      <c r="BH31" s="24">
        <v>0.14594000000000001</v>
      </c>
      <c r="BI31" s="24">
        <v>0.14376</v>
      </c>
      <c r="BJ31" s="24">
        <v>0.14157999999999998</v>
      </c>
      <c r="BK31" s="24">
        <v>0.1394</v>
      </c>
    </row>
    <row r="32" spans="1:63">
      <c r="B32" s="310">
        <v>0.57999999999999996</v>
      </c>
      <c r="C32" s="24">
        <v>0.5746</v>
      </c>
      <c r="D32" s="24">
        <v>0.56077999999999995</v>
      </c>
      <c r="E32" s="24">
        <v>0.54696</v>
      </c>
      <c r="F32" s="24">
        <v>0.53313999999999995</v>
      </c>
      <c r="G32" s="24">
        <v>0.51932</v>
      </c>
      <c r="H32" s="24">
        <v>0.50550000000000006</v>
      </c>
      <c r="I32" s="24">
        <v>0.49168000000000001</v>
      </c>
      <c r="J32" s="24">
        <v>0.47786000000000001</v>
      </c>
      <c r="K32" s="24">
        <v>0.46404000000000001</v>
      </c>
      <c r="L32" s="24">
        <v>0.45022000000000006</v>
      </c>
      <c r="M32" s="24">
        <v>0.43640000000000001</v>
      </c>
      <c r="N32" s="24">
        <v>0.42554000000000003</v>
      </c>
      <c r="O32" s="24">
        <v>0.41467999999999999</v>
      </c>
      <c r="P32" s="24">
        <v>0.40382000000000001</v>
      </c>
      <c r="Q32" s="24">
        <v>0.39295999999999998</v>
      </c>
      <c r="R32" s="24">
        <v>0.3821</v>
      </c>
      <c r="S32" s="24">
        <v>0.37124000000000001</v>
      </c>
      <c r="T32" s="24">
        <v>0.36037999999999998</v>
      </c>
      <c r="U32" s="24">
        <v>0.34952</v>
      </c>
      <c r="V32" s="24">
        <v>0.33865999999999996</v>
      </c>
      <c r="W32" s="24">
        <v>0.32779999999999998</v>
      </c>
      <c r="X32" s="24">
        <v>0.31939999999999996</v>
      </c>
      <c r="Y32" s="24">
        <v>0.311</v>
      </c>
      <c r="Z32" s="24">
        <v>0.30259999999999998</v>
      </c>
      <c r="AA32" s="24">
        <v>0.29420000000000002</v>
      </c>
      <c r="AB32" s="24">
        <v>0.2858</v>
      </c>
      <c r="AC32" s="24">
        <v>0.27883999999999998</v>
      </c>
      <c r="AD32" s="24">
        <v>0.27188000000000001</v>
      </c>
      <c r="AE32" s="24">
        <v>0.26491999999999999</v>
      </c>
      <c r="AF32" s="24">
        <v>0.25796000000000002</v>
      </c>
      <c r="AG32" s="24">
        <v>0.251</v>
      </c>
      <c r="AH32" s="24">
        <v>0.24606000000000003</v>
      </c>
      <c r="AI32" s="24">
        <v>0.24112</v>
      </c>
      <c r="AJ32" s="24">
        <v>0.23618</v>
      </c>
      <c r="AK32" s="24">
        <v>0.23123999999999997</v>
      </c>
      <c r="AL32" s="24">
        <v>0.2263</v>
      </c>
      <c r="AM32" s="24">
        <v>0.22136</v>
      </c>
      <c r="AN32" s="24">
        <v>0.21641999999999997</v>
      </c>
      <c r="AO32" s="24">
        <v>0.21148000000000003</v>
      </c>
      <c r="AP32" s="24">
        <v>0.20653999999999997</v>
      </c>
      <c r="AQ32" s="24">
        <v>0.2016</v>
      </c>
      <c r="AR32" s="24">
        <v>0.19792000000000001</v>
      </c>
      <c r="AS32" s="24">
        <v>0.19424</v>
      </c>
      <c r="AT32" s="24">
        <v>0.19055999999999998</v>
      </c>
      <c r="AU32" s="24">
        <v>0.18687999999999999</v>
      </c>
      <c r="AV32" s="24">
        <v>0.18319999999999997</v>
      </c>
      <c r="AW32" s="24">
        <v>0.17952000000000001</v>
      </c>
      <c r="AX32" s="24">
        <v>0.17584</v>
      </c>
      <c r="AY32" s="24">
        <v>0.17215999999999998</v>
      </c>
      <c r="AZ32" s="24">
        <v>0.16847999999999996</v>
      </c>
      <c r="BA32" s="24">
        <v>0.16479999999999997</v>
      </c>
      <c r="BB32" s="24">
        <v>0.16257999999999997</v>
      </c>
      <c r="BC32" s="24">
        <v>0.16035999999999997</v>
      </c>
      <c r="BD32" s="24">
        <v>0.15814</v>
      </c>
      <c r="BE32" s="24">
        <v>0.15591999999999998</v>
      </c>
      <c r="BF32" s="24">
        <v>0.1537</v>
      </c>
      <c r="BG32" s="24">
        <v>0.15148</v>
      </c>
      <c r="BH32" s="24">
        <v>0.14926</v>
      </c>
      <c r="BI32" s="24">
        <v>0.14704</v>
      </c>
      <c r="BJ32" s="24">
        <v>0.14482</v>
      </c>
      <c r="BK32" s="24">
        <v>0.1426</v>
      </c>
    </row>
    <row r="33" spans="2:63">
      <c r="B33" s="310">
        <v>0.59</v>
      </c>
      <c r="C33" s="24">
        <v>0.57979999999999998</v>
      </c>
      <c r="D33" s="24">
        <v>0.56603999999999999</v>
      </c>
      <c r="E33" s="24">
        <v>0.55227999999999999</v>
      </c>
      <c r="F33" s="24">
        <v>0.53852</v>
      </c>
      <c r="G33" s="24">
        <v>0.52476</v>
      </c>
      <c r="H33" s="24">
        <v>0.51100000000000001</v>
      </c>
      <c r="I33" s="24">
        <v>0.49724000000000002</v>
      </c>
      <c r="J33" s="24">
        <v>0.48348000000000002</v>
      </c>
      <c r="K33" s="24">
        <v>0.46972000000000003</v>
      </c>
      <c r="L33" s="24">
        <v>0.45596000000000003</v>
      </c>
      <c r="M33" s="24">
        <v>0.44220000000000004</v>
      </c>
      <c r="N33" s="24">
        <v>0.43132000000000004</v>
      </c>
      <c r="O33" s="24">
        <v>0.42044000000000004</v>
      </c>
      <c r="P33" s="24">
        <v>0.40956000000000004</v>
      </c>
      <c r="Q33" s="24">
        <v>0.39868000000000003</v>
      </c>
      <c r="R33" s="24">
        <v>0.38780000000000003</v>
      </c>
      <c r="S33" s="24">
        <v>0.37692000000000003</v>
      </c>
      <c r="T33" s="24">
        <v>0.36603999999999998</v>
      </c>
      <c r="U33" s="24">
        <v>0.35515999999999998</v>
      </c>
      <c r="V33" s="24">
        <v>0.34427999999999997</v>
      </c>
      <c r="W33" s="24">
        <v>0.33339999999999997</v>
      </c>
      <c r="X33" s="24">
        <v>0.32479999999999998</v>
      </c>
      <c r="Y33" s="24">
        <v>0.31619999999999998</v>
      </c>
      <c r="Z33" s="24">
        <v>0.30759999999999998</v>
      </c>
      <c r="AA33" s="24">
        <v>0.29899999999999999</v>
      </c>
      <c r="AB33" s="24">
        <v>0.29039999999999999</v>
      </c>
      <c r="AC33" s="24">
        <v>0.28351999999999999</v>
      </c>
      <c r="AD33" s="24">
        <v>0.27664</v>
      </c>
      <c r="AE33" s="24">
        <v>0.26976</v>
      </c>
      <c r="AF33" s="24">
        <v>0.26288</v>
      </c>
      <c r="AG33" s="24">
        <v>0.25600000000000001</v>
      </c>
      <c r="AH33" s="24">
        <v>0.25098000000000004</v>
      </c>
      <c r="AI33" s="24">
        <v>0.24595999999999998</v>
      </c>
      <c r="AJ33" s="24">
        <v>0.24094000000000002</v>
      </c>
      <c r="AK33" s="24">
        <v>0.23591999999999996</v>
      </c>
      <c r="AL33" s="24">
        <v>0.23089999999999999</v>
      </c>
      <c r="AM33" s="24">
        <v>0.22588000000000003</v>
      </c>
      <c r="AN33" s="24">
        <v>0.22085999999999997</v>
      </c>
      <c r="AO33" s="24">
        <v>0.21584</v>
      </c>
      <c r="AP33" s="24">
        <v>0.21081999999999995</v>
      </c>
      <c r="AQ33" s="24">
        <v>0.20579999999999998</v>
      </c>
      <c r="AR33" s="24">
        <v>0.20205999999999999</v>
      </c>
      <c r="AS33" s="24">
        <v>0.19831999999999997</v>
      </c>
      <c r="AT33" s="24">
        <v>0.19457999999999998</v>
      </c>
      <c r="AU33" s="24">
        <v>0.19083999999999995</v>
      </c>
      <c r="AV33" s="24">
        <v>0.18709999999999999</v>
      </c>
      <c r="AW33" s="24">
        <v>0.18335999999999997</v>
      </c>
      <c r="AX33" s="24">
        <v>0.17961999999999997</v>
      </c>
      <c r="AY33" s="24">
        <v>0.17587999999999998</v>
      </c>
      <c r="AZ33" s="24">
        <v>0.17213999999999996</v>
      </c>
      <c r="BA33" s="24">
        <v>0.16839999999999997</v>
      </c>
      <c r="BB33" s="24">
        <v>0.16613999999999998</v>
      </c>
      <c r="BC33" s="24">
        <v>0.16387999999999997</v>
      </c>
      <c r="BD33" s="24">
        <v>0.16161999999999999</v>
      </c>
      <c r="BE33" s="24">
        <v>0.15935999999999997</v>
      </c>
      <c r="BF33" s="24">
        <v>0.15709999999999996</v>
      </c>
      <c r="BG33" s="24">
        <v>0.15483999999999998</v>
      </c>
      <c r="BH33" s="24">
        <v>0.15257999999999997</v>
      </c>
      <c r="BI33" s="24">
        <v>0.15031999999999998</v>
      </c>
      <c r="BJ33" s="24">
        <v>0.14805999999999997</v>
      </c>
      <c r="BK33" s="24">
        <v>0.14579999999999999</v>
      </c>
    </row>
    <row r="34" spans="2:63">
      <c r="B34" s="310">
        <v>0.6</v>
      </c>
      <c r="C34" s="24">
        <v>0.58499999999999996</v>
      </c>
      <c r="D34" s="24">
        <v>0.57130000000000003</v>
      </c>
      <c r="E34" s="24">
        <v>0.55759999999999998</v>
      </c>
      <c r="F34" s="24">
        <v>0.54390000000000005</v>
      </c>
      <c r="G34" s="24">
        <v>0.5302</v>
      </c>
      <c r="H34" s="24">
        <v>0.51649999999999996</v>
      </c>
      <c r="I34" s="24">
        <v>0.50279999999999991</v>
      </c>
      <c r="J34" s="24">
        <v>0.48909999999999998</v>
      </c>
      <c r="K34" s="24">
        <v>0.47540000000000004</v>
      </c>
      <c r="L34" s="24">
        <v>0.4617</v>
      </c>
      <c r="M34" s="24">
        <v>0.44800000000000001</v>
      </c>
      <c r="N34" s="24">
        <v>0.43709999999999999</v>
      </c>
      <c r="O34" s="24">
        <v>0.42620000000000002</v>
      </c>
      <c r="P34" s="24">
        <v>0.41530000000000006</v>
      </c>
      <c r="Q34" s="24">
        <v>0.40439999999999998</v>
      </c>
      <c r="R34" s="24">
        <v>0.39350000000000002</v>
      </c>
      <c r="S34" s="24">
        <v>0.38260000000000005</v>
      </c>
      <c r="T34" s="24">
        <v>0.37170000000000003</v>
      </c>
      <c r="U34" s="24">
        <v>0.36080000000000001</v>
      </c>
      <c r="V34" s="24">
        <v>0.34990000000000004</v>
      </c>
      <c r="W34" s="24">
        <v>0.33900000000000002</v>
      </c>
      <c r="X34" s="24">
        <v>0.33019999999999999</v>
      </c>
      <c r="Y34" s="24">
        <v>0.32140000000000002</v>
      </c>
      <c r="Z34" s="24">
        <v>0.31259999999999999</v>
      </c>
      <c r="AA34" s="24">
        <v>0.30380000000000001</v>
      </c>
      <c r="AB34" s="24">
        <v>0.29499999999999998</v>
      </c>
      <c r="AC34" s="24">
        <v>0.28819999999999996</v>
      </c>
      <c r="AD34" s="24">
        <v>0.28139999999999998</v>
      </c>
      <c r="AE34" s="24">
        <v>0.27460000000000001</v>
      </c>
      <c r="AF34" s="24">
        <v>0.26780000000000004</v>
      </c>
      <c r="AG34" s="24">
        <v>0.26100000000000001</v>
      </c>
      <c r="AH34" s="24">
        <v>0.25590000000000002</v>
      </c>
      <c r="AI34" s="24">
        <v>0.25080000000000002</v>
      </c>
      <c r="AJ34" s="24">
        <v>0.24570000000000003</v>
      </c>
      <c r="AK34" s="24">
        <v>0.24059999999999998</v>
      </c>
      <c r="AL34" s="24">
        <v>0.23549999999999999</v>
      </c>
      <c r="AM34" s="24">
        <v>0.23039999999999999</v>
      </c>
      <c r="AN34" s="24">
        <v>0.22529999999999997</v>
      </c>
      <c r="AO34" s="24">
        <v>0.22020000000000001</v>
      </c>
      <c r="AP34" s="24">
        <v>0.21509999999999996</v>
      </c>
      <c r="AQ34" s="24">
        <v>0.21</v>
      </c>
      <c r="AR34" s="24">
        <v>0.20619999999999999</v>
      </c>
      <c r="AS34" s="24">
        <v>0.20239999999999997</v>
      </c>
      <c r="AT34" s="24">
        <v>0.1986</v>
      </c>
      <c r="AU34" s="24">
        <v>0.19479999999999997</v>
      </c>
      <c r="AV34" s="24">
        <v>0.191</v>
      </c>
      <c r="AW34" s="24">
        <v>0.18720000000000001</v>
      </c>
      <c r="AX34" s="24">
        <v>0.18339999999999998</v>
      </c>
      <c r="AY34" s="24">
        <v>0.17959999999999998</v>
      </c>
      <c r="AZ34" s="24">
        <v>0.17579999999999998</v>
      </c>
      <c r="BA34" s="24">
        <v>0.17199999999999999</v>
      </c>
      <c r="BB34" s="24">
        <v>0.16969999999999999</v>
      </c>
      <c r="BC34" s="24">
        <v>0.16739999999999997</v>
      </c>
      <c r="BD34" s="24">
        <v>0.1651</v>
      </c>
      <c r="BE34" s="24">
        <v>0.16279999999999997</v>
      </c>
      <c r="BF34" s="24">
        <v>0.16049999999999998</v>
      </c>
      <c r="BG34" s="24">
        <v>0.15820000000000001</v>
      </c>
      <c r="BH34" s="24">
        <v>0.15589999999999998</v>
      </c>
      <c r="BI34" s="24">
        <v>0.15360000000000001</v>
      </c>
      <c r="BJ34" s="24">
        <v>0.15129999999999999</v>
      </c>
      <c r="BK34" s="24">
        <v>0.14899999999999999</v>
      </c>
    </row>
  </sheetData>
  <sheetProtection sheet="1" objects="1" scenarios="1" selectLockedCells="1" selectUnlockedCells="1"/>
  <phoneticPr fontId="7" type="noConversion"/>
  <pageMargins left="0.75" right="0.75" top="1" bottom="1" header="0.5" footer="0.5"/>
  <pageSetup orientation="portrait" horizontalDpi="400" verticalDpi="4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32"/>
  </sheetPr>
  <dimension ref="A1:BK34"/>
  <sheetViews>
    <sheetView workbookViewId="0">
      <selection activeCell="H39" sqref="H39"/>
    </sheetView>
  </sheetViews>
  <sheetFormatPr defaultRowHeight="12.75"/>
  <sheetData>
    <row r="1" spans="1:63" ht="18">
      <c r="C1" s="307" t="s">
        <v>267</v>
      </c>
    </row>
    <row r="2" spans="1:63">
      <c r="F2" s="308" t="s">
        <v>264</v>
      </c>
    </row>
    <row r="3" spans="1:63">
      <c r="C3" s="309">
        <v>20</v>
      </c>
      <c r="D3" s="309">
        <f t="shared" ref="D3:AI3" si="0">1+C3</f>
        <v>21</v>
      </c>
      <c r="E3" s="309">
        <f t="shared" si="0"/>
        <v>22</v>
      </c>
      <c r="F3" s="309">
        <f t="shared" si="0"/>
        <v>23</v>
      </c>
      <c r="G3" s="309">
        <f t="shared" si="0"/>
        <v>24</v>
      </c>
      <c r="H3" s="309">
        <f t="shared" si="0"/>
        <v>25</v>
      </c>
      <c r="I3" s="309">
        <f t="shared" si="0"/>
        <v>26</v>
      </c>
      <c r="J3" s="309">
        <f t="shared" si="0"/>
        <v>27</v>
      </c>
      <c r="K3" s="309">
        <f t="shared" si="0"/>
        <v>28</v>
      </c>
      <c r="L3" s="309">
        <f t="shared" si="0"/>
        <v>29</v>
      </c>
      <c r="M3" s="309">
        <f t="shared" si="0"/>
        <v>30</v>
      </c>
      <c r="N3" s="309">
        <f t="shared" si="0"/>
        <v>31</v>
      </c>
      <c r="O3" s="309">
        <f t="shared" si="0"/>
        <v>32</v>
      </c>
      <c r="P3" s="309">
        <f t="shared" si="0"/>
        <v>33</v>
      </c>
      <c r="Q3" s="309">
        <f t="shared" si="0"/>
        <v>34</v>
      </c>
      <c r="R3" s="309">
        <f t="shared" si="0"/>
        <v>35</v>
      </c>
      <c r="S3" s="309">
        <f t="shared" si="0"/>
        <v>36</v>
      </c>
      <c r="T3" s="309">
        <f t="shared" si="0"/>
        <v>37</v>
      </c>
      <c r="U3" s="309">
        <f t="shared" si="0"/>
        <v>38</v>
      </c>
      <c r="V3" s="309">
        <f t="shared" si="0"/>
        <v>39</v>
      </c>
      <c r="W3" s="309">
        <f t="shared" si="0"/>
        <v>40</v>
      </c>
      <c r="X3" s="309">
        <f t="shared" si="0"/>
        <v>41</v>
      </c>
      <c r="Y3" s="309">
        <f t="shared" si="0"/>
        <v>42</v>
      </c>
      <c r="Z3" s="309">
        <f t="shared" si="0"/>
        <v>43</v>
      </c>
      <c r="AA3" s="309">
        <f t="shared" si="0"/>
        <v>44</v>
      </c>
      <c r="AB3" s="309">
        <f t="shared" si="0"/>
        <v>45</v>
      </c>
      <c r="AC3" s="309">
        <f t="shared" si="0"/>
        <v>46</v>
      </c>
      <c r="AD3" s="309">
        <f t="shared" si="0"/>
        <v>47</v>
      </c>
      <c r="AE3" s="309">
        <f t="shared" si="0"/>
        <v>48</v>
      </c>
      <c r="AF3" s="309">
        <f t="shared" si="0"/>
        <v>49</v>
      </c>
      <c r="AG3" s="309">
        <f t="shared" si="0"/>
        <v>50</v>
      </c>
      <c r="AH3" s="309">
        <f t="shared" si="0"/>
        <v>51</v>
      </c>
      <c r="AI3" s="309">
        <f t="shared" si="0"/>
        <v>52</v>
      </c>
      <c r="AJ3" s="309">
        <f t="shared" ref="AJ3:BK3" si="1">1+AI3</f>
        <v>53</v>
      </c>
      <c r="AK3" s="309">
        <f t="shared" si="1"/>
        <v>54</v>
      </c>
      <c r="AL3" s="309">
        <f t="shared" si="1"/>
        <v>55</v>
      </c>
      <c r="AM3" s="309">
        <f t="shared" si="1"/>
        <v>56</v>
      </c>
      <c r="AN3" s="309">
        <f t="shared" si="1"/>
        <v>57</v>
      </c>
      <c r="AO3" s="309">
        <f t="shared" si="1"/>
        <v>58</v>
      </c>
      <c r="AP3" s="309">
        <f t="shared" si="1"/>
        <v>59</v>
      </c>
      <c r="AQ3" s="309">
        <f t="shared" si="1"/>
        <v>60</v>
      </c>
      <c r="AR3" s="309">
        <f t="shared" si="1"/>
        <v>61</v>
      </c>
      <c r="AS3" s="309">
        <f t="shared" si="1"/>
        <v>62</v>
      </c>
      <c r="AT3" s="309">
        <f t="shared" si="1"/>
        <v>63</v>
      </c>
      <c r="AU3" s="309">
        <f t="shared" si="1"/>
        <v>64</v>
      </c>
      <c r="AV3" s="309">
        <f t="shared" si="1"/>
        <v>65</v>
      </c>
      <c r="AW3" s="309">
        <f t="shared" si="1"/>
        <v>66</v>
      </c>
      <c r="AX3" s="309">
        <f t="shared" si="1"/>
        <v>67</v>
      </c>
      <c r="AY3" s="309">
        <f t="shared" si="1"/>
        <v>68</v>
      </c>
      <c r="AZ3" s="309">
        <f t="shared" si="1"/>
        <v>69</v>
      </c>
      <c r="BA3" s="309">
        <f t="shared" si="1"/>
        <v>70</v>
      </c>
      <c r="BB3" s="309">
        <f t="shared" si="1"/>
        <v>71</v>
      </c>
      <c r="BC3" s="309">
        <f t="shared" si="1"/>
        <v>72</v>
      </c>
      <c r="BD3" s="309">
        <f t="shared" si="1"/>
        <v>73</v>
      </c>
      <c r="BE3" s="309">
        <f t="shared" si="1"/>
        <v>74</v>
      </c>
      <c r="BF3" s="309">
        <f t="shared" si="1"/>
        <v>75</v>
      </c>
      <c r="BG3" s="309">
        <f t="shared" si="1"/>
        <v>76</v>
      </c>
      <c r="BH3" s="309">
        <f t="shared" si="1"/>
        <v>77</v>
      </c>
      <c r="BI3" s="309">
        <f t="shared" si="1"/>
        <v>78</v>
      </c>
      <c r="BJ3" s="309">
        <f t="shared" si="1"/>
        <v>79</v>
      </c>
      <c r="BK3" s="309">
        <f t="shared" si="1"/>
        <v>80</v>
      </c>
    </row>
    <row r="4" spans="1:63">
      <c r="B4" s="310">
        <v>0.3</v>
      </c>
      <c r="C4" s="24">
        <v>0.88900000000000001</v>
      </c>
      <c r="D4" s="24">
        <v>0.89410000000000001</v>
      </c>
      <c r="E4" s="24">
        <v>0.8992</v>
      </c>
      <c r="F4" s="24">
        <v>0.90429999999999999</v>
      </c>
      <c r="G4" s="24">
        <v>0.90939999999999999</v>
      </c>
      <c r="H4" s="24">
        <v>0.91449999999999998</v>
      </c>
      <c r="I4" s="24">
        <v>0.91959999999999997</v>
      </c>
      <c r="J4" s="24">
        <v>0.92469999999999997</v>
      </c>
      <c r="K4" s="24">
        <v>0.92979999999999996</v>
      </c>
      <c r="L4" s="24">
        <v>0.93489999999999995</v>
      </c>
      <c r="M4" s="24">
        <v>0.94</v>
      </c>
      <c r="N4" s="24">
        <v>0.95029999999999992</v>
      </c>
      <c r="O4" s="24">
        <v>0.9605999999999999</v>
      </c>
      <c r="P4" s="24">
        <v>0.97089999999999987</v>
      </c>
      <c r="Q4" s="24">
        <v>0.98119999999999996</v>
      </c>
      <c r="R4" s="24">
        <v>0.99149999999999994</v>
      </c>
      <c r="S4" s="24">
        <v>1.0017999999999998</v>
      </c>
      <c r="T4" s="24">
        <v>1.0120999999999998</v>
      </c>
      <c r="U4" s="24">
        <v>1.0224</v>
      </c>
      <c r="V4" s="24">
        <v>1.0327</v>
      </c>
      <c r="W4" s="24">
        <v>1.0429999999999999</v>
      </c>
      <c r="X4" s="24">
        <v>1.0562</v>
      </c>
      <c r="Y4" s="24">
        <v>1.0693999999999999</v>
      </c>
      <c r="Z4" s="24">
        <v>1.0826</v>
      </c>
      <c r="AA4" s="24">
        <v>1.0957999999999999</v>
      </c>
      <c r="AB4" s="24">
        <v>1.109</v>
      </c>
      <c r="AC4" s="24">
        <v>1.1200000000000001</v>
      </c>
      <c r="AD4" s="24">
        <v>1.131</v>
      </c>
      <c r="AE4" s="24">
        <v>1.1419999999999999</v>
      </c>
      <c r="AF4" s="24">
        <v>1.1529999999999998</v>
      </c>
      <c r="AG4" s="24">
        <v>1.1639999999999999</v>
      </c>
      <c r="AH4" s="24">
        <v>1.1729999999999998</v>
      </c>
      <c r="AI4" s="24">
        <v>1.1819999999999999</v>
      </c>
      <c r="AJ4" s="24">
        <v>1.1909999999999998</v>
      </c>
      <c r="AK4" s="24">
        <v>1.2</v>
      </c>
      <c r="AL4" s="24">
        <v>1.2090000000000001</v>
      </c>
      <c r="AM4" s="24">
        <v>1.218</v>
      </c>
      <c r="AN4" s="24">
        <v>1.2270000000000001</v>
      </c>
      <c r="AO4" s="24">
        <v>1.236</v>
      </c>
      <c r="AP4" s="24">
        <v>1.2450000000000001</v>
      </c>
      <c r="AQ4" s="24">
        <v>1.254</v>
      </c>
      <c r="AR4" s="24">
        <v>1.2585</v>
      </c>
      <c r="AS4" s="24">
        <v>1.2630000000000001</v>
      </c>
      <c r="AT4" s="24">
        <v>1.2675000000000001</v>
      </c>
      <c r="AU4" s="24">
        <v>1.2719999999999998</v>
      </c>
      <c r="AV4" s="24">
        <v>1.2765</v>
      </c>
      <c r="AW4" s="24">
        <v>1.2810000000000001</v>
      </c>
      <c r="AX4" s="24">
        <v>1.2854999999999999</v>
      </c>
      <c r="AY4" s="24">
        <v>1.29</v>
      </c>
      <c r="AZ4" s="24">
        <v>1.2945</v>
      </c>
      <c r="BA4" s="24">
        <v>1.2989999999999999</v>
      </c>
      <c r="BB4" s="24">
        <v>1.2998000000000001</v>
      </c>
      <c r="BC4" s="24">
        <v>1.3006</v>
      </c>
      <c r="BD4" s="24">
        <v>1.3013999999999999</v>
      </c>
      <c r="BE4" s="24">
        <v>1.3022</v>
      </c>
      <c r="BF4" s="24">
        <v>1.3029999999999999</v>
      </c>
      <c r="BG4" s="24">
        <v>1.3037999999999998</v>
      </c>
      <c r="BH4" s="24">
        <v>1.3046</v>
      </c>
      <c r="BI4" s="24">
        <v>1.3053999999999999</v>
      </c>
      <c r="BJ4" s="24">
        <v>1.3061999999999998</v>
      </c>
      <c r="BK4" s="24">
        <v>1.3069999999999999</v>
      </c>
    </row>
    <row r="5" spans="1:63">
      <c r="B5" s="310">
        <v>0.31</v>
      </c>
      <c r="C5" s="24">
        <v>0.89019999999999999</v>
      </c>
      <c r="D5" s="24">
        <v>0.89523999999999992</v>
      </c>
      <c r="E5" s="24">
        <v>0.90027999999999997</v>
      </c>
      <c r="F5" s="24">
        <v>0.9053199999999999</v>
      </c>
      <c r="G5" s="24">
        <v>0.91035999999999984</v>
      </c>
      <c r="H5" s="24">
        <v>0.91539999999999999</v>
      </c>
      <c r="I5" s="24">
        <v>0.92043999999999992</v>
      </c>
      <c r="J5" s="24">
        <v>0.92547999999999986</v>
      </c>
      <c r="K5" s="24">
        <v>0.9305199999999999</v>
      </c>
      <c r="L5" s="24">
        <v>0.93555999999999995</v>
      </c>
      <c r="M5" s="24">
        <v>0.94059999999999988</v>
      </c>
      <c r="N5" s="24">
        <v>0.95079999999999998</v>
      </c>
      <c r="O5" s="24">
        <v>0.96099999999999985</v>
      </c>
      <c r="P5" s="24">
        <v>0.97119999999999984</v>
      </c>
      <c r="Q5" s="24">
        <v>0.98139999999999983</v>
      </c>
      <c r="R5" s="24">
        <v>0.99159999999999993</v>
      </c>
      <c r="S5" s="24">
        <v>1.0018</v>
      </c>
      <c r="T5" s="24">
        <v>1.012</v>
      </c>
      <c r="U5" s="24">
        <v>1.0222</v>
      </c>
      <c r="V5" s="24">
        <v>1.0324</v>
      </c>
      <c r="W5" s="24">
        <v>1.0426</v>
      </c>
      <c r="X5" s="24">
        <v>1.05572</v>
      </c>
      <c r="Y5" s="24">
        <v>1.06884</v>
      </c>
      <c r="Z5" s="24">
        <v>1.08196</v>
      </c>
      <c r="AA5" s="24">
        <v>1.0950800000000001</v>
      </c>
      <c r="AB5" s="24">
        <v>1.1082000000000001</v>
      </c>
      <c r="AC5" s="24">
        <v>1.1192</v>
      </c>
      <c r="AD5" s="24">
        <v>1.1301999999999999</v>
      </c>
      <c r="AE5" s="24">
        <v>1.1411999999999998</v>
      </c>
      <c r="AF5" s="24">
        <v>1.1521999999999999</v>
      </c>
      <c r="AG5" s="24">
        <v>1.1631999999999998</v>
      </c>
      <c r="AH5" s="24">
        <v>1.1720999999999999</v>
      </c>
      <c r="AI5" s="24">
        <v>1.1809999999999998</v>
      </c>
      <c r="AJ5" s="24">
        <v>1.1899</v>
      </c>
      <c r="AK5" s="24">
        <v>1.1987999999999999</v>
      </c>
      <c r="AL5" s="24">
        <v>1.2077</v>
      </c>
      <c r="AM5" s="24">
        <v>1.2165999999999999</v>
      </c>
      <c r="AN5" s="24">
        <v>1.2255</v>
      </c>
      <c r="AO5" s="24">
        <v>1.2344000000000002</v>
      </c>
      <c r="AP5" s="24">
        <v>1.2433000000000001</v>
      </c>
      <c r="AQ5" s="24">
        <v>1.2522000000000002</v>
      </c>
      <c r="AR5" s="24">
        <v>1.25674</v>
      </c>
      <c r="AS5" s="24">
        <v>1.2612800000000002</v>
      </c>
      <c r="AT5" s="24">
        <v>1.2658200000000002</v>
      </c>
      <c r="AU5" s="24">
        <v>1.2703600000000002</v>
      </c>
      <c r="AV5" s="24">
        <v>1.2749000000000001</v>
      </c>
      <c r="AW5" s="24">
        <v>1.2794400000000001</v>
      </c>
      <c r="AX5" s="24">
        <v>1.2839799999999999</v>
      </c>
      <c r="AY5" s="24">
        <v>1.2885199999999999</v>
      </c>
      <c r="AZ5" s="24">
        <v>1.2930600000000001</v>
      </c>
      <c r="BA5" s="24">
        <v>1.2975999999999999</v>
      </c>
      <c r="BB5" s="24">
        <v>1.2983799999999999</v>
      </c>
      <c r="BC5" s="24">
        <v>1.2991599999999999</v>
      </c>
      <c r="BD5" s="24">
        <v>1.2999399999999999</v>
      </c>
      <c r="BE5" s="24">
        <v>1.3007199999999999</v>
      </c>
      <c r="BF5" s="24">
        <v>1.3014999999999999</v>
      </c>
      <c r="BG5" s="24">
        <v>1.3022799999999999</v>
      </c>
      <c r="BH5" s="24">
        <v>1.3030599999999999</v>
      </c>
      <c r="BI5" s="24">
        <v>1.3038399999999999</v>
      </c>
      <c r="BJ5" s="24">
        <v>1.3046199999999999</v>
      </c>
      <c r="BK5" s="24">
        <v>1.3053999999999999</v>
      </c>
    </row>
    <row r="6" spans="1:63">
      <c r="B6" s="310">
        <v>0.32</v>
      </c>
      <c r="C6" s="24">
        <v>0.89139999999999997</v>
      </c>
      <c r="D6" s="24">
        <v>0.89637999999999995</v>
      </c>
      <c r="E6" s="24">
        <v>0.90135999999999994</v>
      </c>
      <c r="F6" s="24">
        <v>0.90633999999999992</v>
      </c>
      <c r="G6" s="24">
        <v>0.91131999999999991</v>
      </c>
      <c r="H6" s="24">
        <v>0.91629999999999989</v>
      </c>
      <c r="I6" s="24">
        <v>0.92127999999999988</v>
      </c>
      <c r="J6" s="24">
        <v>0.92625999999999986</v>
      </c>
      <c r="K6" s="24">
        <v>0.93123999999999996</v>
      </c>
      <c r="L6" s="24">
        <v>0.93621999999999994</v>
      </c>
      <c r="M6" s="24">
        <v>0.94119999999999993</v>
      </c>
      <c r="N6" s="24">
        <v>0.95129999999999992</v>
      </c>
      <c r="O6" s="24">
        <v>0.96139999999999992</v>
      </c>
      <c r="P6" s="24">
        <v>0.97149999999999981</v>
      </c>
      <c r="Q6" s="24">
        <v>0.98159999999999981</v>
      </c>
      <c r="R6" s="24">
        <v>0.9916999999999998</v>
      </c>
      <c r="S6" s="24">
        <v>1.0017999999999998</v>
      </c>
      <c r="T6" s="24">
        <v>1.0118999999999998</v>
      </c>
      <c r="U6" s="24">
        <v>1.0219999999999998</v>
      </c>
      <c r="V6" s="24">
        <v>1.0320999999999998</v>
      </c>
      <c r="W6" s="24">
        <v>1.0421999999999998</v>
      </c>
      <c r="X6" s="24">
        <v>1.0552399999999997</v>
      </c>
      <c r="Y6" s="24">
        <v>1.0682799999999999</v>
      </c>
      <c r="Z6" s="24">
        <v>1.0813199999999998</v>
      </c>
      <c r="AA6" s="24">
        <v>1.0943599999999998</v>
      </c>
      <c r="AB6" s="24">
        <v>1.1073999999999999</v>
      </c>
      <c r="AC6" s="24">
        <v>1.1183999999999998</v>
      </c>
      <c r="AD6" s="24">
        <v>1.1294</v>
      </c>
      <c r="AE6" s="24">
        <v>1.1403999999999999</v>
      </c>
      <c r="AF6" s="24">
        <v>1.1514</v>
      </c>
      <c r="AG6" s="24">
        <v>1.1623999999999999</v>
      </c>
      <c r="AH6" s="24">
        <v>1.1711999999999998</v>
      </c>
      <c r="AI6" s="24">
        <v>1.18</v>
      </c>
      <c r="AJ6" s="24">
        <v>1.1887999999999999</v>
      </c>
      <c r="AK6" s="24">
        <v>1.1976</v>
      </c>
      <c r="AL6" s="24">
        <v>1.2063999999999999</v>
      </c>
      <c r="AM6" s="24">
        <v>1.2151999999999998</v>
      </c>
      <c r="AN6" s="24">
        <v>1.224</v>
      </c>
      <c r="AO6" s="24">
        <v>1.2327999999999999</v>
      </c>
      <c r="AP6" s="24">
        <v>1.2416</v>
      </c>
      <c r="AQ6" s="24">
        <v>1.2504</v>
      </c>
      <c r="AR6" s="24">
        <v>1.25498</v>
      </c>
      <c r="AS6" s="24">
        <v>1.25956</v>
      </c>
      <c r="AT6" s="24">
        <v>1.2641399999999998</v>
      </c>
      <c r="AU6" s="24">
        <v>1.2687200000000001</v>
      </c>
      <c r="AV6" s="24">
        <v>1.2732999999999999</v>
      </c>
      <c r="AW6" s="24">
        <v>1.2778799999999999</v>
      </c>
      <c r="AX6" s="24">
        <v>1.2824599999999999</v>
      </c>
      <c r="AY6" s="24">
        <v>1.2870400000000002</v>
      </c>
      <c r="AZ6" s="24">
        <v>1.29162</v>
      </c>
      <c r="BA6" s="24">
        <v>1.2962</v>
      </c>
      <c r="BB6" s="24">
        <v>1.2969599999999999</v>
      </c>
      <c r="BC6" s="24">
        <v>1.29772</v>
      </c>
      <c r="BD6" s="24">
        <v>1.2984800000000001</v>
      </c>
      <c r="BE6" s="24">
        <v>1.29924</v>
      </c>
      <c r="BF6" s="24">
        <v>1.3</v>
      </c>
      <c r="BG6" s="24">
        <v>1.3007599999999999</v>
      </c>
      <c r="BH6" s="24">
        <v>1.30152</v>
      </c>
      <c r="BI6" s="24">
        <v>1.3022800000000001</v>
      </c>
      <c r="BJ6" s="24">
        <v>1.30304</v>
      </c>
      <c r="BK6" s="24">
        <v>1.3037999999999998</v>
      </c>
    </row>
    <row r="7" spans="1:63">
      <c r="B7" s="310">
        <v>0.33</v>
      </c>
      <c r="C7" s="24">
        <v>0.89260000000000006</v>
      </c>
      <c r="D7" s="24">
        <v>0.89751999999999998</v>
      </c>
      <c r="E7" s="24">
        <v>0.90244000000000002</v>
      </c>
      <c r="F7" s="24">
        <v>0.90736000000000006</v>
      </c>
      <c r="G7" s="24">
        <v>0.91227999999999998</v>
      </c>
      <c r="H7" s="24">
        <v>0.91720000000000002</v>
      </c>
      <c r="I7" s="24">
        <v>0.92212000000000005</v>
      </c>
      <c r="J7" s="24">
        <v>0.92704000000000009</v>
      </c>
      <c r="K7" s="24">
        <v>0.93196000000000001</v>
      </c>
      <c r="L7" s="24">
        <v>0.93688000000000005</v>
      </c>
      <c r="M7" s="24">
        <v>0.94179999999999997</v>
      </c>
      <c r="N7" s="24">
        <v>0.95179999999999998</v>
      </c>
      <c r="O7" s="24">
        <v>0.96179999999999999</v>
      </c>
      <c r="P7" s="24">
        <v>0.9718</v>
      </c>
      <c r="Q7" s="24">
        <v>0.9817999999999999</v>
      </c>
      <c r="R7" s="24">
        <v>0.9917999999999999</v>
      </c>
      <c r="S7" s="24">
        <v>1.0017999999999998</v>
      </c>
      <c r="T7" s="24">
        <v>1.0117999999999998</v>
      </c>
      <c r="U7" s="24">
        <v>1.0217999999999998</v>
      </c>
      <c r="V7" s="24">
        <v>1.0317999999999998</v>
      </c>
      <c r="W7" s="24">
        <v>1.0417999999999998</v>
      </c>
      <c r="X7" s="24">
        <v>1.0547599999999999</v>
      </c>
      <c r="Y7" s="24">
        <v>1.06772</v>
      </c>
      <c r="Z7" s="24">
        <v>1.0806800000000001</v>
      </c>
      <c r="AA7" s="24">
        <v>1.0936399999999999</v>
      </c>
      <c r="AB7" s="24">
        <v>1.1066</v>
      </c>
      <c r="AC7" s="24">
        <v>1.1175999999999999</v>
      </c>
      <c r="AD7" s="24">
        <v>1.1286</v>
      </c>
      <c r="AE7" s="24">
        <v>1.1395999999999999</v>
      </c>
      <c r="AF7" s="24">
        <v>1.1506000000000001</v>
      </c>
      <c r="AG7" s="24">
        <v>1.1616</v>
      </c>
      <c r="AH7" s="24">
        <v>1.1702999999999999</v>
      </c>
      <c r="AI7" s="24">
        <v>1.179</v>
      </c>
      <c r="AJ7" s="24">
        <v>1.1877</v>
      </c>
      <c r="AK7" s="24">
        <v>1.1964000000000001</v>
      </c>
      <c r="AL7" s="24">
        <v>1.2051000000000001</v>
      </c>
      <c r="AM7" s="24">
        <v>1.2138</v>
      </c>
      <c r="AN7" s="24">
        <v>1.2224999999999999</v>
      </c>
      <c r="AO7" s="24">
        <v>1.2312000000000001</v>
      </c>
      <c r="AP7" s="24">
        <v>1.2399000000000002</v>
      </c>
      <c r="AQ7" s="24">
        <v>1.2486000000000002</v>
      </c>
      <c r="AR7" s="24">
        <v>1.2532200000000002</v>
      </c>
      <c r="AS7" s="24">
        <v>1.2578400000000001</v>
      </c>
      <c r="AT7" s="24">
        <v>1.2624600000000001</v>
      </c>
      <c r="AU7" s="24">
        <v>1.26708</v>
      </c>
      <c r="AV7" s="24">
        <v>1.2717000000000001</v>
      </c>
      <c r="AW7" s="24">
        <v>1.2763199999999999</v>
      </c>
      <c r="AX7" s="24">
        <v>1.28094</v>
      </c>
      <c r="AY7" s="24">
        <v>1.2855599999999998</v>
      </c>
      <c r="AZ7" s="24">
        <v>1.2901799999999999</v>
      </c>
      <c r="BA7" s="24">
        <v>1.2948</v>
      </c>
      <c r="BB7" s="24">
        <v>1.2955399999999999</v>
      </c>
      <c r="BC7" s="24">
        <v>1.2962799999999999</v>
      </c>
      <c r="BD7" s="24">
        <v>1.2970199999999998</v>
      </c>
      <c r="BE7" s="24">
        <v>1.2977599999999998</v>
      </c>
      <c r="BF7" s="24">
        <v>1.2985</v>
      </c>
      <c r="BG7" s="24">
        <v>1.2992400000000002</v>
      </c>
      <c r="BH7" s="24">
        <v>1.2999799999999999</v>
      </c>
      <c r="BI7" s="24">
        <v>1.3007200000000001</v>
      </c>
      <c r="BJ7" s="24">
        <v>1.3014600000000001</v>
      </c>
      <c r="BK7" s="24">
        <v>1.3022</v>
      </c>
    </row>
    <row r="8" spans="1:63">
      <c r="B8" s="310">
        <v>0.34</v>
      </c>
      <c r="C8" s="24">
        <v>0.89380000000000004</v>
      </c>
      <c r="D8" s="24">
        <v>0.89866000000000001</v>
      </c>
      <c r="E8" s="24">
        <v>0.9035200000000001</v>
      </c>
      <c r="F8" s="24">
        <v>0.90837999999999997</v>
      </c>
      <c r="G8" s="24">
        <v>0.91323999999999994</v>
      </c>
      <c r="H8" s="24">
        <v>0.91809999999999992</v>
      </c>
      <c r="I8" s="24">
        <v>0.92296</v>
      </c>
      <c r="J8" s="24">
        <v>0.92781999999999998</v>
      </c>
      <c r="K8" s="24">
        <v>0.93267999999999995</v>
      </c>
      <c r="L8" s="24">
        <v>0.93753999999999993</v>
      </c>
      <c r="M8" s="24">
        <v>0.9423999999999999</v>
      </c>
      <c r="N8" s="24">
        <v>0.95229999999999992</v>
      </c>
      <c r="O8" s="24">
        <v>0.96219999999999983</v>
      </c>
      <c r="P8" s="24">
        <v>0.97209999999999996</v>
      </c>
      <c r="Q8" s="24">
        <v>0.98199999999999998</v>
      </c>
      <c r="R8" s="24">
        <v>0.99189999999999989</v>
      </c>
      <c r="S8" s="24">
        <v>1.0017999999999998</v>
      </c>
      <c r="T8" s="24">
        <v>1.0116999999999998</v>
      </c>
      <c r="U8" s="24">
        <v>1.0215999999999998</v>
      </c>
      <c r="V8" s="24">
        <v>1.0314999999999999</v>
      </c>
      <c r="W8" s="24">
        <v>1.0413999999999999</v>
      </c>
      <c r="X8" s="24">
        <v>1.0542799999999999</v>
      </c>
      <c r="Y8" s="24">
        <v>1.0671599999999999</v>
      </c>
      <c r="Z8" s="24">
        <v>1.0800399999999999</v>
      </c>
      <c r="AA8" s="24">
        <v>1.0929199999999999</v>
      </c>
      <c r="AB8" s="24">
        <v>1.1057999999999999</v>
      </c>
      <c r="AC8" s="24">
        <v>1.1168</v>
      </c>
      <c r="AD8" s="24">
        <v>1.1277999999999999</v>
      </c>
      <c r="AE8" s="24">
        <v>1.1387999999999998</v>
      </c>
      <c r="AF8" s="24">
        <v>1.1497999999999999</v>
      </c>
      <c r="AG8" s="24">
        <v>1.1607999999999998</v>
      </c>
      <c r="AH8" s="24">
        <v>1.1694</v>
      </c>
      <c r="AI8" s="24">
        <v>1.1779999999999999</v>
      </c>
      <c r="AJ8" s="24">
        <v>1.1865999999999999</v>
      </c>
      <c r="AK8" s="24">
        <v>1.1951999999999998</v>
      </c>
      <c r="AL8" s="24">
        <v>1.2038</v>
      </c>
      <c r="AM8" s="24">
        <v>1.2123999999999999</v>
      </c>
      <c r="AN8" s="24">
        <v>1.2210000000000001</v>
      </c>
      <c r="AO8" s="24">
        <v>1.2296</v>
      </c>
      <c r="AP8" s="24">
        <v>1.2382</v>
      </c>
      <c r="AQ8" s="24">
        <v>1.2468000000000001</v>
      </c>
      <c r="AR8" s="24">
        <v>1.25146</v>
      </c>
      <c r="AS8" s="24">
        <v>1.2561200000000001</v>
      </c>
      <c r="AT8" s="24">
        <v>1.26078</v>
      </c>
      <c r="AU8" s="24">
        <v>1.2654400000000001</v>
      </c>
      <c r="AV8" s="24">
        <v>1.2701000000000002</v>
      </c>
      <c r="AW8" s="24">
        <v>1.2747600000000001</v>
      </c>
      <c r="AX8" s="24">
        <v>1.27942</v>
      </c>
      <c r="AY8" s="24">
        <v>1.2840800000000001</v>
      </c>
      <c r="AZ8" s="24">
        <v>1.2887400000000002</v>
      </c>
      <c r="BA8" s="24">
        <v>1.2934000000000001</v>
      </c>
      <c r="BB8" s="24">
        <v>1.2941200000000002</v>
      </c>
      <c r="BC8" s="24">
        <v>1.2948400000000002</v>
      </c>
      <c r="BD8" s="24">
        <v>1.29556</v>
      </c>
      <c r="BE8" s="24">
        <v>1.2962800000000001</v>
      </c>
      <c r="BF8" s="24">
        <v>1.2970000000000002</v>
      </c>
      <c r="BG8" s="24">
        <v>1.29772</v>
      </c>
      <c r="BH8" s="24">
        <v>1.29844</v>
      </c>
      <c r="BI8" s="24">
        <v>1.2991600000000001</v>
      </c>
      <c r="BJ8" s="24">
        <v>1.2998799999999999</v>
      </c>
      <c r="BK8" s="24">
        <v>1.3006</v>
      </c>
    </row>
    <row r="9" spans="1:63">
      <c r="B9" s="310">
        <v>0.35</v>
      </c>
      <c r="C9" s="24">
        <v>0.89500000000000002</v>
      </c>
      <c r="D9" s="24">
        <v>0.89979999999999993</v>
      </c>
      <c r="E9" s="24">
        <v>0.90460000000000007</v>
      </c>
      <c r="F9" s="24">
        <v>0.90939999999999999</v>
      </c>
      <c r="G9" s="24">
        <v>0.91420000000000001</v>
      </c>
      <c r="H9" s="24">
        <v>0.91900000000000004</v>
      </c>
      <c r="I9" s="24">
        <v>0.92379999999999995</v>
      </c>
      <c r="J9" s="24">
        <v>0.92859999999999998</v>
      </c>
      <c r="K9" s="24">
        <v>0.9333999999999999</v>
      </c>
      <c r="L9" s="24">
        <v>0.93819999999999992</v>
      </c>
      <c r="M9" s="24">
        <v>0.94299999999999995</v>
      </c>
      <c r="N9" s="24">
        <v>0.95279999999999998</v>
      </c>
      <c r="O9" s="24">
        <v>0.9625999999999999</v>
      </c>
      <c r="P9" s="24">
        <v>0.97239999999999993</v>
      </c>
      <c r="Q9" s="24">
        <v>0.98219999999999996</v>
      </c>
      <c r="R9" s="24">
        <v>0.99199999999999999</v>
      </c>
      <c r="S9" s="24">
        <v>1.0017999999999998</v>
      </c>
      <c r="T9" s="24">
        <v>1.0116000000000001</v>
      </c>
      <c r="U9" s="24">
        <v>1.0213999999999999</v>
      </c>
      <c r="V9" s="24">
        <v>1.0311999999999999</v>
      </c>
      <c r="W9" s="24">
        <v>1.0409999999999999</v>
      </c>
      <c r="X9" s="24">
        <v>1.0537999999999998</v>
      </c>
      <c r="Y9" s="24">
        <v>1.0666</v>
      </c>
      <c r="Z9" s="24">
        <v>1.0793999999999999</v>
      </c>
      <c r="AA9" s="24">
        <v>1.0922000000000001</v>
      </c>
      <c r="AB9" s="24">
        <v>1.105</v>
      </c>
      <c r="AC9" s="24">
        <v>1.1159999999999999</v>
      </c>
      <c r="AD9" s="24">
        <v>1.127</v>
      </c>
      <c r="AE9" s="24">
        <v>1.1379999999999999</v>
      </c>
      <c r="AF9" s="24">
        <v>1.149</v>
      </c>
      <c r="AG9" s="24">
        <v>1.1599999999999999</v>
      </c>
      <c r="AH9" s="24">
        <v>1.1684999999999999</v>
      </c>
      <c r="AI9" s="24">
        <v>1.177</v>
      </c>
      <c r="AJ9" s="24">
        <v>1.1855</v>
      </c>
      <c r="AK9" s="24">
        <v>1.194</v>
      </c>
      <c r="AL9" s="24">
        <v>1.2024999999999999</v>
      </c>
      <c r="AM9" s="24">
        <v>1.2110000000000001</v>
      </c>
      <c r="AN9" s="24">
        <v>1.2195</v>
      </c>
      <c r="AO9" s="24">
        <v>1.228</v>
      </c>
      <c r="AP9" s="24">
        <v>1.2365000000000002</v>
      </c>
      <c r="AQ9" s="24">
        <v>1.2450000000000001</v>
      </c>
      <c r="AR9" s="24">
        <v>1.2497</v>
      </c>
      <c r="AS9" s="24">
        <v>1.2544000000000002</v>
      </c>
      <c r="AT9" s="24">
        <v>1.2591000000000001</v>
      </c>
      <c r="AU9" s="24">
        <v>1.2638000000000003</v>
      </c>
      <c r="AV9" s="24">
        <v>1.2685</v>
      </c>
      <c r="AW9" s="24">
        <v>1.2732000000000001</v>
      </c>
      <c r="AX9" s="24">
        <v>1.2779</v>
      </c>
      <c r="AY9" s="24">
        <v>1.2826000000000002</v>
      </c>
      <c r="AZ9" s="24">
        <v>1.2873000000000001</v>
      </c>
      <c r="BA9" s="24">
        <v>1.292</v>
      </c>
      <c r="BB9" s="24">
        <v>1.2927</v>
      </c>
      <c r="BC9" s="24">
        <v>1.2934000000000001</v>
      </c>
      <c r="BD9" s="24">
        <v>1.2941</v>
      </c>
      <c r="BE9" s="24">
        <v>1.2948</v>
      </c>
      <c r="BF9" s="24">
        <v>1.2955000000000001</v>
      </c>
      <c r="BG9" s="24">
        <v>1.2962</v>
      </c>
      <c r="BH9" s="24">
        <v>1.2968999999999999</v>
      </c>
      <c r="BI9" s="24">
        <v>1.2975999999999999</v>
      </c>
      <c r="BJ9" s="24">
        <v>1.2983</v>
      </c>
      <c r="BK9" s="24">
        <v>1.2989999999999999</v>
      </c>
    </row>
    <row r="10" spans="1:63">
      <c r="B10" s="310">
        <v>0.36</v>
      </c>
      <c r="C10" s="24">
        <v>0.89660000000000006</v>
      </c>
      <c r="D10" s="24">
        <v>0.90128000000000008</v>
      </c>
      <c r="E10" s="24">
        <v>0.9059600000000001</v>
      </c>
      <c r="F10" s="24">
        <v>0.91063999999999989</v>
      </c>
      <c r="G10" s="24">
        <v>0.91531999999999991</v>
      </c>
      <c r="H10" s="24">
        <v>0.92</v>
      </c>
      <c r="I10" s="24">
        <v>0.92467999999999995</v>
      </c>
      <c r="J10" s="24">
        <v>0.92935999999999996</v>
      </c>
      <c r="K10" s="24">
        <v>0.93403999999999998</v>
      </c>
      <c r="L10" s="24">
        <v>0.93871999999999989</v>
      </c>
      <c r="M10" s="24">
        <v>0.94339999999999991</v>
      </c>
      <c r="N10" s="24">
        <v>0.95313999999999988</v>
      </c>
      <c r="O10" s="24">
        <v>0.96287999999999996</v>
      </c>
      <c r="P10" s="24">
        <v>0.97261999999999982</v>
      </c>
      <c r="Q10" s="24">
        <v>0.9823599999999999</v>
      </c>
      <c r="R10" s="24">
        <v>0.99209999999999998</v>
      </c>
      <c r="S10" s="24">
        <v>1.0018399999999998</v>
      </c>
      <c r="T10" s="24">
        <v>1.0115799999999999</v>
      </c>
      <c r="U10" s="24">
        <v>1.02132</v>
      </c>
      <c r="V10" s="24">
        <v>1.0310599999999999</v>
      </c>
      <c r="W10" s="24">
        <v>1.0407999999999999</v>
      </c>
      <c r="X10" s="24">
        <v>1.05352</v>
      </c>
      <c r="Y10" s="24">
        <v>1.0662400000000001</v>
      </c>
      <c r="Z10" s="24">
        <v>1.0789599999999999</v>
      </c>
      <c r="AA10" s="24">
        <v>1.09168</v>
      </c>
      <c r="AB10" s="24">
        <v>1.1044</v>
      </c>
      <c r="AC10" s="24">
        <v>1.1151599999999999</v>
      </c>
      <c r="AD10" s="24">
        <v>1.12592</v>
      </c>
      <c r="AE10" s="24">
        <v>1.1366799999999999</v>
      </c>
      <c r="AF10" s="24">
        <v>1.14744</v>
      </c>
      <c r="AG10" s="24">
        <v>1.1581999999999999</v>
      </c>
      <c r="AH10" s="24">
        <v>1.1666799999999999</v>
      </c>
      <c r="AI10" s="24">
        <v>1.17516</v>
      </c>
      <c r="AJ10" s="24">
        <v>1.18364</v>
      </c>
      <c r="AK10" s="24">
        <v>1.1921200000000001</v>
      </c>
      <c r="AL10" s="24">
        <v>1.2006000000000001</v>
      </c>
      <c r="AM10" s="24">
        <v>1.2090799999999999</v>
      </c>
      <c r="AN10" s="24">
        <v>1.2175600000000002</v>
      </c>
      <c r="AO10" s="24">
        <v>1.22604</v>
      </c>
      <c r="AP10" s="24">
        <v>1.2345200000000001</v>
      </c>
      <c r="AQ10" s="24">
        <v>1.2430000000000001</v>
      </c>
      <c r="AR10" s="24">
        <v>1.2477</v>
      </c>
      <c r="AS10" s="24">
        <v>1.2524000000000002</v>
      </c>
      <c r="AT10" s="24">
        <v>1.2571000000000001</v>
      </c>
      <c r="AU10" s="24">
        <v>1.2618</v>
      </c>
      <c r="AV10" s="24">
        <v>1.2665000000000002</v>
      </c>
      <c r="AW10" s="24">
        <v>1.2712000000000001</v>
      </c>
      <c r="AX10" s="24">
        <v>1.2759</v>
      </c>
      <c r="AY10" s="24">
        <v>1.2806</v>
      </c>
      <c r="AZ10" s="24">
        <v>1.2853000000000001</v>
      </c>
      <c r="BA10" s="24">
        <v>1.29</v>
      </c>
      <c r="BB10" s="24">
        <v>1.2907599999999999</v>
      </c>
      <c r="BC10" s="24">
        <v>1.29152</v>
      </c>
      <c r="BD10" s="24">
        <v>1.2922799999999999</v>
      </c>
      <c r="BE10" s="24">
        <v>1.29304</v>
      </c>
      <c r="BF10" s="24">
        <v>1.2938000000000001</v>
      </c>
      <c r="BG10" s="24">
        <v>1.2945599999999999</v>
      </c>
      <c r="BH10" s="24">
        <v>1.2953199999999998</v>
      </c>
      <c r="BI10" s="24">
        <v>1.2960799999999999</v>
      </c>
      <c r="BJ10" s="24">
        <v>1.29684</v>
      </c>
      <c r="BK10" s="24">
        <v>1.2975999999999999</v>
      </c>
    </row>
    <row r="11" spans="1:63">
      <c r="B11" s="310">
        <v>0.37</v>
      </c>
      <c r="C11" s="24">
        <v>0.89820000000000011</v>
      </c>
      <c r="D11" s="24">
        <v>0.90276000000000001</v>
      </c>
      <c r="E11" s="24">
        <v>0.90732000000000002</v>
      </c>
      <c r="F11" s="24">
        <v>0.91188000000000013</v>
      </c>
      <c r="G11" s="24">
        <v>0.91644000000000014</v>
      </c>
      <c r="H11" s="24">
        <v>0.92100000000000004</v>
      </c>
      <c r="I11" s="24">
        <v>0.92556000000000016</v>
      </c>
      <c r="J11" s="24">
        <v>0.93012000000000006</v>
      </c>
      <c r="K11" s="24">
        <v>0.93468000000000007</v>
      </c>
      <c r="L11" s="24">
        <v>0.93923999999999996</v>
      </c>
      <c r="M11" s="24">
        <v>0.94379999999999997</v>
      </c>
      <c r="N11" s="24">
        <v>0.95347999999999988</v>
      </c>
      <c r="O11" s="24">
        <v>0.96316000000000002</v>
      </c>
      <c r="P11" s="24">
        <v>0.97283999999999993</v>
      </c>
      <c r="Q11" s="24">
        <v>0.98252000000000006</v>
      </c>
      <c r="R11" s="24">
        <v>0.99219999999999997</v>
      </c>
      <c r="S11" s="24">
        <v>1.0018799999999999</v>
      </c>
      <c r="T11" s="24">
        <v>1.01156</v>
      </c>
      <c r="U11" s="24">
        <v>1.0212399999999999</v>
      </c>
      <c r="V11" s="24">
        <v>1.0309200000000001</v>
      </c>
      <c r="W11" s="24">
        <v>1.0406</v>
      </c>
      <c r="X11" s="24">
        <v>1.05324</v>
      </c>
      <c r="Y11" s="24">
        <v>1.0658799999999999</v>
      </c>
      <c r="Z11" s="24">
        <v>1.0785199999999999</v>
      </c>
      <c r="AA11" s="24">
        <v>1.0911599999999999</v>
      </c>
      <c r="AB11" s="24">
        <v>1.1037999999999999</v>
      </c>
      <c r="AC11" s="24">
        <v>1.11432</v>
      </c>
      <c r="AD11" s="24">
        <v>1.1248400000000001</v>
      </c>
      <c r="AE11" s="24">
        <v>1.1353599999999999</v>
      </c>
      <c r="AF11" s="24">
        <v>1.14588</v>
      </c>
      <c r="AG11" s="24">
        <v>1.1564000000000001</v>
      </c>
      <c r="AH11" s="24">
        <v>1.1648600000000002</v>
      </c>
      <c r="AI11" s="24">
        <v>1.1733200000000001</v>
      </c>
      <c r="AJ11" s="24">
        <v>1.1817800000000001</v>
      </c>
      <c r="AK11" s="24">
        <v>1.1902400000000002</v>
      </c>
      <c r="AL11" s="24">
        <v>1.1987000000000001</v>
      </c>
      <c r="AM11" s="24">
        <v>1.20716</v>
      </c>
      <c r="AN11" s="24">
        <v>1.2156200000000001</v>
      </c>
      <c r="AO11" s="24">
        <v>1.2240800000000001</v>
      </c>
      <c r="AP11" s="24">
        <v>1.23254</v>
      </c>
      <c r="AQ11" s="24">
        <v>1.2410000000000001</v>
      </c>
      <c r="AR11" s="24">
        <v>1.2457</v>
      </c>
      <c r="AS11" s="24">
        <v>1.2504000000000002</v>
      </c>
      <c r="AT11" s="24">
        <v>1.2551000000000001</v>
      </c>
      <c r="AU11" s="24">
        <v>1.2598</v>
      </c>
      <c r="AV11" s="24">
        <v>1.2645</v>
      </c>
      <c r="AW11" s="24">
        <v>1.2692000000000001</v>
      </c>
      <c r="AX11" s="24">
        <v>1.2739</v>
      </c>
      <c r="AY11" s="24">
        <v>1.2786</v>
      </c>
      <c r="AZ11" s="24">
        <v>1.2833000000000001</v>
      </c>
      <c r="BA11" s="24">
        <v>1.288</v>
      </c>
      <c r="BB11" s="24">
        <v>1.2888200000000001</v>
      </c>
      <c r="BC11" s="24">
        <v>1.2896399999999999</v>
      </c>
      <c r="BD11" s="24">
        <v>1.2904599999999999</v>
      </c>
      <c r="BE11" s="24">
        <v>1.29128</v>
      </c>
      <c r="BF11" s="24">
        <v>1.2921</v>
      </c>
      <c r="BG11" s="24">
        <v>1.2929200000000001</v>
      </c>
      <c r="BH11" s="24">
        <v>1.2937400000000001</v>
      </c>
      <c r="BI11" s="24">
        <v>1.2945600000000002</v>
      </c>
      <c r="BJ11" s="24">
        <v>1.29538</v>
      </c>
      <c r="BK11" s="24">
        <v>1.2962</v>
      </c>
    </row>
    <row r="12" spans="1:63">
      <c r="B12" s="310">
        <v>0.38</v>
      </c>
      <c r="C12" s="24">
        <v>0.89979999999999993</v>
      </c>
      <c r="D12" s="24">
        <v>0.90423999999999993</v>
      </c>
      <c r="E12" s="24">
        <v>0.90867999999999993</v>
      </c>
      <c r="F12" s="24">
        <v>0.91311999999999993</v>
      </c>
      <c r="G12" s="24">
        <v>0.91755999999999993</v>
      </c>
      <c r="H12" s="24">
        <v>0.92199999999999993</v>
      </c>
      <c r="I12" s="24">
        <v>0.92643999999999993</v>
      </c>
      <c r="J12" s="24">
        <v>0.93087999999999993</v>
      </c>
      <c r="K12" s="24">
        <v>0.93531999999999993</v>
      </c>
      <c r="L12" s="24">
        <v>0.93975999999999993</v>
      </c>
      <c r="M12" s="24">
        <v>0.94419999999999993</v>
      </c>
      <c r="N12" s="24">
        <v>0.95382</v>
      </c>
      <c r="O12" s="24">
        <v>0.96343999999999996</v>
      </c>
      <c r="P12" s="24">
        <v>0.97305999999999981</v>
      </c>
      <c r="Q12" s="24">
        <v>0.98268</v>
      </c>
      <c r="R12" s="24">
        <v>0.99229999999999996</v>
      </c>
      <c r="S12" s="24">
        <v>1.0019200000000001</v>
      </c>
      <c r="T12" s="24">
        <v>1.0115399999999999</v>
      </c>
      <c r="U12" s="24">
        <v>1.0211600000000001</v>
      </c>
      <c r="V12" s="24">
        <v>1.03078</v>
      </c>
      <c r="W12" s="24">
        <v>1.0404</v>
      </c>
      <c r="X12" s="24">
        <v>1.0529600000000001</v>
      </c>
      <c r="Y12" s="24">
        <v>1.06552</v>
      </c>
      <c r="Z12" s="24">
        <v>1.0780799999999999</v>
      </c>
      <c r="AA12" s="24">
        <v>1.0906400000000001</v>
      </c>
      <c r="AB12" s="24">
        <v>1.1032</v>
      </c>
      <c r="AC12" s="24">
        <v>1.11348</v>
      </c>
      <c r="AD12" s="24">
        <v>1.1237599999999999</v>
      </c>
      <c r="AE12" s="24">
        <v>1.1340399999999999</v>
      </c>
      <c r="AF12" s="24">
        <v>1.14432</v>
      </c>
      <c r="AG12" s="24">
        <v>1.1545999999999998</v>
      </c>
      <c r="AH12" s="24">
        <v>1.1630399999999996</v>
      </c>
      <c r="AI12" s="24">
        <v>1.1714799999999999</v>
      </c>
      <c r="AJ12" s="24">
        <v>1.1799199999999999</v>
      </c>
      <c r="AK12" s="24">
        <v>1.1883599999999999</v>
      </c>
      <c r="AL12" s="24">
        <v>1.1968000000000001</v>
      </c>
      <c r="AM12" s="24">
        <v>1.2052399999999999</v>
      </c>
      <c r="AN12" s="24">
        <v>1.2136800000000001</v>
      </c>
      <c r="AO12" s="24">
        <v>1.2221200000000001</v>
      </c>
      <c r="AP12" s="24">
        <v>1.2305600000000001</v>
      </c>
      <c r="AQ12" s="24">
        <v>1.2390000000000001</v>
      </c>
      <c r="AR12" s="24">
        <v>1.2437</v>
      </c>
      <c r="AS12" s="24">
        <v>1.2484000000000002</v>
      </c>
      <c r="AT12" s="24">
        <v>1.2531000000000001</v>
      </c>
      <c r="AU12" s="24">
        <v>1.2578</v>
      </c>
      <c r="AV12" s="24">
        <v>1.2625</v>
      </c>
      <c r="AW12" s="24">
        <v>1.2671999999999999</v>
      </c>
      <c r="AX12" s="24">
        <v>1.2719</v>
      </c>
      <c r="AY12" s="24">
        <v>1.2766</v>
      </c>
      <c r="AZ12" s="24">
        <v>1.2812999999999999</v>
      </c>
      <c r="BA12" s="24">
        <v>1.286</v>
      </c>
      <c r="BB12" s="24">
        <v>1.28688</v>
      </c>
      <c r="BC12" s="24">
        <v>1.28776</v>
      </c>
      <c r="BD12" s="24">
        <v>1.28864</v>
      </c>
      <c r="BE12" s="24">
        <v>1.28952</v>
      </c>
      <c r="BF12" s="24">
        <v>1.2904</v>
      </c>
      <c r="BG12" s="24">
        <v>1.29128</v>
      </c>
      <c r="BH12" s="24">
        <v>1.29216</v>
      </c>
      <c r="BI12" s="24">
        <v>1.29304</v>
      </c>
      <c r="BJ12" s="24">
        <v>1.29392</v>
      </c>
      <c r="BK12" s="24">
        <v>1.2948</v>
      </c>
    </row>
    <row r="13" spans="1:63">
      <c r="B13" s="310">
        <v>0.39</v>
      </c>
      <c r="C13" s="24">
        <v>0.90139999999999998</v>
      </c>
      <c r="D13" s="24">
        <v>0.90571999999999997</v>
      </c>
      <c r="E13" s="24">
        <v>0.91003999999999996</v>
      </c>
      <c r="F13" s="24">
        <v>0.91436000000000006</v>
      </c>
      <c r="G13" s="24">
        <v>0.91867999999999994</v>
      </c>
      <c r="H13" s="24">
        <v>0.92299999999999993</v>
      </c>
      <c r="I13" s="24">
        <v>0.92731999999999992</v>
      </c>
      <c r="J13" s="24">
        <v>0.93164000000000002</v>
      </c>
      <c r="K13" s="24">
        <v>0.9359599999999999</v>
      </c>
      <c r="L13" s="24">
        <v>0.94027999999999989</v>
      </c>
      <c r="M13" s="24">
        <v>0.94459999999999988</v>
      </c>
      <c r="N13" s="24">
        <v>0.9541599999999999</v>
      </c>
      <c r="O13" s="24">
        <v>0.96371999999999991</v>
      </c>
      <c r="P13" s="24">
        <v>0.97327999999999992</v>
      </c>
      <c r="Q13" s="24">
        <v>0.98283999999999994</v>
      </c>
      <c r="R13" s="24">
        <v>0.99239999999999995</v>
      </c>
      <c r="S13" s="24">
        <v>1.00196</v>
      </c>
      <c r="T13" s="24">
        <v>1.01152</v>
      </c>
      <c r="U13" s="24">
        <v>1.02108</v>
      </c>
      <c r="V13" s="24">
        <v>1.03064</v>
      </c>
      <c r="W13" s="24">
        <v>1.0402</v>
      </c>
      <c r="X13" s="24">
        <v>1.0526800000000001</v>
      </c>
      <c r="Y13" s="24">
        <v>1.0651600000000001</v>
      </c>
      <c r="Z13" s="24">
        <v>1.0776400000000002</v>
      </c>
      <c r="AA13" s="24">
        <v>1.09012</v>
      </c>
      <c r="AB13" s="24">
        <v>1.1026</v>
      </c>
      <c r="AC13" s="24">
        <v>1.1126400000000001</v>
      </c>
      <c r="AD13" s="24">
        <v>1.1226799999999999</v>
      </c>
      <c r="AE13" s="24">
        <v>1.1327199999999999</v>
      </c>
      <c r="AF13" s="24">
        <v>1.14276</v>
      </c>
      <c r="AG13" s="24">
        <v>1.1528</v>
      </c>
      <c r="AH13" s="24">
        <v>1.1612199999999999</v>
      </c>
      <c r="AI13" s="24">
        <v>1.16964</v>
      </c>
      <c r="AJ13" s="24">
        <v>1.1780600000000001</v>
      </c>
      <c r="AK13" s="24">
        <v>1.18648</v>
      </c>
      <c r="AL13" s="24">
        <v>1.1949000000000001</v>
      </c>
      <c r="AM13" s="24">
        <v>1.2033200000000002</v>
      </c>
      <c r="AN13" s="24">
        <v>1.2117400000000003</v>
      </c>
      <c r="AO13" s="24">
        <v>1.2201599999999999</v>
      </c>
      <c r="AP13" s="24">
        <v>1.2285800000000002</v>
      </c>
      <c r="AQ13" s="24">
        <v>1.2370000000000001</v>
      </c>
      <c r="AR13" s="24">
        <v>1.2417000000000002</v>
      </c>
      <c r="AS13" s="24">
        <v>1.2464</v>
      </c>
      <c r="AT13" s="24">
        <v>1.2511000000000001</v>
      </c>
      <c r="AU13" s="24">
        <v>1.2558000000000002</v>
      </c>
      <c r="AV13" s="24">
        <v>1.2605</v>
      </c>
      <c r="AW13" s="24">
        <v>1.2652000000000001</v>
      </c>
      <c r="AX13" s="24">
        <v>1.2699</v>
      </c>
      <c r="AY13" s="24">
        <v>1.2746000000000002</v>
      </c>
      <c r="AZ13" s="24">
        <v>1.2792999999999999</v>
      </c>
      <c r="BA13" s="24">
        <v>1.284</v>
      </c>
      <c r="BB13" s="24">
        <v>1.28494</v>
      </c>
      <c r="BC13" s="24">
        <v>1.2858800000000001</v>
      </c>
      <c r="BD13" s="24">
        <v>1.2868200000000001</v>
      </c>
      <c r="BE13" s="24">
        <v>1.28776</v>
      </c>
      <c r="BF13" s="24">
        <v>1.2887</v>
      </c>
      <c r="BG13" s="24">
        <v>1.2896400000000001</v>
      </c>
      <c r="BH13" s="24">
        <v>1.2905800000000001</v>
      </c>
      <c r="BI13" s="24">
        <v>1.2915200000000002</v>
      </c>
      <c r="BJ13" s="24">
        <v>1.2924600000000002</v>
      </c>
      <c r="BK13" s="24">
        <v>1.2934000000000001</v>
      </c>
    </row>
    <row r="14" spans="1:63">
      <c r="B14" s="310">
        <v>0.4</v>
      </c>
      <c r="C14" s="24">
        <v>0.90300000000000002</v>
      </c>
      <c r="D14" s="24">
        <v>0.90720000000000001</v>
      </c>
      <c r="E14" s="24">
        <v>0.91139999999999999</v>
      </c>
      <c r="F14" s="24">
        <v>0.91559999999999997</v>
      </c>
      <c r="G14" s="24">
        <v>0.91979999999999995</v>
      </c>
      <c r="H14" s="24">
        <v>0.92399999999999993</v>
      </c>
      <c r="I14" s="24">
        <v>0.92819999999999991</v>
      </c>
      <c r="J14" s="24">
        <v>0.93240000000000001</v>
      </c>
      <c r="K14" s="24">
        <v>0.93659999999999999</v>
      </c>
      <c r="L14" s="24">
        <v>0.94079999999999997</v>
      </c>
      <c r="M14" s="24">
        <v>0.94499999999999995</v>
      </c>
      <c r="N14" s="24">
        <v>0.95450000000000002</v>
      </c>
      <c r="O14" s="24">
        <v>0.96399999999999997</v>
      </c>
      <c r="P14" s="24">
        <v>0.97349999999999992</v>
      </c>
      <c r="Q14" s="24">
        <v>0.98299999999999998</v>
      </c>
      <c r="R14" s="24">
        <v>0.99250000000000005</v>
      </c>
      <c r="S14" s="24">
        <v>1.002</v>
      </c>
      <c r="T14" s="24">
        <v>1.0115000000000001</v>
      </c>
      <c r="U14" s="24">
        <v>1.0209999999999999</v>
      </c>
      <c r="V14" s="24">
        <v>1.0305</v>
      </c>
      <c r="W14" s="24">
        <v>1.04</v>
      </c>
      <c r="X14" s="24">
        <v>1.0524</v>
      </c>
      <c r="Y14" s="24">
        <v>1.0648</v>
      </c>
      <c r="Z14" s="24">
        <v>1.0771999999999999</v>
      </c>
      <c r="AA14" s="24">
        <v>1.0895999999999999</v>
      </c>
      <c r="AB14" s="24">
        <v>1.1020000000000001</v>
      </c>
      <c r="AC14" s="24">
        <v>1.1118000000000001</v>
      </c>
      <c r="AD14" s="24">
        <v>1.1216000000000002</v>
      </c>
      <c r="AE14" s="24">
        <v>1.1314000000000002</v>
      </c>
      <c r="AF14" s="24">
        <v>1.1412</v>
      </c>
      <c r="AG14" s="24">
        <v>1.151</v>
      </c>
      <c r="AH14" s="24">
        <v>1.1594</v>
      </c>
      <c r="AI14" s="24">
        <v>1.1678000000000002</v>
      </c>
      <c r="AJ14" s="24">
        <v>1.1762000000000001</v>
      </c>
      <c r="AK14" s="24">
        <v>1.1846000000000001</v>
      </c>
      <c r="AL14" s="24">
        <v>1.1930000000000001</v>
      </c>
      <c r="AM14" s="24">
        <v>1.2014</v>
      </c>
      <c r="AN14" s="24">
        <v>1.2098</v>
      </c>
      <c r="AO14" s="24">
        <v>1.2182000000000002</v>
      </c>
      <c r="AP14" s="24">
        <v>1.2266000000000001</v>
      </c>
      <c r="AQ14" s="24">
        <v>1.2350000000000001</v>
      </c>
      <c r="AR14" s="24">
        <v>1.2397</v>
      </c>
      <c r="AS14" s="24">
        <v>1.2444000000000002</v>
      </c>
      <c r="AT14" s="24">
        <v>1.2491000000000001</v>
      </c>
      <c r="AU14" s="24">
        <v>1.2538</v>
      </c>
      <c r="AV14" s="24">
        <v>1.2585000000000002</v>
      </c>
      <c r="AW14" s="24">
        <v>1.2632000000000001</v>
      </c>
      <c r="AX14" s="24">
        <v>1.2679</v>
      </c>
      <c r="AY14" s="24">
        <v>1.2726000000000002</v>
      </c>
      <c r="AZ14" s="24">
        <v>1.2772999999999999</v>
      </c>
      <c r="BA14" s="24">
        <v>1.282</v>
      </c>
      <c r="BB14" s="24">
        <v>1.2829999999999999</v>
      </c>
      <c r="BC14" s="24">
        <v>1.284</v>
      </c>
      <c r="BD14" s="24">
        <v>1.2849999999999999</v>
      </c>
      <c r="BE14" s="24">
        <v>1.286</v>
      </c>
      <c r="BF14" s="24">
        <v>1.2869999999999999</v>
      </c>
      <c r="BG14" s="24">
        <v>1.288</v>
      </c>
      <c r="BH14" s="24">
        <v>1.2889999999999999</v>
      </c>
      <c r="BI14" s="24">
        <v>1.29</v>
      </c>
      <c r="BJ14" s="24">
        <v>1.2909999999999999</v>
      </c>
      <c r="BK14" s="24">
        <v>1.292</v>
      </c>
    </row>
    <row r="15" spans="1:63">
      <c r="B15" s="310">
        <v>0.41</v>
      </c>
      <c r="C15" s="24">
        <v>0.90400000000000014</v>
      </c>
      <c r="D15" s="24">
        <v>0.90812000000000004</v>
      </c>
      <c r="E15" s="24">
        <v>0.91224000000000016</v>
      </c>
      <c r="F15" s="24">
        <v>0.91636000000000006</v>
      </c>
      <c r="G15" s="24">
        <v>0.92048000000000019</v>
      </c>
      <c r="H15" s="24">
        <v>0.92460000000000009</v>
      </c>
      <c r="I15" s="24">
        <v>0.92871999999999999</v>
      </c>
      <c r="J15" s="24">
        <v>0.93284000000000011</v>
      </c>
      <c r="K15" s="24">
        <v>0.93696000000000002</v>
      </c>
      <c r="L15" s="24">
        <v>0.94108000000000014</v>
      </c>
      <c r="M15" s="24">
        <v>0.94520000000000004</v>
      </c>
      <c r="N15" s="24">
        <v>0.95466000000000006</v>
      </c>
      <c r="O15" s="24">
        <v>0.96412000000000009</v>
      </c>
      <c r="P15" s="24">
        <v>0.97358000000000011</v>
      </c>
      <c r="Q15" s="24">
        <v>0.98304000000000002</v>
      </c>
      <c r="R15" s="24">
        <v>0.99250000000000005</v>
      </c>
      <c r="S15" s="24">
        <v>1.00196</v>
      </c>
      <c r="T15" s="24">
        <v>1.01142</v>
      </c>
      <c r="U15" s="24">
        <v>1.02088</v>
      </c>
      <c r="V15" s="24">
        <v>1.03034</v>
      </c>
      <c r="W15" s="24">
        <v>1.0398000000000001</v>
      </c>
      <c r="X15" s="24">
        <v>1.0521200000000002</v>
      </c>
      <c r="Y15" s="24">
        <v>1.0644400000000001</v>
      </c>
      <c r="Z15" s="24">
        <v>1.0767600000000002</v>
      </c>
      <c r="AA15" s="24">
        <v>1.08908</v>
      </c>
      <c r="AB15" s="24">
        <v>1.1013999999999999</v>
      </c>
      <c r="AC15" s="24">
        <v>1.11128</v>
      </c>
      <c r="AD15" s="24">
        <v>1.1211599999999999</v>
      </c>
      <c r="AE15" s="24">
        <v>1.13104</v>
      </c>
      <c r="AF15" s="24">
        <v>1.1409199999999999</v>
      </c>
      <c r="AG15" s="24">
        <v>1.1508</v>
      </c>
      <c r="AH15" s="24">
        <v>1.1591400000000001</v>
      </c>
      <c r="AI15" s="24">
        <v>1.1674800000000001</v>
      </c>
      <c r="AJ15" s="24">
        <v>1.1758200000000001</v>
      </c>
      <c r="AK15" s="24">
        <v>1.1841600000000001</v>
      </c>
      <c r="AL15" s="24">
        <v>1.1924999999999999</v>
      </c>
      <c r="AM15" s="24">
        <v>1.2008400000000001</v>
      </c>
      <c r="AN15" s="24">
        <v>1.2091800000000001</v>
      </c>
      <c r="AO15" s="24">
        <v>1.2175200000000002</v>
      </c>
      <c r="AP15" s="24">
        <v>1.2258600000000002</v>
      </c>
      <c r="AQ15" s="24">
        <v>1.2342000000000002</v>
      </c>
      <c r="AR15" s="24">
        <v>1.2388400000000002</v>
      </c>
      <c r="AS15" s="24">
        <v>1.2434800000000001</v>
      </c>
      <c r="AT15" s="24">
        <v>1.2481200000000001</v>
      </c>
      <c r="AU15" s="24">
        <v>1.2527600000000001</v>
      </c>
      <c r="AV15" s="24">
        <v>1.2574000000000001</v>
      </c>
      <c r="AW15" s="24">
        <v>1.2620400000000001</v>
      </c>
      <c r="AX15" s="24">
        <v>1.26668</v>
      </c>
      <c r="AY15" s="24">
        <v>1.27132</v>
      </c>
      <c r="AZ15" s="24">
        <v>1.27596</v>
      </c>
      <c r="BA15" s="24">
        <v>1.2806</v>
      </c>
      <c r="BB15" s="24">
        <v>1.2816399999999999</v>
      </c>
      <c r="BC15" s="24">
        <v>1.28268</v>
      </c>
      <c r="BD15" s="24">
        <v>1.28372</v>
      </c>
      <c r="BE15" s="24">
        <v>1.2847599999999999</v>
      </c>
      <c r="BF15" s="24">
        <v>1.2858000000000001</v>
      </c>
      <c r="BG15" s="24">
        <v>1.28684</v>
      </c>
      <c r="BH15" s="24">
        <v>1.2878799999999999</v>
      </c>
      <c r="BI15" s="24">
        <v>1.2889200000000001</v>
      </c>
      <c r="BJ15" s="24">
        <v>1.28996</v>
      </c>
      <c r="BK15" s="24">
        <v>1.2909999999999999</v>
      </c>
    </row>
    <row r="16" spans="1:63">
      <c r="A16" s="308" t="s">
        <v>265</v>
      </c>
      <c r="B16" s="310">
        <v>0.42</v>
      </c>
      <c r="C16" s="24">
        <v>0.90500000000000003</v>
      </c>
      <c r="D16" s="24">
        <v>0.90903999999999996</v>
      </c>
      <c r="E16" s="24">
        <v>0.91308000000000011</v>
      </c>
      <c r="F16" s="24">
        <v>0.91711999999999994</v>
      </c>
      <c r="G16" s="24">
        <v>0.92116000000000009</v>
      </c>
      <c r="H16" s="24">
        <v>0.92520000000000002</v>
      </c>
      <c r="I16" s="24">
        <v>0.92924000000000007</v>
      </c>
      <c r="J16" s="24">
        <v>0.93328</v>
      </c>
      <c r="K16" s="24">
        <v>0.93732000000000004</v>
      </c>
      <c r="L16" s="24">
        <v>0.94135999999999997</v>
      </c>
      <c r="M16" s="24">
        <v>0.94540000000000002</v>
      </c>
      <c r="N16" s="24">
        <v>0.95482</v>
      </c>
      <c r="O16" s="24">
        <v>0.9642400000000001</v>
      </c>
      <c r="P16" s="24">
        <v>0.97365999999999997</v>
      </c>
      <c r="Q16" s="24">
        <v>0.98307999999999995</v>
      </c>
      <c r="R16" s="24">
        <v>0.99250000000000005</v>
      </c>
      <c r="S16" s="24">
        <v>1.0019200000000001</v>
      </c>
      <c r="T16" s="24">
        <v>1.0113400000000001</v>
      </c>
      <c r="U16" s="24">
        <v>1.0207600000000001</v>
      </c>
      <c r="V16" s="24">
        <v>1.0301800000000001</v>
      </c>
      <c r="W16" s="24">
        <v>1.0396000000000001</v>
      </c>
      <c r="X16" s="24">
        <v>1.0518400000000001</v>
      </c>
      <c r="Y16" s="24">
        <v>1.0640799999999999</v>
      </c>
      <c r="Z16" s="24">
        <v>1.0763199999999999</v>
      </c>
      <c r="AA16" s="24">
        <v>1.08856</v>
      </c>
      <c r="AB16" s="24">
        <v>1.1008</v>
      </c>
      <c r="AC16" s="24">
        <v>1.11076</v>
      </c>
      <c r="AD16" s="24">
        <v>1.1207199999999999</v>
      </c>
      <c r="AE16" s="24">
        <v>1.1306799999999999</v>
      </c>
      <c r="AF16" s="24">
        <v>1.1406399999999999</v>
      </c>
      <c r="AG16" s="24">
        <v>1.1505999999999998</v>
      </c>
      <c r="AH16" s="24">
        <v>1.1588799999999999</v>
      </c>
      <c r="AI16" s="24">
        <v>1.16716</v>
      </c>
      <c r="AJ16" s="24">
        <v>1.17544</v>
      </c>
      <c r="AK16" s="24">
        <v>1.1837200000000001</v>
      </c>
      <c r="AL16" s="24">
        <v>1.1919999999999999</v>
      </c>
      <c r="AM16" s="24">
        <v>1.20028</v>
      </c>
      <c r="AN16" s="24">
        <v>1.2085600000000001</v>
      </c>
      <c r="AO16" s="24">
        <v>1.2168399999999999</v>
      </c>
      <c r="AP16" s="24">
        <v>1.22512</v>
      </c>
      <c r="AQ16" s="24">
        <v>1.2334000000000001</v>
      </c>
      <c r="AR16" s="24">
        <v>1.2379800000000001</v>
      </c>
      <c r="AS16" s="24">
        <v>1.2425600000000001</v>
      </c>
      <c r="AT16" s="24">
        <v>1.2471399999999999</v>
      </c>
      <c r="AU16" s="24">
        <v>1.2517199999999999</v>
      </c>
      <c r="AV16" s="24">
        <v>1.2563</v>
      </c>
      <c r="AW16" s="24">
        <v>1.26088</v>
      </c>
      <c r="AX16" s="24">
        <v>1.26546</v>
      </c>
      <c r="AY16" s="24">
        <v>1.2700399999999998</v>
      </c>
      <c r="AZ16" s="24">
        <v>1.2746199999999999</v>
      </c>
      <c r="BA16" s="24">
        <v>1.2791999999999999</v>
      </c>
      <c r="BB16" s="24">
        <v>1.2802799999999999</v>
      </c>
      <c r="BC16" s="24">
        <v>1.2813599999999998</v>
      </c>
      <c r="BD16" s="24">
        <v>1.2824399999999998</v>
      </c>
      <c r="BE16" s="24">
        <v>1.28352</v>
      </c>
      <c r="BF16" s="24">
        <v>1.2846</v>
      </c>
      <c r="BG16" s="24">
        <v>1.2856799999999999</v>
      </c>
      <c r="BH16" s="24">
        <v>1.2867600000000001</v>
      </c>
      <c r="BI16" s="24">
        <v>1.2878400000000001</v>
      </c>
      <c r="BJ16" s="24">
        <v>1.2889200000000001</v>
      </c>
      <c r="BK16" s="24">
        <v>1.29</v>
      </c>
    </row>
    <row r="17" spans="1:63">
      <c r="A17" s="308" t="s">
        <v>266</v>
      </c>
      <c r="B17" s="310">
        <v>0.43</v>
      </c>
      <c r="C17" s="24">
        <v>0.90599999999999992</v>
      </c>
      <c r="D17" s="24">
        <v>0.90995999999999988</v>
      </c>
      <c r="E17" s="24">
        <v>0.91391999999999995</v>
      </c>
      <c r="F17" s="24">
        <v>0.91787999999999992</v>
      </c>
      <c r="G17" s="24">
        <v>0.92183999999999999</v>
      </c>
      <c r="H17" s="24">
        <v>0.92579999999999996</v>
      </c>
      <c r="I17" s="24">
        <v>0.92975999999999992</v>
      </c>
      <c r="J17" s="24">
        <v>0.93371999999999999</v>
      </c>
      <c r="K17" s="24">
        <v>0.93767999999999996</v>
      </c>
      <c r="L17" s="24">
        <v>0.94164000000000003</v>
      </c>
      <c r="M17" s="24">
        <v>0.9456</v>
      </c>
      <c r="N17" s="24">
        <v>0.95498000000000005</v>
      </c>
      <c r="O17" s="24">
        <v>0.96435999999999999</v>
      </c>
      <c r="P17" s="24">
        <v>0.97374000000000005</v>
      </c>
      <c r="Q17" s="24">
        <v>0.98311999999999999</v>
      </c>
      <c r="R17" s="24">
        <v>0.99250000000000005</v>
      </c>
      <c r="S17" s="24">
        <v>1.0018800000000001</v>
      </c>
      <c r="T17" s="24">
        <v>1.01126</v>
      </c>
      <c r="U17" s="24">
        <v>1.0206400000000002</v>
      </c>
      <c r="V17" s="24">
        <v>1.0300199999999999</v>
      </c>
      <c r="W17" s="24">
        <v>1.0394000000000001</v>
      </c>
      <c r="X17" s="24">
        <v>1.0515600000000001</v>
      </c>
      <c r="Y17" s="24">
        <v>1.06372</v>
      </c>
      <c r="Z17" s="24">
        <v>1.0758800000000002</v>
      </c>
      <c r="AA17" s="24">
        <v>1.0880400000000001</v>
      </c>
      <c r="AB17" s="24">
        <v>1.1002000000000001</v>
      </c>
      <c r="AC17" s="24">
        <v>1.1102400000000001</v>
      </c>
      <c r="AD17" s="24">
        <v>1.1202799999999999</v>
      </c>
      <c r="AE17" s="24">
        <v>1.13032</v>
      </c>
      <c r="AF17" s="24">
        <v>1.1403599999999998</v>
      </c>
      <c r="AG17" s="24">
        <v>1.1503999999999999</v>
      </c>
      <c r="AH17" s="24">
        <v>1.1586199999999998</v>
      </c>
      <c r="AI17" s="24">
        <v>1.1668399999999999</v>
      </c>
      <c r="AJ17" s="24">
        <v>1.17506</v>
      </c>
      <c r="AK17" s="24">
        <v>1.1832799999999999</v>
      </c>
      <c r="AL17" s="24">
        <v>1.1915</v>
      </c>
      <c r="AM17" s="24">
        <v>1.1997200000000001</v>
      </c>
      <c r="AN17" s="24">
        <v>1.2079400000000002</v>
      </c>
      <c r="AO17" s="24">
        <v>1.2161599999999999</v>
      </c>
      <c r="AP17" s="24">
        <v>1.2243800000000002</v>
      </c>
      <c r="AQ17" s="24">
        <v>1.2326000000000001</v>
      </c>
      <c r="AR17" s="24">
        <v>1.2371200000000002</v>
      </c>
      <c r="AS17" s="24">
        <v>1.2416400000000001</v>
      </c>
      <c r="AT17" s="24">
        <v>1.2461600000000002</v>
      </c>
      <c r="AU17" s="24">
        <v>1.25068</v>
      </c>
      <c r="AV17" s="24">
        <v>1.2552000000000001</v>
      </c>
      <c r="AW17" s="24">
        <v>1.2597200000000002</v>
      </c>
      <c r="AX17" s="24">
        <v>1.26424</v>
      </c>
      <c r="AY17" s="24">
        <v>1.2687600000000001</v>
      </c>
      <c r="AZ17" s="24">
        <v>1.27328</v>
      </c>
      <c r="BA17" s="24">
        <v>1.2778</v>
      </c>
      <c r="BB17" s="24">
        <v>1.2789200000000001</v>
      </c>
      <c r="BC17" s="24">
        <v>1.2800400000000001</v>
      </c>
      <c r="BD17" s="24">
        <v>1.2811600000000001</v>
      </c>
      <c r="BE17" s="24">
        <v>1.2822800000000001</v>
      </c>
      <c r="BF17" s="24">
        <v>1.2834000000000001</v>
      </c>
      <c r="BG17" s="24">
        <v>1.2845200000000001</v>
      </c>
      <c r="BH17" s="24">
        <v>1.2856400000000001</v>
      </c>
      <c r="BI17" s="24">
        <v>1.2867600000000001</v>
      </c>
      <c r="BJ17" s="24">
        <v>1.2878800000000001</v>
      </c>
      <c r="BK17" s="24">
        <v>1.2890000000000001</v>
      </c>
    </row>
    <row r="18" spans="1:63">
      <c r="B18" s="310">
        <v>0.44</v>
      </c>
      <c r="C18" s="24">
        <v>0.90700000000000003</v>
      </c>
      <c r="D18" s="24">
        <v>0.91088000000000002</v>
      </c>
      <c r="E18" s="24">
        <v>0.91476000000000002</v>
      </c>
      <c r="F18" s="24">
        <v>0.91864000000000001</v>
      </c>
      <c r="G18" s="24">
        <v>0.92252000000000001</v>
      </c>
      <c r="H18" s="24">
        <v>0.92639999999999989</v>
      </c>
      <c r="I18" s="24">
        <v>0.93028</v>
      </c>
      <c r="J18" s="24">
        <v>0.93415999999999988</v>
      </c>
      <c r="K18" s="24">
        <v>0.93803999999999998</v>
      </c>
      <c r="L18" s="24">
        <v>0.94191999999999987</v>
      </c>
      <c r="M18" s="24">
        <v>0.94579999999999986</v>
      </c>
      <c r="N18" s="24">
        <v>0.95513999999999988</v>
      </c>
      <c r="O18" s="24">
        <v>0.96447999999999989</v>
      </c>
      <c r="P18" s="24">
        <v>0.97381999999999991</v>
      </c>
      <c r="Q18" s="24">
        <v>0.98315999999999981</v>
      </c>
      <c r="R18" s="24">
        <v>0.99250000000000005</v>
      </c>
      <c r="S18" s="24">
        <v>1.0018400000000001</v>
      </c>
      <c r="T18" s="24">
        <v>1.01118</v>
      </c>
      <c r="U18" s="24">
        <v>1.0205199999999999</v>
      </c>
      <c r="V18" s="24">
        <v>1.0298599999999998</v>
      </c>
      <c r="W18" s="24">
        <v>1.0391999999999999</v>
      </c>
      <c r="X18" s="24">
        <v>1.05128</v>
      </c>
      <c r="Y18" s="24">
        <v>1.0633599999999999</v>
      </c>
      <c r="Z18" s="24">
        <v>1.07544</v>
      </c>
      <c r="AA18" s="24">
        <v>1.0875199999999998</v>
      </c>
      <c r="AB18" s="24">
        <v>1.0995999999999999</v>
      </c>
      <c r="AC18" s="24">
        <v>1.1097199999999998</v>
      </c>
      <c r="AD18" s="24">
        <v>1.1198399999999999</v>
      </c>
      <c r="AE18" s="24">
        <v>1.1299599999999999</v>
      </c>
      <c r="AF18" s="24">
        <v>1.14008</v>
      </c>
      <c r="AG18" s="24">
        <v>1.1501999999999999</v>
      </c>
      <c r="AH18" s="24">
        <v>1.1583599999999998</v>
      </c>
      <c r="AI18" s="24">
        <v>1.16652</v>
      </c>
      <c r="AJ18" s="24">
        <v>1.1746799999999999</v>
      </c>
      <c r="AK18" s="24">
        <v>1.1828399999999999</v>
      </c>
      <c r="AL18" s="24">
        <v>1.1909999999999998</v>
      </c>
      <c r="AM18" s="24">
        <v>1.19916</v>
      </c>
      <c r="AN18" s="24">
        <v>1.2073199999999999</v>
      </c>
      <c r="AO18" s="24">
        <v>1.2154799999999999</v>
      </c>
      <c r="AP18" s="24">
        <v>1.2236400000000001</v>
      </c>
      <c r="AQ18" s="24">
        <v>1.2318</v>
      </c>
      <c r="AR18" s="24">
        <v>1.2362599999999999</v>
      </c>
      <c r="AS18" s="24">
        <v>1.24072</v>
      </c>
      <c r="AT18" s="24">
        <v>1.24518</v>
      </c>
      <c r="AU18" s="24">
        <v>1.2496399999999999</v>
      </c>
      <c r="AV18" s="24">
        <v>1.2541</v>
      </c>
      <c r="AW18" s="24">
        <v>1.2585599999999999</v>
      </c>
      <c r="AX18" s="24">
        <v>1.26302</v>
      </c>
      <c r="AY18" s="24">
        <v>1.2674799999999999</v>
      </c>
      <c r="AZ18" s="24">
        <v>1.2719400000000001</v>
      </c>
      <c r="BA18" s="24">
        <v>1.2764</v>
      </c>
      <c r="BB18" s="24">
        <v>1.27756</v>
      </c>
      <c r="BC18" s="24">
        <v>1.2787200000000001</v>
      </c>
      <c r="BD18" s="24">
        <v>1.2798799999999999</v>
      </c>
      <c r="BE18" s="24">
        <v>1.28104</v>
      </c>
      <c r="BF18" s="24">
        <v>1.2822</v>
      </c>
      <c r="BG18" s="24">
        <v>1.2833600000000001</v>
      </c>
      <c r="BH18" s="24">
        <v>1.2845200000000001</v>
      </c>
      <c r="BI18" s="24">
        <v>1.2856799999999999</v>
      </c>
      <c r="BJ18" s="24">
        <v>1.28684</v>
      </c>
      <c r="BK18" s="24">
        <v>1.288</v>
      </c>
    </row>
    <row r="19" spans="1:63">
      <c r="B19" s="310">
        <v>0.45</v>
      </c>
      <c r="C19" s="24">
        <v>0.90800000000000003</v>
      </c>
      <c r="D19" s="24">
        <v>0.91179999999999994</v>
      </c>
      <c r="E19" s="24">
        <v>0.91559999999999997</v>
      </c>
      <c r="F19" s="24">
        <v>0.9194</v>
      </c>
      <c r="G19" s="24">
        <v>0.92320000000000002</v>
      </c>
      <c r="H19" s="24">
        <v>0.92700000000000005</v>
      </c>
      <c r="I19" s="24">
        <v>0.93080000000000007</v>
      </c>
      <c r="J19" s="24">
        <v>0.93459999999999988</v>
      </c>
      <c r="K19" s="24">
        <v>0.93840000000000001</v>
      </c>
      <c r="L19" s="24">
        <v>0.94219999999999993</v>
      </c>
      <c r="M19" s="24">
        <v>0.94599999999999995</v>
      </c>
      <c r="N19" s="24">
        <v>0.95529999999999993</v>
      </c>
      <c r="O19" s="24">
        <v>0.96460000000000001</v>
      </c>
      <c r="P19" s="24">
        <v>0.97389999999999999</v>
      </c>
      <c r="Q19" s="24">
        <v>0.98319999999999996</v>
      </c>
      <c r="R19" s="24">
        <v>0.99250000000000005</v>
      </c>
      <c r="S19" s="24">
        <v>1.0018</v>
      </c>
      <c r="T19" s="24">
        <v>1.0110999999999999</v>
      </c>
      <c r="U19" s="24">
        <v>1.0204</v>
      </c>
      <c r="V19" s="24">
        <v>1.0296999999999998</v>
      </c>
      <c r="W19" s="24">
        <v>1.0389999999999999</v>
      </c>
      <c r="X19" s="24">
        <v>1.0509999999999999</v>
      </c>
      <c r="Y19" s="24">
        <v>1.0629999999999999</v>
      </c>
      <c r="Z19" s="24">
        <v>1.075</v>
      </c>
      <c r="AA19" s="24">
        <v>1.087</v>
      </c>
      <c r="AB19" s="24">
        <v>1.099</v>
      </c>
      <c r="AC19" s="24">
        <v>1.1092</v>
      </c>
      <c r="AD19" s="24">
        <v>1.1194</v>
      </c>
      <c r="AE19" s="24">
        <v>1.1295999999999999</v>
      </c>
      <c r="AF19" s="24">
        <v>1.1397999999999999</v>
      </c>
      <c r="AG19" s="24">
        <v>1.1499999999999999</v>
      </c>
      <c r="AH19" s="24">
        <v>1.1580999999999999</v>
      </c>
      <c r="AI19" s="24">
        <v>1.1661999999999999</v>
      </c>
      <c r="AJ19" s="24">
        <v>1.1742999999999999</v>
      </c>
      <c r="AK19" s="24">
        <v>1.1823999999999999</v>
      </c>
      <c r="AL19" s="24">
        <v>1.1905000000000001</v>
      </c>
      <c r="AM19" s="24">
        <v>1.1985999999999999</v>
      </c>
      <c r="AN19" s="24">
        <v>1.2067000000000001</v>
      </c>
      <c r="AO19" s="24">
        <v>1.2148000000000001</v>
      </c>
      <c r="AP19" s="24">
        <v>1.2229000000000001</v>
      </c>
      <c r="AQ19" s="24">
        <v>1.2310000000000001</v>
      </c>
      <c r="AR19" s="24">
        <v>1.2354000000000001</v>
      </c>
      <c r="AS19" s="24">
        <v>1.2398000000000002</v>
      </c>
      <c r="AT19" s="24">
        <v>1.2442</v>
      </c>
      <c r="AU19" s="24">
        <v>1.2486000000000002</v>
      </c>
      <c r="AV19" s="24">
        <v>1.2530000000000001</v>
      </c>
      <c r="AW19" s="24">
        <v>1.2573999999999999</v>
      </c>
      <c r="AX19" s="24">
        <v>1.2618</v>
      </c>
      <c r="AY19" s="24">
        <v>1.2662</v>
      </c>
      <c r="AZ19" s="24">
        <v>1.2706</v>
      </c>
      <c r="BA19" s="24">
        <v>1.2749999999999999</v>
      </c>
      <c r="BB19" s="24">
        <v>1.2762</v>
      </c>
      <c r="BC19" s="24">
        <v>1.2774000000000001</v>
      </c>
      <c r="BD19" s="24">
        <v>1.2786</v>
      </c>
      <c r="BE19" s="24">
        <v>1.2797999999999998</v>
      </c>
      <c r="BF19" s="24">
        <v>1.2809999999999999</v>
      </c>
      <c r="BG19" s="24">
        <v>1.2822</v>
      </c>
      <c r="BH19" s="24">
        <v>1.2833999999999999</v>
      </c>
      <c r="BI19" s="24">
        <v>1.2845999999999997</v>
      </c>
      <c r="BJ19" s="24">
        <v>1.2857999999999998</v>
      </c>
      <c r="BK19" s="24">
        <v>1.2869999999999999</v>
      </c>
    </row>
    <row r="20" spans="1:63">
      <c r="B20" s="310">
        <v>0.46</v>
      </c>
      <c r="C20" s="24">
        <v>0.90880000000000005</v>
      </c>
      <c r="D20" s="24">
        <v>0.91258000000000006</v>
      </c>
      <c r="E20" s="24">
        <v>0.91636000000000006</v>
      </c>
      <c r="F20" s="24">
        <v>0.92013999999999996</v>
      </c>
      <c r="G20" s="24">
        <v>0.92392000000000007</v>
      </c>
      <c r="H20" s="24">
        <v>0.92769999999999997</v>
      </c>
      <c r="I20" s="24">
        <v>0.93148000000000009</v>
      </c>
      <c r="J20" s="24">
        <v>0.93525999999999998</v>
      </c>
      <c r="K20" s="24">
        <v>0.9390400000000001</v>
      </c>
      <c r="L20" s="24">
        <v>0.94281999999999999</v>
      </c>
      <c r="M20" s="24">
        <v>0.9466</v>
      </c>
      <c r="N20" s="24">
        <v>0.95579999999999998</v>
      </c>
      <c r="O20" s="24">
        <v>0.96499999999999997</v>
      </c>
      <c r="P20" s="24">
        <v>0.97419999999999995</v>
      </c>
      <c r="Q20" s="24">
        <v>0.98340000000000005</v>
      </c>
      <c r="R20" s="24">
        <v>0.99259999999999993</v>
      </c>
      <c r="S20" s="24">
        <v>1.0018</v>
      </c>
      <c r="T20" s="24">
        <v>1.0109999999999999</v>
      </c>
      <c r="U20" s="24">
        <v>1.0202</v>
      </c>
      <c r="V20" s="24">
        <v>1.0293999999999999</v>
      </c>
      <c r="W20" s="24">
        <v>1.0386</v>
      </c>
      <c r="X20" s="24">
        <v>1.0505599999999999</v>
      </c>
      <c r="Y20" s="24">
        <v>1.0625199999999999</v>
      </c>
      <c r="Z20" s="24">
        <v>1.0744799999999999</v>
      </c>
      <c r="AA20" s="24">
        <v>1.0864400000000001</v>
      </c>
      <c r="AB20" s="24">
        <v>1.0984</v>
      </c>
      <c r="AC20" s="24">
        <v>1.1084799999999999</v>
      </c>
      <c r="AD20" s="24">
        <v>1.11856</v>
      </c>
      <c r="AE20" s="24">
        <v>1.1286399999999999</v>
      </c>
      <c r="AF20" s="24">
        <v>1.1387199999999997</v>
      </c>
      <c r="AG20" s="24">
        <v>1.1487999999999998</v>
      </c>
      <c r="AH20" s="24">
        <v>1.1568999999999998</v>
      </c>
      <c r="AI20" s="24">
        <v>1.165</v>
      </c>
      <c r="AJ20" s="24">
        <v>1.1730999999999998</v>
      </c>
      <c r="AK20" s="24">
        <v>1.1812</v>
      </c>
      <c r="AL20" s="24">
        <v>1.1893</v>
      </c>
      <c r="AM20" s="24">
        <v>1.1974</v>
      </c>
      <c r="AN20" s="24">
        <v>1.2055000000000002</v>
      </c>
      <c r="AO20" s="24">
        <v>1.2136</v>
      </c>
      <c r="AP20" s="24">
        <v>1.2217000000000002</v>
      </c>
      <c r="AQ20" s="24">
        <v>1.2298000000000002</v>
      </c>
      <c r="AR20" s="24">
        <v>1.2342200000000001</v>
      </c>
      <c r="AS20" s="24">
        <v>1.2386400000000002</v>
      </c>
      <c r="AT20" s="24">
        <v>1.2430600000000003</v>
      </c>
      <c r="AU20" s="24">
        <v>1.2474800000000001</v>
      </c>
      <c r="AV20" s="24">
        <v>1.2519</v>
      </c>
      <c r="AW20" s="24">
        <v>1.2563200000000001</v>
      </c>
      <c r="AX20" s="24">
        <v>1.2607400000000002</v>
      </c>
      <c r="AY20" s="24">
        <v>1.2651600000000001</v>
      </c>
      <c r="AZ20" s="24">
        <v>1.2695800000000002</v>
      </c>
      <c r="BA20" s="24">
        <v>1.274</v>
      </c>
      <c r="BB20" s="24">
        <v>1.27522</v>
      </c>
      <c r="BC20" s="24">
        <v>1.27644</v>
      </c>
      <c r="BD20" s="24">
        <v>1.27766</v>
      </c>
      <c r="BE20" s="24">
        <v>1.27888</v>
      </c>
      <c r="BF20" s="24">
        <v>1.2801</v>
      </c>
      <c r="BG20" s="24">
        <v>1.28132</v>
      </c>
      <c r="BH20" s="24">
        <v>1.2825399999999998</v>
      </c>
      <c r="BI20" s="24">
        <v>1.28376</v>
      </c>
      <c r="BJ20" s="24">
        <v>1.2849799999999998</v>
      </c>
      <c r="BK20" s="24">
        <v>1.2861999999999998</v>
      </c>
    </row>
    <row r="21" spans="1:63">
      <c r="B21" s="310">
        <v>0.47</v>
      </c>
      <c r="C21" s="24">
        <v>0.90960000000000008</v>
      </c>
      <c r="D21" s="24">
        <v>0.91336000000000017</v>
      </c>
      <c r="E21" s="24">
        <v>0.91712000000000005</v>
      </c>
      <c r="F21" s="24">
        <v>0.92088000000000014</v>
      </c>
      <c r="G21" s="24">
        <v>0.92464000000000013</v>
      </c>
      <c r="H21" s="24">
        <v>0.92840000000000011</v>
      </c>
      <c r="I21" s="24">
        <v>0.9321600000000001</v>
      </c>
      <c r="J21" s="24">
        <v>0.93592000000000009</v>
      </c>
      <c r="K21" s="24">
        <v>0.93968000000000007</v>
      </c>
      <c r="L21" s="24">
        <v>0.94343999999999995</v>
      </c>
      <c r="M21" s="24">
        <v>0.94720000000000004</v>
      </c>
      <c r="N21" s="24">
        <v>0.95630000000000004</v>
      </c>
      <c r="O21" s="24">
        <v>0.96540000000000004</v>
      </c>
      <c r="P21" s="24">
        <v>0.97449999999999992</v>
      </c>
      <c r="Q21" s="24">
        <v>0.98360000000000003</v>
      </c>
      <c r="R21" s="24">
        <v>0.99270000000000003</v>
      </c>
      <c r="S21" s="24">
        <v>1.0018</v>
      </c>
      <c r="T21" s="24">
        <v>1.0108999999999999</v>
      </c>
      <c r="U21" s="24">
        <v>1.02</v>
      </c>
      <c r="V21" s="24">
        <v>1.0290999999999999</v>
      </c>
      <c r="W21" s="24">
        <v>1.0382</v>
      </c>
      <c r="X21" s="24">
        <v>1.0501199999999999</v>
      </c>
      <c r="Y21" s="24">
        <v>1.0620400000000001</v>
      </c>
      <c r="Z21" s="24">
        <v>1.07396</v>
      </c>
      <c r="AA21" s="24">
        <v>1.08588</v>
      </c>
      <c r="AB21" s="24">
        <v>1.0977999999999999</v>
      </c>
      <c r="AC21" s="24">
        <v>1.1077599999999999</v>
      </c>
      <c r="AD21" s="24">
        <v>1.1177199999999998</v>
      </c>
      <c r="AE21" s="24">
        <v>1.12768</v>
      </c>
      <c r="AF21" s="24">
        <v>1.13764</v>
      </c>
      <c r="AG21" s="24">
        <v>1.1476</v>
      </c>
      <c r="AH21" s="24">
        <v>1.1556999999999999</v>
      </c>
      <c r="AI21" s="24">
        <v>1.1637999999999999</v>
      </c>
      <c r="AJ21" s="24">
        <v>1.1718999999999999</v>
      </c>
      <c r="AK21" s="24">
        <v>1.18</v>
      </c>
      <c r="AL21" s="24">
        <v>1.1880999999999999</v>
      </c>
      <c r="AM21" s="24">
        <v>1.1961999999999999</v>
      </c>
      <c r="AN21" s="24">
        <v>1.2043000000000001</v>
      </c>
      <c r="AO21" s="24">
        <v>1.2124000000000001</v>
      </c>
      <c r="AP21" s="24">
        <v>1.2205000000000001</v>
      </c>
      <c r="AQ21" s="24">
        <v>1.2286000000000001</v>
      </c>
      <c r="AR21" s="24">
        <v>1.2330400000000001</v>
      </c>
      <c r="AS21" s="24">
        <v>1.2374800000000001</v>
      </c>
      <c r="AT21" s="24">
        <v>1.2419200000000001</v>
      </c>
      <c r="AU21" s="24">
        <v>1.2463600000000001</v>
      </c>
      <c r="AV21" s="24">
        <v>1.2507999999999999</v>
      </c>
      <c r="AW21" s="24">
        <v>1.2552399999999999</v>
      </c>
      <c r="AX21" s="24">
        <v>1.2596799999999999</v>
      </c>
      <c r="AY21" s="24">
        <v>1.2641199999999999</v>
      </c>
      <c r="AZ21" s="24">
        <v>1.2685599999999999</v>
      </c>
      <c r="BA21" s="24">
        <v>1.2729999999999999</v>
      </c>
      <c r="BB21" s="24">
        <v>1.2742399999999998</v>
      </c>
      <c r="BC21" s="24">
        <v>1.2754799999999999</v>
      </c>
      <c r="BD21" s="24">
        <v>1.2767199999999999</v>
      </c>
      <c r="BE21" s="24">
        <v>1.2779599999999998</v>
      </c>
      <c r="BF21" s="24">
        <v>1.2791999999999999</v>
      </c>
      <c r="BG21" s="24">
        <v>1.28044</v>
      </c>
      <c r="BH21" s="24">
        <v>1.2816799999999999</v>
      </c>
      <c r="BI21" s="24">
        <v>1.2829199999999998</v>
      </c>
      <c r="BJ21" s="24">
        <v>1.28416</v>
      </c>
      <c r="BK21" s="24">
        <v>1.2853999999999999</v>
      </c>
    </row>
    <row r="22" spans="1:63">
      <c r="B22" s="310">
        <v>0.48</v>
      </c>
      <c r="C22" s="24">
        <v>0.9104000000000001</v>
      </c>
      <c r="D22" s="24">
        <v>0.91414000000000006</v>
      </c>
      <c r="E22" s="24">
        <v>0.91788000000000003</v>
      </c>
      <c r="F22" s="24">
        <v>0.92162000000000011</v>
      </c>
      <c r="G22" s="24">
        <v>0.92536000000000007</v>
      </c>
      <c r="H22" s="24">
        <v>0.92910000000000004</v>
      </c>
      <c r="I22" s="24">
        <v>0.93284000000000011</v>
      </c>
      <c r="J22" s="24">
        <v>0.93657999999999997</v>
      </c>
      <c r="K22" s="24">
        <v>0.94032000000000004</v>
      </c>
      <c r="L22" s="24">
        <v>0.94406000000000001</v>
      </c>
      <c r="M22" s="24">
        <v>0.94779999999999998</v>
      </c>
      <c r="N22" s="24">
        <v>0.95679999999999998</v>
      </c>
      <c r="O22" s="24">
        <v>0.96579999999999999</v>
      </c>
      <c r="P22" s="24">
        <v>0.97479999999999989</v>
      </c>
      <c r="Q22" s="24">
        <v>0.9837999999999999</v>
      </c>
      <c r="R22" s="24">
        <v>0.9927999999999999</v>
      </c>
      <c r="S22" s="24">
        <v>1.0017999999999998</v>
      </c>
      <c r="T22" s="24">
        <v>1.0107999999999999</v>
      </c>
      <c r="U22" s="24">
        <v>1.0197999999999998</v>
      </c>
      <c r="V22" s="24">
        <v>1.0287999999999999</v>
      </c>
      <c r="W22" s="24">
        <v>1.0377999999999998</v>
      </c>
      <c r="X22" s="24">
        <v>1.0496799999999999</v>
      </c>
      <c r="Y22" s="24">
        <v>1.0615599999999998</v>
      </c>
      <c r="Z22" s="24">
        <v>1.0734399999999997</v>
      </c>
      <c r="AA22" s="24">
        <v>1.0853199999999998</v>
      </c>
      <c r="AB22" s="24">
        <v>1.0972</v>
      </c>
      <c r="AC22" s="24">
        <v>1.10704</v>
      </c>
      <c r="AD22" s="24">
        <v>1.1168799999999999</v>
      </c>
      <c r="AE22" s="24">
        <v>1.1267199999999999</v>
      </c>
      <c r="AF22" s="24">
        <v>1.1365599999999998</v>
      </c>
      <c r="AG22" s="24">
        <v>1.1463999999999999</v>
      </c>
      <c r="AH22" s="24">
        <v>1.1544999999999999</v>
      </c>
      <c r="AI22" s="24">
        <v>1.1625999999999999</v>
      </c>
      <c r="AJ22" s="24">
        <v>1.1706999999999999</v>
      </c>
      <c r="AK22" s="24">
        <v>1.1788000000000001</v>
      </c>
      <c r="AL22" s="24">
        <v>1.1869000000000001</v>
      </c>
      <c r="AM22" s="24">
        <v>1.1950000000000001</v>
      </c>
      <c r="AN22" s="24">
        <v>1.2031000000000001</v>
      </c>
      <c r="AO22" s="24">
        <v>1.2112000000000001</v>
      </c>
      <c r="AP22" s="24">
        <v>1.2193000000000001</v>
      </c>
      <c r="AQ22" s="24">
        <v>1.2274</v>
      </c>
      <c r="AR22" s="24">
        <v>1.23186</v>
      </c>
      <c r="AS22" s="24">
        <v>1.2363200000000001</v>
      </c>
      <c r="AT22" s="24">
        <v>1.24078</v>
      </c>
      <c r="AU22" s="24">
        <v>1.2452399999999999</v>
      </c>
      <c r="AV22" s="24">
        <v>1.2497</v>
      </c>
      <c r="AW22" s="24">
        <v>1.2541599999999999</v>
      </c>
      <c r="AX22" s="24">
        <v>1.2586200000000001</v>
      </c>
      <c r="AY22" s="24">
        <v>1.26308</v>
      </c>
      <c r="AZ22" s="24">
        <v>1.2675400000000001</v>
      </c>
      <c r="BA22" s="24">
        <v>1.272</v>
      </c>
      <c r="BB22" s="24">
        <v>1.2732600000000001</v>
      </c>
      <c r="BC22" s="24">
        <v>1.2745200000000001</v>
      </c>
      <c r="BD22" s="24">
        <v>1.2757799999999999</v>
      </c>
      <c r="BE22" s="24">
        <v>1.27704</v>
      </c>
      <c r="BF22" s="24">
        <v>1.2783</v>
      </c>
      <c r="BG22" s="24">
        <v>1.27956</v>
      </c>
      <c r="BH22" s="24">
        <v>1.2808200000000001</v>
      </c>
      <c r="BI22" s="24">
        <v>1.2820799999999999</v>
      </c>
      <c r="BJ22" s="24">
        <v>1.2833399999999999</v>
      </c>
      <c r="BK22" s="24">
        <v>1.2846</v>
      </c>
    </row>
    <row r="23" spans="1:63">
      <c r="B23" s="310">
        <v>0.49</v>
      </c>
      <c r="C23" s="24">
        <v>0.91120000000000012</v>
      </c>
      <c r="D23" s="24">
        <v>0.91492000000000007</v>
      </c>
      <c r="E23" s="24">
        <v>0.91864000000000012</v>
      </c>
      <c r="F23" s="24">
        <v>0.92236000000000007</v>
      </c>
      <c r="G23" s="24">
        <v>0.92608000000000001</v>
      </c>
      <c r="H23" s="24">
        <v>0.92979999999999996</v>
      </c>
      <c r="I23" s="24">
        <v>0.93351999999999991</v>
      </c>
      <c r="J23" s="24">
        <v>0.93724000000000007</v>
      </c>
      <c r="K23" s="24">
        <v>0.94095999999999991</v>
      </c>
      <c r="L23" s="24">
        <v>0.94467999999999996</v>
      </c>
      <c r="M23" s="24">
        <v>0.94839999999999991</v>
      </c>
      <c r="N23" s="24">
        <v>0.95729999999999993</v>
      </c>
      <c r="O23" s="24">
        <v>0.96619999999999995</v>
      </c>
      <c r="P23" s="24">
        <v>0.97509999999999986</v>
      </c>
      <c r="Q23" s="24">
        <v>0.98399999999999987</v>
      </c>
      <c r="R23" s="24">
        <v>0.99289999999999989</v>
      </c>
      <c r="S23" s="24">
        <v>1.0017999999999998</v>
      </c>
      <c r="T23" s="24">
        <v>1.0106999999999999</v>
      </c>
      <c r="U23" s="24">
        <v>1.0195999999999998</v>
      </c>
      <c r="V23" s="24">
        <v>1.0285</v>
      </c>
      <c r="W23" s="24">
        <v>1.0373999999999999</v>
      </c>
      <c r="X23" s="24">
        <v>1.04924</v>
      </c>
      <c r="Y23" s="24">
        <v>1.06108</v>
      </c>
      <c r="Z23" s="24">
        <v>1.0729199999999999</v>
      </c>
      <c r="AA23" s="24">
        <v>1.0847599999999999</v>
      </c>
      <c r="AB23" s="24">
        <v>1.0966</v>
      </c>
      <c r="AC23" s="24">
        <v>1.10632</v>
      </c>
      <c r="AD23" s="24">
        <v>1.1160399999999999</v>
      </c>
      <c r="AE23" s="24">
        <v>1.1257599999999999</v>
      </c>
      <c r="AF23" s="24">
        <v>1.1354799999999998</v>
      </c>
      <c r="AG23" s="24">
        <v>1.1451999999999998</v>
      </c>
      <c r="AH23" s="24">
        <v>1.1532999999999998</v>
      </c>
      <c r="AI23" s="24">
        <v>1.1614</v>
      </c>
      <c r="AJ23" s="24">
        <v>1.1694999999999998</v>
      </c>
      <c r="AK23" s="24">
        <v>1.1776</v>
      </c>
      <c r="AL23" s="24">
        <v>1.1857</v>
      </c>
      <c r="AM23" s="24">
        <v>1.1938</v>
      </c>
      <c r="AN23" s="24">
        <v>1.2019000000000002</v>
      </c>
      <c r="AO23" s="24">
        <v>1.21</v>
      </c>
      <c r="AP23" s="24">
        <v>1.2181000000000002</v>
      </c>
      <c r="AQ23" s="24">
        <v>1.2262000000000002</v>
      </c>
      <c r="AR23" s="24">
        <v>1.2306800000000002</v>
      </c>
      <c r="AS23" s="24">
        <v>1.23516</v>
      </c>
      <c r="AT23" s="24">
        <v>1.2396400000000001</v>
      </c>
      <c r="AU23" s="24">
        <v>1.2441200000000001</v>
      </c>
      <c r="AV23" s="24">
        <v>1.2486000000000002</v>
      </c>
      <c r="AW23" s="24">
        <v>1.25308</v>
      </c>
      <c r="AX23" s="24">
        <v>1.25756</v>
      </c>
      <c r="AY23" s="24">
        <v>1.2620400000000001</v>
      </c>
      <c r="AZ23" s="24">
        <v>1.2665199999999999</v>
      </c>
      <c r="BA23" s="24">
        <v>1.2709999999999999</v>
      </c>
      <c r="BB23" s="24">
        <v>1.2722799999999999</v>
      </c>
      <c r="BC23" s="24">
        <v>1.27356</v>
      </c>
      <c r="BD23" s="24">
        <v>1.27484</v>
      </c>
      <c r="BE23" s="24">
        <v>1.2761200000000001</v>
      </c>
      <c r="BF23" s="24">
        <v>1.2774000000000001</v>
      </c>
      <c r="BG23" s="24">
        <v>1.27868</v>
      </c>
      <c r="BH23" s="24">
        <v>1.27996</v>
      </c>
      <c r="BI23" s="24">
        <v>1.2812399999999999</v>
      </c>
      <c r="BJ23" s="24">
        <v>1.2825200000000001</v>
      </c>
      <c r="BK23" s="24">
        <v>1.2838000000000001</v>
      </c>
    </row>
    <row r="24" spans="1:63">
      <c r="B24" s="310">
        <v>0.5</v>
      </c>
      <c r="C24" s="24">
        <v>0.91200000000000003</v>
      </c>
      <c r="D24" s="24">
        <v>0.91570000000000007</v>
      </c>
      <c r="E24" s="24">
        <v>0.9194</v>
      </c>
      <c r="F24" s="24">
        <v>0.92310000000000003</v>
      </c>
      <c r="G24" s="24">
        <v>0.92680000000000007</v>
      </c>
      <c r="H24" s="24">
        <v>0.93049999999999999</v>
      </c>
      <c r="I24" s="24">
        <v>0.93419999999999992</v>
      </c>
      <c r="J24" s="24">
        <v>0.93789999999999996</v>
      </c>
      <c r="K24" s="24">
        <v>0.94159999999999999</v>
      </c>
      <c r="L24" s="24">
        <v>0.94529999999999992</v>
      </c>
      <c r="M24" s="24">
        <v>0.94899999999999995</v>
      </c>
      <c r="N24" s="24">
        <v>0.95779999999999998</v>
      </c>
      <c r="O24" s="24">
        <v>0.9665999999999999</v>
      </c>
      <c r="P24" s="24">
        <v>0.97539999999999982</v>
      </c>
      <c r="Q24" s="24">
        <v>0.98419999999999996</v>
      </c>
      <c r="R24" s="24">
        <v>0.99299999999999988</v>
      </c>
      <c r="S24" s="24">
        <v>1.0018</v>
      </c>
      <c r="T24" s="24">
        <v>1.0105999999999999</v>
      </c>
      <c r="U24" s="24">
        <v>1.0193999999999999</v>
      </c>
      <c r="V24" s="24">
        <v>1.0281999999999998</v>
      </c>
      <c r="W24" s="24">
        <v>1.0369999999999999</v>
      </c>
      <c r="X24" s="24">
        <v>1.0488</v>
      </c>
      <c r="Y24" s="24">
        <v>1.0606</v>
      </c>
      <c r="Z24" s="24">
        <v>1.0724</v>
      </c>
      <c r="AA24" s="24">
        <v>1.0842000000000001</v>
      </c>
      <c r="AB24" s="24">
        <v>1.0960000000000001</v>
      </c>
      <c r="AC24" s="24">
        <v>1.1056000000000001</v>
      </c>
      <c r="AD24" s="24">
        <v>1.1152</v>
      </c>
      <c r="AE24" s="24">
        <v>1.1248</v>
      </c>
      <c r="AF24" s="24">
        <v>1.1343999999999999</v>
      </c>
      <c r="AG24" s="24">
        <v>1.1439999999999999</v>
      </c>
      <c r="AH24" s="24">
        <v>1.1520999999999999</v>
      </c>
      <c r="AI24" s="24">
        <v>1.1601999999999999</v>
      </c>
      <c r="AJ24" s="24">
        <v>1.1682999999999999</v>
      </c>
      <c r="AK24" s="24">
        <v>1.1764000000000001</v>
      </c>
      <c r="AL24" s="24">
        <v>1.1844999999999999</v>
      </c>
      <c r="AM24" s="24">
        <v>1.1926000000000001</v>
      </c>
      <c r="AN24" s="24">
        <v>1.2007000000000001</v>
      </c>
      <c r="AO24" s="24">
        <v>1.2088000000000001</v>
      </c>
      <c r="AP24" s="24">
        <v>1.2169000000000001</v>
      </c>
      <c r="AQ24" s="24">
        <v>1.2250000000000001</v>
      </c>
      <c r="AR24" s="24">
        <v>1.2295</v>
      </c>
      <c r="AS24" s="24">
        <v>1.234</v>
      </c>
      <c r="AT24" s="24">
        <v>1.2385000000000002</v>
      </c>
      <c r="AU24" s="24">
        <v>1.2430000000000001</v>
      </c>
      <c r="AV24" s="24">
        <v>1.2475000000000001</v>
      </c>
      <c r="AW24" s="24">
        <v>1.252</v>
      </c>
      <c r="AX24" s="24">
        <v>1.2565</v>
      </c>
      <c r="AY24" s="24">
        <v>1.2610000000000001</v>
      </c>
      <c r="AZ24" s="24">
        <v>1.2655000000000001</v>
      </c>
      <c r="BA24" s="24">
        <v>1.27</v>
      </c>
      <c r="BB24" s="24">
        <v>1.2713000000000001</v>
      </c>
      <c r="BC24" s="24">
        <v>1.2726</v>
      </c>
      <c r="BD24" s="24">
        <v>1.2739</v>
      </c>
      <c r="BE24" s="24">
        <v>1.2751999999999999</v>
      </c>
      <c r="BF24" s="24">
        <v>1.2765</v>
      </c>
      <c r="BG24" s="24">
        <v>1.2778</v>
      </c>
      <c r="BH24" s="24">
        <v>1.2790999999999999</v>
      </c>
      <c r="BI24" s="24">
        <v>1.2804</v>
      </c>
      <c r="BJ24" s="24">
        <v>1.2816999999999998</v>
      </c>
      <c r="BK24" s="24">
        <v>1.2829999999999999</v>
      </c>
    </row>
    <row r="25" spans="1:63">
      <c r="B25" s="310">
        <v>0.51</v>
      </c>
      <c r="C25" s="24">
        <v>0.91300000000000003</v>
      </c>
      <c r="D25" s="24">
        <v>0.91666000000000003</v>
      </c>
      <c r="E25" s="24">
        <v>0.92032000000000003</v>
      </c>
      <c r="F25" s="24">
        <v>0.92398000000000002</v>
      </c>
      <c r="G25" s="24">
        <v>0.92763999999999991</v>
      </c>
      <c r="H25" s="24">
        <v>0.93130000000000002</v>
      </c>
      <c r="I25" s="24">
        <v>0.93496000000000001</v>
      </c>
      <c r="J25" s="24">
        <v>0.9386199999999999</v>
      </c>
      <c r="K25" s="24">
        <v>0.9422799999999999</v>
      </c>
      <c r="L25" s="24">
        <v>0.94593999999999989</v>
      </c>
      <c r="M25" s="24">
        <v>0.94959999999999989</v>
      </c>
      <c r="N25" s="24">
        <v>0.95829999999999993</v>
      </c>
      <c r="O25" s="24">
        <v>0.96699999999999986</v>
      </c>
      <c r="P25" s="24">
        <v>0.9756999999999999</v>
      </c>
      <c r="Q25" s="24">
        <v>0.98439999999999994</v>
      </c>
      <c r="R25" s="24">
        <v>0.99309999999999987</v>
      </c>
      <c r="S25" s="24">
        <v>1.0017999999999998</v>
      </c>
      <c r="T25" s="24">
        <v>1.0105</v>
      </c>
      <c r="U25" s="24">
        <v>1.0191999999999999</v>
      </c>
      <c r="V25" s="24">
        <v>1.0279</v>
      </c>
      <c r="W25" s="24">
        <v>1.0366</v>
      </c>
      <c r="X25" s="24">
        <v>1.0482800000000001</v>
      </c>
      <c r="Y25" s="24">
        <v>1.05996</v>
      </c>
      <c r="Z25" s="24">
        <v>1.0716400000000001</v>
      </c>
      <c r="AA25" s="24">
        <v>1.0833200000000001</v>
      </c>
      <c r="AB25" s="24">
        <v>1.095</v>
      </c>
      <c r="AC25" s="24">
        <v>1.1046000000000002</v>
      </c>
      <c r="AD25" s="24">
        <v>1.1142000000000001</v>
      </c>
      <c r="AE25" s="24">
        <v>1.1237999999999999</v>
      </c>
      <c r="AF25" s="24">
        <v>1.1334</v>
      </c>
      <c r="AG25" s="24">
        <v>1.1429999999999998</v>
      </c>
      <c r="AH25" s="24">
        <v>1.1510399999999998</v>
      </c>
      <c r="AI25" s="24">
        <v>1.1590799999999999</v>
      </c>
      <c r="AJ25" s="24">
        <v>1.1671199999999997</v>
      </c>
      <c r="AK25" s="24">
        <v>1.17516</v>
      </c>
      <c r="AL25" s="24">
        <v>1.1831999999999998</v>
      </c>
      <c r="AM25" s="24">
        <v>1.1912399999999999</v>
      </c>
      <c r="AN25" s="24">
        <v>1.1992799999999999</v>
      </c>
      <c r="AO25" s="24">
        <v>1.2073199999999999</v>
      </c>
      <c r="AP25" s="24">
        <v>1.21536</v>
      </c>
      <c r="AQ25" s="24">
        <v>1.2234</v>
      </c>
      <c r="AR25" s="24">
        <v>1.22786</v>
      </c>
      <c r="AS25" s="24">
        <v>1.2323200000000001</v>
      </c>
      <c r="AT25" s="24">
        <v>1.23678</v>
      </c>
      <c r="AU25" s="24">
        <v>1.2412399999999999</v>
      </c>
      <c r="AV25" s="24">
        <v>1.2457</v>
      </c>
      <c r="AW25" s="24">
        <v>1.2501600000000002</v>
      </c>
      <c r="AX25" s="24">
        <v>1.2546200000000001</v>
      </c>
      <c r="AY25" s="24">
        <v>1.25908</v>
      </c>
      <c r="AZ25" s="24">
        <v>1.2635400000000001</v>
      </c>
      <c r="BA25" s="24">
        <v>1.268</v>
      </c>
      <c r="BB25" s="24">
        <v>1.2692999999999999</v>
      </c>
      <c r="BC25" s="24">
        <v>1.2706</v>
      </c>
      <c r="BD25" s="24">
        <v>1.2719</v>
      </c>
      <c r="BE25" s="24">
        <v>1.2732000000000001</v>
      </c>
      <c r="BF25" s="24">
        <v>1.2745</v>
      </c>
      <c r="BG25" s="24">
        <v>1.2757999999999998</v>
      </c>
      <c r="BH25" s="24">
        <v>1.2770999999999999</v>
      </c>
      <c r="BI25" s="24">
        <v>1.2784</v>
      </c>
      <c r="BJ25" s="24">
        <v>1.2797000000000001</v>
      </c>
      <c r="BK25" s="24">
        <v>1.2809999999999999</v>
      </c>
    </row>
    <row r="26" spans="1:63">
      <c r="B26" s="310">
        <v>0.52</v>
      </c>
      <c r="C26" s="24">
        <v>0.91400000000000015</v>
      </c>
      <c r="D26" s="24">
        <v>0.9176200000000001</v>
      </c>
      <c r="E26" s="24">
        <v>0.92124000000000006</v>
      </c>
      <c r="F26" s="24">
        <v>0.92486000000000002</v>
      </c>
      <c r="G26" s="24">
        <v>0.92848000000000008</v>
      </c>
      <c r="H26" s="24">
        <v>0.93210000000000004</v>
      </c>
      <c r="I26" s="24">
        <v>0.93572000000000011</v>
      </c>
      <c r="J26" s="24">
        <v>0.93934000000000006</v>
      </c>
      <c r="K26" s="24">
        <v>0.94295999999999991</v>
      </c>
      <c r="L26" s="24">
        <v>0.94657999999999998</v>
      </c>
      <c r="M26" s="24">
        <v>0.95019999999999993</v>
      </c>
      <c r="N26" s="24">
        <v>0.95879999999999987</v>
      </c>
      <c r="O26" s="24">
        <v>0.96739999999999993</v>
      </c>
      <c r="P26" s="24">
        <v>0.97599999999999998</v>
      </c>
      <c r="Q26" s="24">
        <v>0.98459999999999992</v>
      </c>
      <c r="R26" s="24">
        <v>0.99319999999999997</v>
      </c>
      <c r="S26" s="24">
        <v>1.0017999999999998</v>
      </c>
      <c r="T26" s="24">
        <v>1.0104</v>
      </c>
      <c r="U26" s="24">
        <v>1.0189999999999999</v>
      </c>
      <c r="V26" s="24">
        <v>1.0276000000000001</v>
      </c>
      <c r="W26" s="24">
        <v>1.0362</v>
      </c>
      <c r="X26" s="24">
        <v>1.04776</v>
      </c>
      <c r="Y26" s="24">
        <v>1.05932</v>
      </c>
      <c r="Z26" s="24">
        <v>1.0708800000000001</v>
      </c>
      <c r="AA26" s="24">
        <v>1.0824400000000001</v>
      </c>
      <c r="AB26" s="24">
        <v>1.0940000000000001</v>
      </c>
      <c r="AC26" s="24">
        <v>1.1036000000000001</v>
      </c>
      <c r="AD26" s="24">
        <v>1.1132</v>
      </c>
      <c r="AE26" s="24">
        <v>1.1228</v>
      </c>
      <c r="AF26" s="24">
        <v>1.1324000000000001</v>
      </c>
      <c r="AG26" s="24">
        <v>1.1419999999999999</v>
      </c>
      <c r="AH26" s="24">
        <v>1.1499799999999998</v>
      </c>
      <c r="AI26" s="24">
        <v>1.1579599999999999</v>
      </c>
      <c r="AJ26" s="24">
        <v>1.16594</v>
      </c>
      <c r="AK26" s="24">
        <v>1.1739200000000001</v>
      </c>
      <c r="AL26" s="24">
        <v>1.1819</v>
      </c>
      <c r="AM26" s="24">
        <v>1.1898799999999998</v>
      </c>
      <c r="AN26" s="24">
        <v>1.1978599999999999</v>
      </c>
      <c r="AO26" s="24">
        <v>1.20584</v>
      </c>
      <c r="AP26" s="24">
        <v>1.2138200000000001</v>
      </c>
      <c r="AQ26" s="24">
        <v>1.2218</v>
      </c>
      <c r="AR26" s="24">
        <v>1.2262200000000001</v>
      </c>
      <c r="AS26" s="24">
        <v>1.23064</v>
      </c>
      <c r="AT26" s="24">
        <v>1.23506</v>
      </c>
      <c r="AU26" s="24">
        <v>1.2394799999999999</v>
      </c>
      <c r="AV26" s="24">
        <v>1.2439</v>
      </c>
      <c r="AW26" s="24">
        <v>1.2483200000000001</v>
      </c>
      <c r="AX26" s="24">
        <v>1.25274</v>
      </c>
      <c r="AY26" s="24">
        <v>1.2571599999999998</v>
      </c>
      <c r="AZ26" s="24">
        <v>1.2615799999999999</v>
      </c>
      <c r="BA26" s="24">
        <v>1.266</v>
      </c>
      <c r="BB26" s="24">
        <v>1.2672999999999999</v>
      </c>
      <c r="BC26" s="24">
        <v>1.2685999999999999</v>
      </c>
      <c r="BD26" s="24">
        <v>1.2699</v>
      </c>
      <c r="BE26" s="24">
        <v>1.2711999999999999</v>
      </c>
      <c r="BF26" s="24">
        <v>1.2725</v>
      </c>
      <c r="BG26" s="24">
        <v>1.2738</v>
      </c>
      <c r="BH26" s="24">
        <v>1.2751000000000001</v>
      </c>
      <c r="BI26" s="24">
        <v>1.2763999999999998</v>
      </c>
      <c r="BJ26" s="24">
        <v>1.2777000000000001</v>
      </c>
      <c r="BK26" s="24">
        <v>1.2789999999999999</v>
      </c>
    </row>
    <row r="27" spans="1:63">
      <c r="B27" s="310">
        <v>0.53</v>
      </c>
      <c r="C27" s="24">
        <v>0.91500000000000004</v>
      </c>
      <c r="D27" s="24">
        <v>0.91857999999999995</v>
      </c>
      <c r="E27" s="24">
        <v>0.92216000000000009</v>
      </c>
      <c r="F27" s="24">
        <v>0.92574000000000001</v>
      </c>
      <c r="G27" s="24">
        <v>0.92932000000000015</v>
      </c>
      <c r="H27" s="24">
        <v>0.93290000000000006</v>
      </c>
      <c r="I27" s="24">
        <v>0.93647999999999998</v>
      </c>
      <c r="J27" s="24">
        <v>0.94006000000000012</v>
      </c>
      <c r="K27" s="24">
        <v>0.94364000000000003</v>
      </c>
      <c r="L27" s="24">
        <v>0.94722000000000017</v>
      </c>
      <c r="M27" s="24">
        <v>0.95080000000000009</v>
      </c>
      <c r="N27" s="24">
        <v>0.95930000000000015</v>
      </c>
      <c r="O27" s="24">
        <v>0.9678000000000001</v>
      </c>
      <c r="P27" s="24">
        <v>0.97630000000000017</v>
      </c>
      <c r="Q27" s="24">
        <v>0.98480000000000001</v>
      </c>
      <c r="R27" s="24">
        <v>0.99330000000000007</v>
      </c>
      <c r="S27" s="24">
        <v>1.0018</v>
      </c>
      <c r="T27" s="24">
        <v>1.0103000000000002</v>
      </c>
      <c r="U27" s="24">
        <v>1.0187999999999999</v>
      </c>
      <c r="V27" s="24">
        <v>1.0273000000000001</v>
      </c>
      <c r="W27" s="24">
        <v>1.0358000000000001</v>
      </c>
      <c r="X27" s="24">
        <v>1.0472399999999999</v>
      </c>
      <c r="Y27" s="24">
        <v>1.0586800000000001</v>
      </c>
      <c r="Z27" s="24">
        <v>1.07012</v>
      </c>
      <c r="AA27" s="24">
        <v>1.0815599999999999</v>
      </c>
      <c r="AB27" s="24">
        <v>1.093</v>
      </c>
      <c r="AC27" s="24">
        <v>1.1026</v>
      </c>
      <c r="AD27" s="24">
        <v>1.1122000000000001</v>
      </c>
      <c r="AE27" s="24">
        <v>1.1217999999999999</v>
      </c>
      <c r="AF27" s="24">
        <v>1.1314</v>
      </c>
      <c r="AG27" s="24">
        <v>1.141</v>
      </c>
      <c r="AH27" s="24">
        <v>1.1489199999999999</v>
      </c>
      <c r="AI27" s="24">
        <v>1.1568400000000001</v>
      </c>
      <c r="AJ27" s="24">
        <v>1.16476</v>
      </c>
      <c r="AK27" s="24">
        <v>1.1726800000000002</v>
      </c>
      <c r="AL27" s="24">
        <v>1.1806000000000001</v>
      </c>
      <c r="AM27" s="24">
        <v>1.18852</v>
      </c>
      <c r="AN27" s="24">
        <v>1.1964399999999999</v>
      </c>
      <c r="AO27" s="24">
        <v>1.2043599999999999</v>
      </c>
      <c r="AP27" s="24">
        <v>1.21228</v>
      </c>
      <c r="AQ27" s="24">
        <v>1.2202</v>
      </c>
      <c r="AR27" s="24">
        <v>1.22458</v>
      </c>
      <c r="AS27" s="24">
        <v>1.2289599999999998</v>
      </c>
      <c r="AT27" s="24">
        <v>1.2333400000000001</v>
      </c>
      <c r="AU27" s="24">
        <v>1.2377199999999999</v>
      </c>
      <c r="AV27" s="24">
        <v>1.2421</v>
      </c>
      <c r="AW27" s="24">
        <v>1.24648</v>
      </c>
      <c r="AX27" s="24">
        <v>1.2508600000000001</v>
      </c>
      <c r="AY27" s="24">
        <v>1.2552400000000001</v>
      </c>
      <c r="AZ27" s="24">
        <v>1.25962</v>
      </c>
      <c r="BA27" s="24">
        <v>1.264</v>
      </c>
      <c r="BB27" s="24">
        <v>1.2652999999999999</v>
      </c>
      <c r="BC27" s="24">
        <v>1.2665999999999999</v>
      </c>
      <c r="BD27" s="24">
        <v>1.2679</v>
      </c>
      <c r="BE27" s="24">
        <v>1.2691999999999999</v>
      </c>
      <c r="BF27" s="24">
        <v>1.2704999999999997</v>
      </c>
      <c r="BG27" s="24">
        <v>1.2717999999999998</v>
      </c>
      <c r="BH27" s="24">
        <v>1.2730999999999999</v>
      </c>
      <c r="BI27" s="24">
        <v>1.2744</v>
      </c>
      <c r="BJ27" s="24">
        <v>1.2756999999999998</v>
      </c>
      <c r="BK27" s="24">
        <v>1.2769999999999997</v>
      </c>
    </row>
    <row r="28" spans="1:63">
      <c r="B28" s="310">
        <v>0.54</v>
      </c>
      <c r="C28" s="24">
        <v>0.91600000000000004</v>
      </c>
      <c r="D28" s="24">
        <v>0.91954000000000002</v>
      </c>
      <c r="E28" s="24">
        <v>0.92308000000000012</v>
      </c>
      <c r="F28" s="24">
        <v>0.92662</v>
      </c>
      <c r="G28" s="24">
        <v>0.93015999999999999</v>
      </c>
      <c r="H28" s="24">
        <v>0.93369999999999997</v>
      </c>
      <c r="I28" s="24">
        <v>0.93724000000000007</v>
      </c>
      <c r="J28" s="24">
        <v>0.94078000000000006</v>
      </c>
      <c r="K28" s="24">
        <v>0.94432000000000005</v>
      </c>
      <c r="L28" s="24">
        <v>0.94786000000000004</v>
      </c>
      <c r="M28" s="24">
        <v>0.95140000000000002</v>
      </c>
      <c r="N28" s="24">
        <v>0.95979999999999999</v>
      </c>
      <c r="O28" s="24">
        <v>0.96819999999999995</v>
      </c>
      <c r="P28" s="24">
        <v>0.97660000000000002</v>
      </c>
      <c r="Q28" s="24">
        <v>0.98499999999999999</v>
      </c>
      <c r="R28" s="24">
        <v>0.99339999999999995</v>
      </c>
      <c r="S28" s="24">
        <v>1.0017999999999998</v>
      </c>
      <c r="T28" s="24">
        <v>1.0102</v>
      </c>
      <c r="U28" s="24">
        <v>1.0185999999999999</v>
      </c>
      <c r="V28" s="24">
        <v>1.0269999999999999</v>
      </c>
      <c r="W28" s="24">
        <v>1.0353999999999999</v>
      </c>
      <c r="X28" s="24">
        <v>1.0467199999999999</v>
      </c>
      <c r="Y28" s="24">
        <v>1.0580399999999999</v>
      </c>
      <c r="Z28" s="24">
        <v>1.0693599999999999</v>
      </c>
      <c r="AA28" s="24">
        <v>1.0806799999999999</v>
      </c>
      <c r="AB28" s="24">
        <v>1.0919999999999999</v>
      </c>
      <c r="AC28" s="24">
        <v>1.1015999999999999</v>
      </c>
      <c r="AD28" s="24">
        <v>1.1112</v>
      </c>
      <c r="AE28" s="24">
        <v>1.1207999999999998</v>
      </c>
      <c r="AF28" s="24">
        <v>1.1303999999999998</v>
      </c>
      <c r="AG28" s="24">
        <v>1.1399999999999999</v>
      </c>
      <c r="AH28" s="24">
        <v>1.1478599999999999</v>
      </c>
      <c r="AI28" s="24">
        <v>1.1557199999999999</v>
      </c>
      <c r="AJ28" s="24">
        <v>1.1635800000000001</v>
      </c>
      <c r="AK28" s="24">
        <v>1.17144</v>
      </c>
      <c r="AL28" s="24">
        <v>1.1793</v>
      </c>
      <c r="AM28" s="24">
        <v>1.18716</v>
      </c>
      <c r="AN28" s="24">
        <v>1.19502</v>
      </c>
      <c r="AO28" s="24">
        <v>1.2028799999999999</v>
      </c>
      <c r="AP28" s="24">
        <v>1.2107400000000001</v>
      </c>
      <c r="AQ28" s="24">
        <v>1.2186000000000001</v>
      </c>
      <c r="AR28" s="24">
        <v>1.2229400000000001</v>
      </c>
      <c r="AS28" s="24">
        <v>1.2272800000000001</v>
      </c>
      <c r="AT28" s="24">
        <v>1.2316200000000002</v>
      </c>
      <c r="AU28" s="24">
        <v>1.2359600000000002</v>
      </c>
      <c r="AV28" s="24">
        <v>1.2403</v>
      </c>
      <c r="AW28" s="24">
        <v>1.24464</v>
      </c>
      <c r="AX28" s="24">
        <v>1.24898</v>
      </c>
      <c r="AY28" s="24">
        <v>1.25332</v>
      </c>
      <c r="AZ28" s="24">
        <v>1.25766</v>
      </c>
      <c r="BA28" s="24">
        <v>1.262</v>
      </c>
      <c r="BB28" s="24">
        <v>1.2632999999999999</v>
      </c>
      <c r="BC28" s="24">
        <v>1.2646000000000002</v>
      </c>
      <c r="BD28" s="24">
        <v>1.2658999999999998</v>
      </c>
      <c r="BE28" s="24">
        <v>1.2671999999999999</v>
      </c>
      <c r="BF28" s="24">
        <v>1.2685</v>
      </c>
      <c r="BG28" s="24">
        <v>1.2698</v>
      </c>
      <c r="BH28" s="24">
        <v>1.2710999999999999</v>
      </c>
      <c r="BI28" s="24">
        <v>1.2724</v>
      </c>
      <c r="BJ28" s="24">
        <v>1.2737000000000001</v>
      </c>
      <c r="BK28" s="24">
        <v>1.2749999999999999</v>
      </c>
    </row>
    <row r="29" spans="1:63">
      <c r="B29" s="310">
        <v>0.55000000000000004</v>
      </c>
      <c r="C29" s="24">
        <v>0.91700000000000004</v>
      </c>
      <c r="D29" s="24">
        <v>0.92049999999999998</v>
      </c>
      <c r="E29" s="24">
        <v>0.92399999999999993</v>
      </c>
      <c r="F29" s="24">
        <v>0.92749999999999999</v>
      </c>
      <c r="G29" s="24">
        <v>0.93100000000000005</v>
      </c>
      <c r="H29" s="24">
        <v>0.9345</v>
      </c>
      <c r="I29" s="24">
        <v>0.93799999999999994</v>
      </c>
      <c r="J29" s="24">
        <v>0.9415</v>
      </c>
      <c r="K29" s="24">
        <v>0.94499999999999995</v>
      </c>
      <c r="L29" s="24">
        <v>0.94850000000000001</v>
      </c>
      <c r="M29" s="24">
        <v>0.95199999999999996</v>
      </c>
      <c r="N29" s="24">
        <v>0.96029999999999993</v>
      </c>
      <c r="O29" s="24">
        <v>0.96860000000000002</v>
      </c>
      <c r="P29" s="24">
        <v>0.97689999999999988</v>
      </c>
      <c r="Q29" s="24">
        <v>0.98519999999999985</v>
      </c>
      <c r="R29" s="24">
        <v>0.99349999999999994</v>
      </c>
      <c r="S29" s="24">
        <v>1.0017999999999998</v>
      </c>
      <c r="T29" s="24">
        <v>1.0101</v>
      </c>
      <c r="U29" s="24">
        <v>1.0184</v>
      </c>
      <c r="V29" s="24">
        <v>1.0266999999999999</v>
      </c>
      <c r="W29" s="24">
        <v>1.0349999999999999</v>
      </c>
      <c r="X29" s="24">
        <v>1.0462</v>
      </c>
      <c r="Y29" s="24">
        <v>1.0573999999999999</v>
      </c>
      <c r="Z29" s="24">
        <v>1.0686</v>
      </c>
      <c r="AA29" s="24">
        <v>1.0797999999999999</v>
      </c>
      <c r="AB29" s="24">
        <v>1.091</v>
      </c>
      <c r="AC29" s="24">
        <v>1.1006</v>
      </c>
      <c r="AD29" s="24">
        <v>1.1102000000000001</v>
      </c>
      <c r="AE29" s="24">
        <v>1.1197999999999999</v>
      </c>
      <c r="AF29" s="24">
        <v>1.1294</v>
      </c>
      <c r="AG29" s="24">
        <v>1.139</v>
      </c>
      <c r="AH29" s="24">
        <v>1.1467999999999998</v>
      </c>
      <c r="AI29" s="24">
        <v>1.1546000000000001</v>
      </c>
      <c r="AJ29" s="24">
        <v>1.1624000000000001</v>
      </c>
      <c r="AK29" s="24">
        <v>1.1701999999999999</v>
      </c>
      <c r="AL29" s="24">
        <v>1.1779999999999999</v>
      </c>
      <c r="AM29" s="24">
        <v>1.1858</v>
      </c>
      <c r="AN29" s="24">
        <v>1.1936</v>
      </c>
      <c r="AO29" s="24">
        <v>1.2014</v>
      </c>
      <c r="AP29" s="24">
        <v>1.2092000000000003</v>
      </c>
      <c r="AQ29" s="24">
        <v>1.2170000000000001</v>
      </c>
      <c r="AR29" s="24">
        <v>1.2213000000000003</v>
      </c>
      <c r="AS29" s="24">
        <v>1.2256</v>
      </c>
      <c r="AT29" s="24">
        <v>1.2299000000000002</v>
      </c>
      <c r="AU29" s="24">
        <v>1.2342</v>
      </c>
      <c r="AV29" s="24">
        <v>1.2385000000000002</v>
      </c>
      <c r="AW29" s="24">
        <v>1.2427999999999999</v>
      </c>
      <c r="AX29" s="24">
        <v>1.2471000000000001</v>
      </c>
      <c r="AY29" s="24">
        <v>1.2514000000000001</v>
      </c>
      <c r="AZ29" s="24">
        <v>1.2557</v>
      </c>
      <c r="BA29" s="24">
        <v>1.26</v>
      </c>
      <c r="BB29" s="24">
        <v>1.2613000000000001</v>
      </c>
      <c r="BC29" s="24">
        <v>1.2625999999999999</v>
      </c>
      <c r="BD29" s="24">
        <v>1.2639</v>
      </c>
      <c r="BE29" s="24">
        <v>1.2652000000000001</v>
      </c>
      <c r="BF29" s="24">
        <v>1.2665</v>
      </c>
      <c r="BG29" s="24">
        <v>1.2677999999999998</v>
      </c>
      <c r="BH29" s="24">
        <v>1.2690999999999999</v>
      </c>
      <c r="BI29" s="24">
        <v>1.2704</v>
      </c>
      <c r="BJ29" s="24">
        <v>1.2717000000000001</v>
      </c>
      <c r="BK29" s="24">
        <v>1.2729999999999999</v>
      </c>
    </row>
    <row r="30" spans="1:63">
      <c r="B30" s="310">
        <v>0.56000000000000005</v>
      </c>
      <c r="C30" s="24">
        <v>0.91780000000000006</v>
      </c>
      <c r="D30" s="24">
        <v>0.92124000000000006</v>
      </c>
      <c r="E30" s="24">
        <v>0.92468000000000006</v>
      </c>
      <c r="F30" s="24">
        <v>0.92812000000000006</v>
      </c>
      <c r="G30" s="24">
        <v>0.93156000000000005</v>
      </c>
      <c r="H30" s="24">
        <v>0.93500000000000005</v>
      </c>
      <c r="I30" s="24">
        <v>0.93843999999999994</v>
      </c>
      <c r="J30" s="24">
        <v>0.94188000000000005</v>
      </c>
      <c r="K30" s="24">
        <v>0.94531999999999994</v>
      </c>
      <c r="L30" s="24">
        <v>0.94875999999999994</v>
      </c>
      <c r="M30" s="24">
        <v>0.95219999999999994</v>
      </c>
      <c r="N30" s="24">
        <v>0.96045999999999998</v>
      </c>
      <c r="O30" s="24">
        <v>0.96871999999999991</v>
      </c>
      <c r="P30" s="24">
        <v>0.97697999999999996</v>
      </c>
      <c r="Q30" s="24">
        <v>0.98523999999999989</v>
      </c>
      <c r="R30" s="24">
        <v>0.99349999999999994</v>
      </c>
      <c r="S30" s="24">
        <v>1.00176</v>
      </c>
      <c r="T30" s="24">
        <v>1.0100199999999999</v>
      </c>
      <c r="U30" s="24">
        <v>1.0182799999999999</v>
      </c>
      <c r="V30" s="24">
        <v>1.0265399999999998</v>
      </c>
      <c r="W30" s="24">
        <v>1.0347999999999999</v>
      </c>
      <c r="X30" s="24">
        <v>1.04592</v>
      </c>
      <c r="Y30" s="24">
        <v>1.05704</v>
      </c>
      <c r="Z30" s="24">
        <v>1.06816</v>
      </c>
      <c r="AA30" s="24">
        <v>1.07928</v>
      </c>
      <c r="AB30" s="24">
        <v>1.0904</v>
      </c>
      <c r="AC30" s="24">
        <v>1.09992</v>
      </c>
      <c r="AD30" s="24">
        <v>1.10944</v>
      </c>
      <c r="AE30" s="24">
        <v>1.11896</v>
      </c>
      <c r="AF30" s="24">
        <v>1.1284799999999999</v>
      </c>
      <c r="AG30" s="24">
        <v>1.1379999999999999</v>
      </c>
      <c r="AH30" s="24">
        <v>1.1456999999999997</v>
      </c>
      <c r="AI30" s="24">
        <v>1.1534</v>
      </c>
      <c r="AJ30" s="24">
        <v>1.1610999999999998</v>
      </c>
      <c r="AK30" s="24">
        <v>1.1688000000000001</v>
      </c>
      <c r="AL30" s="24">
        <v>1.1764999999999999</v>
      </c>
      <c r="AM30" s="24">
        <v>1.1842000000000001</v>
      </c>
      <c r="AN30" s="24">
        <v>1.1919</v>
      </c>
      <c r="AO30" s="24">
        <v>1.1996</v>
      </c>
      <c r="AP30" s="24">
        <v>1.2073000000000003</v>
      </c>
      <c r="AQ30" s="24">
        <v>1.2150000000000001</v>
      </c>
      <c r="AR30" s="24">
        <v>1.2192800000000001</v>
      </c>
      <c r="AS30" s="24">
        <v>1.22356</v>
      </c>
      <c r="AT30" s="24">
        <v>1.22784</v>
      </c>
      <c r="AU30" s="24">
        <v>1.2321200000000001</v>
      </c>
      <c r="AV30" s="24">
        <v>1.2364000000000002</v>
      </c>
      <c r="AW30" s="24">
        <v>1.24068</v>
      </c>
      <c r="AX30" s="24">
        <v>1.2449600000000001</v>
      </c>
      <c r="AY30" s="24">
        <v>1.2492400000000001</v>
      </c>
      <c r="AZ30" s="24">
        <v>1.25352</v>
      </c>
      <c r="BA30" s="24">
        <v>1.2578</v>
      </c>
      <c r="BB30" s="24">
        <v>1.2591000000000001</v>
      </c>
      <c r="BC30" s="24">
        <v>1.2604</v>
      </c>
      <c r="BD30" s="24">
        <v>1.2617</v>
      </c>
      <c r="BE30" s="24">
        <v>1.2629999999999999</v>
      </c>
      <c r="BF30" s="24">
        <v>1.2643</v>
      </c>
      <c r="BG30" s="24">
        <v>1.2656000000000001</v>
      </c>
      <c r="BH30" s="24">
        <v>1.2668999999999999</v>
      </c>
      <c r="BI30" s="24">
        <v>1.2682</v>
      </c>
      <c r="BJ30" s="24">
        <v>1.2694999999999999</v>
      </c>
      <c r="BK30" s="24">
        <v>1.2707999999999999</v>
      </c>
    </row>
    <row r="31" spans="1:63">
      <c r="B31" s="310">
        <v>0.56999999999999995</v>
      </c>
      <c r="C31" s="24">
        <v>0.91860000000000008</v>
      </c>
      <c r="D31" s="24">
        <v>0.92198000000000013</v>
      </c>
      <c r="E31" s="24">
        <v>0.92535999999999996</v>
      </c>
      <c r="F31" s="24">
        <v>0.92874000000000012</v>
      </c>
      <c r="G31" s="24">
        <v>0.93211999999999995</v>
      </c>
      <c r="H31" s="24">
        <v>0.9355</v>
      </c>
      <c r="I31" s="24">
        <v>0.93887999999999994</v>
      </c>
      <c r="J31" s="24">
        <v>0.94225999999999999</v>
      </c>
      <c r="K31" s="24">
        <v>0.94563999999999993</v>
      </c>
      <c r="L31" s="24">
        <v>0.94901999999999986</v>
      </c>
      <c r="M31" s="24">
        <v>0.95239999999999991</v>
      </c>
      <c r="N31" s="24">
        <v>0.96061999999999992</v>
      </c>
      <c r="O31" s="24">
        <v>0.96883999999999992</v>
      </c>
      <c r="P31" s="24">
        <v>0.97706000000000004</v>
      </c>
      <c r="Q31" s="24">
        <v>0.98527999999999993</v>
      </c>
      <c r="R31" s="24">
        <v>0.99349999999999994</v>
      </c>
      <c r="S31" s="24">
        <v>1.0017199999999999</v>
      </c>
      <c r="T31" s="24">
        <v>1.0099400000000001</v>
      </c>
      <c r="U31" s="24">
        <v>1.01816</v>
      </c>
      <c r="V31" s="24">
        <v>1.0263799999999998</v>
      </c>
      <c r="W31" s="24">
        <v>1.0346</v>
      </c>
      <c r="X31" s="24">
        <v>1.0456399999999999</v>
      </c>
      <c r="Y31" s="24">
        <v>1.0566800000000001</v>
      </c>
      <c r="Z31" s="24">
        <v>1.06772</v>
      </c>
      <c r="AA31" s="24">
        <v>1.0787599999999999</v>
      </c>
      <c r="AB31" s="24">
        <v>1.0898000000000001</v>
      </c>
      <c r="AC31" s="24">
        <v>1.09924</v>
      </c>
      <c r="AD31" s="24">
        <v>1.1086800000000001</v>
      </c>
      <c r="AE31" s="24">
        <v>1.11812</v>
      </c>
      <c r="AF31" s="24">
        <v>1.1275600000000001</v>
      </c>
      <c r="AG31" s="24">
        <v>1.137</v>
      </c>
      <c r="AH31" s="24">
        <v>1.1445999999999998</v>
      </c>
      <c r="AI31" s="24">
        <v>1.1522000000000001</v>
      </c>
      <c r="AJ31" s="24">
        <v>1.1597999999999999</v>
      </c>
      <c r="AK31" s="24">
        <v>1.1674</v>
      </c>
      <c r="AL31" s="24">
        <v>1.175</v>
      </c>
      <c r="AM31" s="24">
        <v>1.1826000000000001</v>
      </c>
      <c r="AN31" s="24">
        <v>1.1902000000000001</v>
      </c>
      <c r="AO31" s="24">
        <v>1.1978</v>
      </c>
      <c r="AP31" s="24">
        <v>1.2054000000000002</v>
      </c>
      <c r="AQ31" s="24">
        <v>1.2130000000000001</v>
      </c>
      <c r="AR31" s="24">
        <v>1.21726</v>
      </c>
      <c r="AS31" s="24">
        <v>1.2215199999999999</v>
      </c>
      <c r="AT31" s="24">
        <v>1.2257800000000001</v>
      </c>
      <c r="AU31" s="24">
        <v>1.2300400000000002</v>
      </c>
      <c r="AV31" s="24">
        <v>1.2343000000000002</v>
      </c>
      <c r="AW31" s="24">
        <v>1.2385600000000001</v>
      </c>
      <c r="AX31" s="24">
        <v>1.24282</v>
      </c>
      <c r="AY31" s="24">
        <v>1.24708</v>
      </c>
      <c r="AZ31" s="24">
        <v>1.2513400000000001</v>
      </c>
      <c r="BA31" s="24">
        <v>1.2556</v>
      </c>
      <c r="BB31" s="24">
        <v>1.2569000000000001</v>
      </c>
      <c r="BC31" s="24">
        <v>1.2582</v>
      </c>
      <c r="BD31" s="24">
        <v>1.2595000000000001</v>
      </c>
      <c r="BE31" s="24">
        <v>1.2608000000000001</v>
      </c>
      <c r="BF31" s="24">
        <v>1.2621</v>
      </c>
      <c r="BG31" s="24">
        <v>1.2633999999999999</v>
      </c>
      <c r="BH31" s="24">
        <v>1.2646999999999999</v>
      </c>
      <c r="BI31" s="24">
        <v>1.266</v>
      </c>
      <c r="BJ31" s="24">
        <v>1.2673000000000001</v>
      </c>
      <c r="BK31" s="24">
        <v>1.2685999999999999</v>
      </c>
    </row>
    <row r="32" spans="1:63">
      <c r="B32" s="310">
        <v>0.57999999999999996</v>
      </c>
      <c r="C32" s="24">
        <v>0.9194</v>
      </c>
      <c r="D32" s="24">
        <v>0.92271999999999998</v>
      </c>
      <c r="E32" s="24">
        <v>0.92603999999999997</v>
      </c>
      <c r="F32" s="24">
        <v>0.92935999999999996</v>
      </c>
      <c r="G32" s="24">
        <v>0.93267999999999995</v>
      </c>
      <c r="H32" s="24">
        <v>0.93599999999999994</v>
      </c>
      <c r="I32" s="24">
        <v>0.93931999999999993</v>
      </c>
      <c r="J32" s="24">
        <v>0.94263999999999992</v>
      </c>
      <c r="K32" s="24">
        <v>0.94595999999999991</v>
      </c>
      <c r="L32" s="24">
        <v>0.9492799999999999</v>
      </c>
      <c r="M32" s="24">
        <v>0.95259999999999989</v>
      </c>
      <c r="N32" s="24">
        <v>0.96077999999999986</v>
      </c>
      <c r="O32" s="24">
        <v>0.96895999999999993</v>
      </c>
      <c r="P32" s="24">
        <v>0.9771399999999999</v>
      </c>
      <c r="Q32" s="24">
        <v>0.98531999999999997</v>
      </c>
      <c r="R32" s="24">
        <v>0.99349999999999994</v>
      </c>
      <c r="S32" s="24">
        <v>1.0016799999999999</v>
      </c>
      <c r="T32" s="24">
        <v>1.00986</v>
      </c>
      <c r="U32" s="24">
        <v>1.0180400000000001</v>
      </c>
      <c r="V32" s="24">
        <v>1.0262199999999999</v>
      </c>
      <c r="W32" s="24">
        <v>1.0344</v>
      </c>
      <c r="X32" s="24">
        <v>1.0453600000000001</v>
      </c>
      <c r="Y32" s="24">
        <v>1.0563199999999999</v>
      </c>
      <c r="Z32" s="24">
        <v>1.0672800000000002</v>
      </c>
      <c r="AA32" s="24">
        <v>1.0782400000000001</v>
      </c>
      <c r="AB32" s="24">
        <v>1.0892000000000002</v>
      </c>
      <c r="AC32" s="24">
        <v>1.09856</v>
      </c>
      <c r="AD32" s="24">
        <v>1.10792</v>
      </c>
      <c r="AE32" s="24">
        <v>1.1172800000000001</v>
      </c>
      <c r="AF32" s="24">
        <v>1.1266399999999999</v>
      </c>
      <c r="AG32" s="24">
        <v>1.1359999999999999</v>
      </c>
      <c r="AH32" s="24">
        <v>1.1435</v>
      </c>
      <c r="AI32" s="24">
        <v>1.151</v>
      </c>
      <c r="AJ32" s="24">
        <v>1.1584999999999999</v>
      </c>
      <c r="AK32" s="24">
        <v>1.1659999999999999</v>
      </c>
      <c r="AL32" s="24">
        <v>1.1735</v>
      </c>
      <c r="AM32" s="24">
        <v>1.181</v>
      </c>
      <c r="AN32" s="24">
        <v>1.1884999999999999</v>
      </c>
      <c r="AO32" s="24">
        <v>1.1960000000000002</v>
      </c>
      <c r="AP32" s="24">
        <v>1.2035</v>
      </c>
      <c r="AQ32" s="24">
        <v>1.2110000000000001</v>
      </c>
      <c r="AR32" s="24">
        <v>1.2152400000000001</v>
      </c>
      <c r="AS32" s="24">
        <v>1.2194800000000001</v>
      </c>
      <c r="AT32" s="24">
        <v>1.2237200000000001</v>
      </c>
      <c r="AU32" s="24">
        <v>1.2279599999999999</v>
      </c>
      <c r="AV32" s="24">
        <v>1.2322000000000002</v>
      </c>
      <c r="AW32" s="24">
        <v>1.23644</v>
      </c>
      <c r="AX32" s="24">
        <v>1.24068</v>
      </c>
      <c r="AY32" s="24">
        <v>1.24492</v>
      </c>
      <c r="AZ32" s="24">
        <v>1.24916</v>
      </c>
      <c r="BA32" s="24">
        <v>1.2534000000000001</v>
      </c>
      <c r="BB32" s="24">
        <v>1.2547000000000001</v>
      </c>
      <c r="BC32" s="24">
        <v>1.256</v>
      </c>
      <c r="BD32" s="24">
        <v>1.2573000000000001</v>
      </c>
      <c r="BE32" s="24">
        <v>1.2585999999999999</v>
      </c>
      <c r="BF32" s="24">
        <v>1.2599</v>
      </c>
      <c r="BG32" s="24">
        <v>1.2612000000000001</v>
      </c>
      <c r="BH32" s="24">
        <v>1.2625</v>
      </c>
      <c r="BI32" s="24">
        <v>1.2638</v>
      </c>
      <c r="BJ32" s="24">
        <v>1.2650999999999999</v>
      </c>
      <c r="BK32" s="24">
        <v>1.2664</v>
      </c>
    </row>
    <row r="33" spans="2:63">
      <c r="B33" s="310">
        <v>0.59</v>
      </c>
      <c r="C33" s="24">
        <v>0.92020000000000013</v>
      </c>
      <c r="D33" s="24">
        <v>0.92346000000000006</v>
      </c>
      <c r="E33" s="24">
        <v>0.9267200000000001</v>
      </c>
      <c r="F33" s="24">
        <v>0.92998000000000003</v>
      </c>
      <c r="G33" s="24">
        <v>0.93324000000000007</v>
      </c>
      <c r="H33" s="24">
        <v>0.9365</v>
      </c>
      <c r="I33" s="24">
        <v>0.93975999999999993</v>
      </c>
      <c r="J33" s="24">
        <v>0.94301999999999997</v>
      </c>
      <c r="K33" s="24">
        <v>0.9462799999999999</v>
      </c>
      <c r="L33" s="24">
        <v>0.94953999999999994</v>
      </c>
      <c r="M33" s="24">
        <v>0.95279999999999987</v>
      </c>
      <c r="N33" s="24">
        <v>0.96093999999999991</v>
      </c>
      <c r="O33" s="24">
        <v>0.96907999999999994</v>
      </c>
      <c r="P33" s="24">
        <v>0.97721999999999998</v>
      </c>
      <c r="Q33" s="24">
        <v>0.9853599999999999</v>
      </c>
      <c r="R33" s="24">
        <v>0.99349999999999994</v>
      </c>
      <c r="S33" s="24">
        <v>1.0016399999999999</v>
      </c>
      <c r="T33" s="24">
        <v>1.0097799999999999</v>
      </c>
      <c r="U33" s="24">
        <v>1.0179199999999999</v>
      </c>
      <c r="V33" s="24">
        <v>1.02606</v>
      </c>
      <c r="W33" s="24">
        <v>1.0342</v>
      </c>
      <c r="X33" s="24">
        <v>1.04508</v>
      </c>
      <c r="Y33" s="24">
        <v>1.05596</v>
      </c>
      <c r="Z33" s="24">
        <v>1.06684</v>
      </c>
      <c r="AA33" s="24">
        <v>1.07772</v>
      </c>
      <c r="AB33" s="24">
        <v>1.0886</v>
      </c>
      <c r="AC33" s="24">
        <v>1.09788</v>
      </c>
      <c r="AD33" s="24">
        <v>1.1071599999999999</v>
      </c>
      <c r="AE33" s="24">
        <v>1.1164399999999999</v>
      </c>
      <c r="AF33" s="24">
        <v>1.1257199999999998</v>
      </c>
      <c r="AG33" s="24">
        <v>1.135</v>
      </c>
      <c r="AH33" s="24">
        <v>1.1423999999999999</v>
      </c>
      <c r="AI33" s="24">
        <v>1.1497999999999999</v>
      </c>
      <c r="AJ33" s="24">
        <v>1.1572</v>
      </c>
      <c r="AK33" s="24">
        <v>1.1646000000000001</v>
      </c>
      <c r="AL33" s="24">
        <v>1.1719999999999999</v>
      </c>
      <c r="AM33" s="24">
        <v>1.1793999999999998</v>
      </c>
      <c r="AN33" s="24">
        <v>1.1868000000000001</v>
      </c>
      <c r="AO33" s="24">
        <v>1.1941999999999999</v>
      </c>
      <c r="AP33" s="24">
        <v>1.2016</v>
      </c>
      <c r="AQ33" s="24">
        <v>1.2090000000000001</v>
      </c>
      <c r="AR33" s="24">
        <v>1.2132200000000002</v>
      </c>
      <c r="AS33" s="24">
        <v>1.2174400000000001</v>
      </c>
      <c r="AT33" s="24">
        <v>1.22166</v>
      </c>
      <c r="AU33" s="24">
        <v>1.2258800000000001</v>
      </c>
      <c r="AV33" s="24">
        <v>1.2301000000000002</v>
      </c>
      <c r="AW33" s="24">
        <v>1.2343200000000001</v>
      </c>
      <c r="AX33" s="24">
        <v>1.23854</v>
      </c>
      <c r="AY33" s="24">
        <v>1.2427600000000001</v>
      </c>
      <c r="AZ33" s="24">
        <v>1.2469800000000002</v>
      </c>
      <c r="BA33" s="24">
        <v>1.2512000000000001</v>
      </c>
      <c r="BB33" s="24">
        <v>1.2524999999999999</v>
      </c>
      <c r="BC33" s="24">
        <v>1.2538</v>
      </c>
      <c r="BD33" s="24">
        <v>1.2551000000000001</v>
      </c>
      <c r="BE33" s="24">
        <v>1.2564000000000002</v>
      </c>
      <c r="BF33" s="24">
        <v>1.2577</v>
      </c>
      <c r="BG33" s="24">
        <v>1.2589999999999999</v>
      </c>
      <c r="BH33" s="24">
        <v>1.2603</v>
      </c>
      <c r="BI33" s="24">
        <v>1.2616000000000001</v>
      </c>
      <c r="BJ33" s="24">
        <v>1.2629000000000001</v>
      </c>
      <c r="BK33" s="24">
        <v>1.2642</v>
      </c>
    </row>
    <row r="34" spans="2:63">
      <c r="B34" s="310">
        <v>0.6</v>
      </c>
      <c r="C34" s="24">
        <v>0.92100000000000004</v>
      </c>
      <c r="D34" s="24">
        <v>0.92420000000000002</v>
      </c>
      <c r="E34" s="24">
        <v>0.9274</v>
      </c>
      <c r="F34" s="24">
        <v>0.93059999999999998</v>
      </c>
      <c r="G34" s="24">
        <v>0.93379999999999996</v>
      </c>
      <c r="H34" s="24">
        <v>0.93700000000000006</v>
      </c>
      <c r="I34" s="24">
        <v>0.94020000000000004</v>
      </c>
      <c r="J34" s="24">
        <v>0.94340000000000002</v>
      </c>
      <c r="K34" s="24">
        <v>0.94659999999999989</v>
      </c>
      <c r="L34" s="24">
        <v>0.94979999999999998</v>
      </c>
      <c r="M34" s="24">
        <v>0.95299999999999996</v>
      </c>
      <c r="N34" s="24">
        <v>0.96109999999999995</v>
      </c>
      <c r="O34" s="24">
        <v>0.96919999999999995</v>
      </c>
      <c r="P34" s="24">
        <v>0.97729999999999995</v>
      </c>
      <c r="Q34" s="24">
        <v>0.98540000000000005</v>
      </c>
      <c r="R34" s="24">
        <v>0.99350000000000005</v>
      </c>
      <c r="S34" s="24">
        <v>1.0015999999999998</v>
      </c>
      <c r="T34" s="24">
        <v>1.0097</v>
      </c>
      <c r="U34" s="24">
        <v>1.0178</v>
      </c>
      <c r="V34" s="24">
        <v>1.0259</v>
      </c>
      <c r="W34" s="24">
        <v>1.034</v>
      </c>
      <c r="X34" s="24">
        <v>1.0448</v>
      </c>
      <c r="Y34" s="24">
        <v>1.0556000000000001</v>
      </c>
      <c r="Z34" s="24">
        <v>1.0664</v>
      </c>
      <c r="AA34" s="24">
        <v>1.0771999999999999</v>
      </c>
      <c r="AB34" s="24">
        <v>1.0880000000000001</v>
      </c>
      <c r="AC34" s="24">
        <v>1.0972</v>
      </c>
      <c r="AD34" s="24">
        <v>1.1064000000000001</v>
      </c>
      <c r="AE34" s="24">
        <v>1.1155999999999999</v>
      </c>
      <c r="AF34" s="24">
        <v>1.1247999999999998</v>
      </c>
      <c r="AG34" s="24">
        <v>1.1339999999999999</v>
      </c>
      <c r="AH34" s="24">
        <v>1.1413</v>
      </c>
      <c r="AI34" s="24">
        <v>1.1485999999999998</v>
      </c>
      <c r="AJ34" s="24">
        <v>1.1558999999999999</v>
      </c>
      <c r="AK34" s="24">
        <v>1.1632</v>
      </c>
      <c r="AL34" s="24">
        <v>1.1705000000000001</v>
      </c>
      <c r="AM34" s="24">
        <v>1.1778</v>
      </c>
      <c r="AN34" s="24">
        <v>1.1851</v>
      </c>
      <c r="AO34" s="24">
        <v>1.1923999999999999</v>
      </c>
      <c r="AP34" s="24">
        <v>1.1997</v>
      </c>
      <c r="AQ34" s="24">
        <v>1.2070000000000001</v>
      </c>
      <c r="AR34" s="24">
        <v>1.2112000000000001</v>
      </c>
      <c r="AS34" s="24">
        <v>1.2154</v>
      </c>
      <c r="AT34" s="24">
        <v>1.2196000000000002</v>
      </c>
      <c r="AU34" s="24">
        <v>1.2238000000000002</v>
      </c>
      <c r="AV34" s="24">
        <v>1.2280000000000002</v>
      </c>
      <c r="AW34" s="24">
        <v>1.2322000000000002</v>
      </c>
      <c r="AX34" s="24">
        <v>1.2364000000000002</v>
      </c>
      <c r="AY34" s="24">
        <v>1.2406000000000001</v>
      </c>
      <c r="AZ34" s="24">
        <v>1.2448000000000001</v>
      </c>
      <c r="BA34" s="24">
        <v>1.2490000000000001</v>
      </c>
      <c r="BB34" s="24">
        <v>1.2503000000000002</v>
      </c>
      <c r="BC34" s="24">
        <v>1.2516</v>
      </c>
      <c r="BD34" s="24">
        <v>1.2529000000000001</v>
      </c>
      <c r="BE34" s="24">
        <v>1.2542</v>
      </c>
      <c r="BF34" s="24">
        <v>1.2555000000000001</v>
      </c>
      <c r="BG34" s="24">
        <v>1.2568000000000001</v>
      </c>
      <c r="BH34" s="24">
        <v>1.2581</v>
      </c>
      <c r="BI34" s="24">
        <v>1.2594000000000001</v>
      </c>
      <c r="BJ34" s="24">
        <v>1.2606999999999999</v>
      </c>
      <c r="BK34" s="24">
        <v>1.262</v>
      </c>
    </row>
  </sheetData>
  <sheetProtection sheet="1" objects="1" scenarios="1" selectLockedCells="1" selectUnlockedCells="1"/>
  <phoneticPr fontId="7" type="noConversion"/>
  <pageMargins left="0.75" right="0.75" top="1" bottom="1" header="0.5" footer="0.5"/>
  <pageSetup orientation="portrait" horizontalDpi="400" verticalDpi="4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32"/>
  </sheetPr>
  <dimension ref="B3:C84"/>
  <sheetViews>
    <sheetView workbookViewId="0">
      <selection activeCell="K38" sqref="K38"/>
    </sheetView>
  </sheetViews>
  <sheetFormatPr defaultRowHeight="12.75"/>
  <cols>
    <col min="2" max="2" width="12.28515625" customWidth="1"/>
    <col min="3" max="3" width="12" customWidth="1"/>
  </cols>
  <sheetData>
    <row r="3" spans="2:3">
      <c r="B3" s="311" t="s">
        <v>268</v>
      </c>
      <c r="C3" s="311" t="s">
        <v>269</v>
      </c>
    </row>
    <row r="4" spans="2:3">
      <c r="B4">
        <v>0</v>
      </c>
      <c r="C4">
        <v>0</v>
      </c>
    </row>
    <row r="5" spans="2:3">
      <c r="B5">
        <v>1</v>
      </c>
      <c r="C5">
        <v>1.05</v>
      </c>
    </row>
    <row r="6" spans="2:3">
      <c r="B6">
        <v>2</v>
      </c>
      <c r="C6">
        <v>2.1</v>
      </c>
    </row>
    <row r="7" spans="2:3">
      <c r="B7">
        <v>3</v>
      </c>
      <c r="C7">
        <v>3.15</v>
      </c>
    </row>
    <row r="8" spans="2:3">
      <c r="B8">
        <v>4</v>
      </c>
      <c r="C8">
        <v>4.2</v>
      </c>
    </row>
    <row r="9" spans="2:3">
      <c r="B9">
        <v>5</v>
      </c>
      <c r="C9">
        <v>5.25</v>
      </c>
    </row>
    <row r="10" spans="2:3">
      <c r="B10">
        <v>6</v>
      </c>
      <c r="C10">
        <v>6.3</v>
      </c>
    </row>
    <row r="11" spans="2:3">
      <c r="B11">
        <v>7</v>
      </c>
      <c r="C11">
        <v>7.35</v>
      </c>
    </row>
    <row r="12" spans="2:3">
      <c r="B12">
        <v>8</v>
      </c>
      <c r="C12">
        <v>8.4</v>
      </c>
    </row>
    <row r="13" spans="2:3">
      <c r="B13">
        <v>9</v>
      </c>
      <c r="C13">
        <v>9.4499999999999993</v>
      </c>
    </row>
    <row r="14" spans="2:3">
      <c r="B14">
        <v>10</v>
      </c>
      <c r="C14">
        <v>10.5</v>
      </c>
    </row>
    <row r="15" spans="2:3">
      <c r="B15">
        <v>11</v>
      </c>
      <c r="C15">
        <v>11.55</v>
      </c>
    </row>
    <row r="16" spans="2:3">
      <c r="B16">
        <v>12</v>
      </c>
      <c r="C16">
        <v>12.6</v>
      </c>
    </row>
    <row r="17" spans="2:3">
      <c r="B17">
        <v>13</v>
      </c>
      <c r="C17">
        <v>13.65</v>
      </c>
    </row>
    <row r="18" spans="2:3">
      <c r="B18">
        <v>14</v>
      </c>
      <c r="C18">
        <v>14.7</v>
      </c>
    </row>
    <row r="19" spans="2:3">
      <c r="B19">
        <v>15</v>
      </c>
      <c r="C19">
        <v>15.75</v>
      </c>
    </row>
    <row r="20" spans="2:3">
      <c r="B20">
        <v>16</v>
      </c>
      <c r="C20">
        <v>16.8</v>
      </c>
    </row>
    <row r="21" spans="2:3">
      <c r="B21">
        <v>17</v>
      </c>
      <c r="C21">
        <v>17.850000000000001</v>
      </c>
    </row>
    <row r="22" spans="2:3">
      <c r="B22">
        <v>18</v>
      </c>
      <c r="C22">
        <v>18.899999999999999</v>
      </c>
    </row>
    <row r="23" spans="2:3">
      <c r="B23">
        <v>19</v>
      </c>
      <c r="C23">
        <v>19.95</v>
      </c>
    </row>
    <row r="24" spans="2:3">
      <c r="B24">
        <v>20</v>
      </c>
      <c r="C24">
        <v>21</v>
      </c>
    </row>
    <row r="25" spans="2:3">
      <c r="B25">
        <v>21</v>
      </c>
      <c r="C25">
        <v>22.1</v>
      </c>
    </row>
    <row r="26" spans="2:3">
      <c r="B26">
        <v>22</v>
      </c>
      <c r="C26">
        <v>23.2</v>
      </c>
    </row>
    <row r="27" spans="2:3">
      <c r="B27">
        <v>23</v>
      </c>
      <c r="C27">
        <v>24.3</v>
      </c>
    </row>
    <row r="28" spans="2:3">
      <c r="B28">
        <v>24</v>
      </c>
      <c r="C28">
        <v>25.4</v>
      </c>
    </row>
    <row r="29" spans="2:3">
      <c r="B29">
        <v>25</v>
      </c>
      <c r="C29">
        <v>26.5</v>
      </c>
    </row>
    <row r="30" spans="2:3">
      <c r="B30">
        <v>26</v>
      </c>
      <c r="C30">
        <v>27.6</v>
      </c>
    </row>
    <row r="31" spans="2:3">
      <c r="B31">
        <v>27</v>
      </c>
      <c r="C31">
        <v>28.7</v>
      </c>
    </row>
    <row r="32" spans="2:3">
      <c r="B32">
        <v>28</v>
      </c>
      <c r="C32">
        <v>29.8</v>
      </c>
    </row>
    <row r="33" spans="2:3">
      <c r="B33">
        <v>29</v>
      </c>
      <c r="C33">
        <v>30.9</v>
      </c>
    </row>
    <row r="34" spans="2:3">
      <c r="B34">
        <v>30</v>
      </c>
      <c r="C34">
        <v>32</v>
      </c>
    </row>
    <row r="35" spans="2:3">
      <c r="B35">
        <v>31</v>
      </c>
      <c r="C35">
        <v>33.299999999999997</v>
      </c>
    </row>
    <row r="36" spans="2:3">
      <c r="B36">
        <v>32</v>
      </c>
      <c r="C36">
        <v>34.6</v>
      </c>
    </row>
    <row r="37" spans="2:3">
      <c r="B37">
        <v>33</v>
      </c>
      <c r="C37">
        <v>35.9</v>
      </c>
    </row>
    <row r="38" spans="2:3">
      <c r="B38">
        <v>34</v>
      </c>
      <c r="C38">
        <v>37.200000000000003</v>
      </c>
    </row>
    <row r="39" spans="2:3">
      <c r="B39">
        <v>35</v>
      </c>
      <c r="C39">
        <v>38.5</v>
      </c>
    </row>
    <row r="40" spans="2:3">
      <c r="B40">
        <v>36</v>
      </c>
      <c r="C40">
        <v>39.799999999999997</v>
      </c>
    </row>
    <row r="41" spans="2:3">
      <c r="B41">
        <v>37</v>
      </c>
      <c r="C41">
        <v>41.1</v>
      </c>
    </row>
    <row r="42" spans="2:3">
      <c r="B42">
        <v>38</v>
      </c>
      <c r="C42">
        <v>42.4</v>
      </c>
    </row>
    <row r="43" spans="2:3">
      <c r="B43">
        <v>39</v>
      </c>
      <c r="C43">
        <v>43.7</v>
      </c>
    </row>
    <row r="44" spans="2:3">
      <c r="B44">
        <v>40</v>
      </c>
      <c r="C44">
        <v>45</v>
      </c>
    </row>
    <row r="45" spans="2:3">
      <c r="B45">
        <v>41</v>
      </c>
      <c r="C45">
        <v>46.6</v>
      </c>
    </row>
    <row r="46" spans="2:3">
      <c r="B46">
        <v>42</v>
      </c>
      <c r="C46">
        <v>48.2</v>
      </c>
    </row>
    <row r="47" spans="2:3">
      <c r="B47">
        <v>43</v>
      </c>
      <c r="C47">
        <v>49.8</v>
      </c>
    </row>
    <row r="48" spans="2:3">
      <c r="B48">
        <v>44</v>
      </c>
      <c r="C48">
        <v>51.4</v>
      </c>
    </row>
    <row r="49" spans="2:3">
      <c r="B49">
        <v>45</v>
      </c>
      <c r="C49">
        <v>53</v>
      </c>
    </row>
    <row r="50" spans="2:3">
      <c r="B50">
        <v>46</v>
      </c>
      <c r="C50">
        <v>54.4</v>
      </c>
    </row>
    <row r="51" spans="2:3">
      <c r="B51">
        <v>47</v>
      </c>
      <c r="C51">
        <v>55.8</v>
      </c>
    </row>
    <row r="52" spans="2:3">
      <c r="B52">
        <v>48</v>
      </c>
      <c r="C52">
        <v>57.2</v>
      </c>
    </row>
    <row r="53" spans="2:3">
      <c r="B53">
        <v>49</v>
      </c>
      <c r="C53">
        <v>58.6</v>
      </c>
    </row>
    <row r="54" spans="2:3">
      <c r="B54">
        <v>50</v>
      </c>
      <c r="C54">
        <v>60</v>
      </c>
    </row>
    <row r="55" spans="2:3">
      <c r="B55">
        <v>51</v>
      </c>
      <c r="C55">
        <v>61.5</v>
      </c>
    </row>
    <row r="56" spans="2:3">
      <c r="B56">
        <v>52</v>
      </c>
      <c r="C56">
        <v>63</v>
      </c>
    </row>
    <row r="57" spans="2:3">
      <c r="B57">
        <v>53</v>
      </c>
      <c r="C57">
        <v>64.5</v>
      </c>
    </row>
    <row r="58" spans="2:3">
      <c r="B58">
        <v>54</v>
      </c>
      <c r="C58">
        <v>66</v>
      </c>
    </row>
    <row r="59" spans="2:3">
      <c r="B59">
        <v>55</v>
      </c>
      <c r="C59">
        <v>67.5</v>
      </c>
    </row>
    <row r="60" spans="2:3">
      <c r="B60">
        <v>56</v>
      </c>
      <c r="C60">
        <v>69</v>
      </c>
    </row>
    <row r="61" spans="2:3">
      <c r="B61">
        <v>57</v>
      </c>
      <c r="C61">
        <v>70.5</v>
      </c>
    </row>
    <row r="62" spans="2:3">
      <c r="B62">
        <v>58</v>
      </c>
      <c r="C62">
        <v>72</v>
      </c>
    </row>
    <row r="63" spans="2:3">
      <c r="B63">
        <v>59</v>
      </c>
      <c r="C63">
        <v>73.5</v>
      </c>
    </row>
    <row r="64" spans="2:3">
      <c r="B64">
        <v>60</v>
      </c>
      <c r="C64">
        <v>75</v>
      </c>
    </row>
    <row r="65" spans="2:3">
      <c r="B65">
        <v>61</v>
      </c>
      <c r="C65">
        <v>76.5</v>
      </c>
    </row>
    <row r="66" spans="2:3">
      <c r="B66">
        <v>62</v>
      </c>
      <c r="C66">
        <v>78</v>
      </c>
    </row>
    <row r="67" spans="2:3">
      <c r="B67">
        <v>63</v>
      </c>
      <c r="C67">
        <v>79.5</v>
      </c>
    </row>
    <row r="68" spans="2:3">
      <c r="B68">
        <v>64</v>
      </c>
      <c r="C68">
        <v>81</v>
      </c>
    </row>
    <row r="69" spans="2:3">
      <c r="B69">
        <v>65</v>
      </c>
      <c r="C69">
        <v>82.5</v>
      </c>
    </row>
    <row r="70" spans="2:3">
      <c r="B70">
        <v>66</v>
      </c>
      <c r="C70">
        <v>84</v>
      </c>
    </row>
    <row r="71" spans="2:3">
      <c r="B71">
        <v>67</v>
      </c>
      <c r="C71">
        <v>85.5</v>
      </c>
    </row>
    <row r="72" spans="2:3">
      <c r="B72">
        <v>68</v>
      </c>
      <c r="C72">
        <v>87</v>
      </c>
    </row>
    <row r="73" spans="2:3">
      <c r="B73">
        <v>69</v>
      </c>
      <c r="C73">
        <v>88.5</v>
      </c>
    </row>
    <row r="74" spans="2:3">
      <c r="B74">
        <v>70</v>
      </c>
      <c r="C74">
        <v>90</v>
      </c>
    </row>
    <row r="75" spans="2:3">
      <c r="B75">
        <v>71</v>
      </c>
      <c r="C75">
        <v>91.3</v>
      </c>
    </row>
    <row r="76" spans="2:3">
      <c r="B76">
        <v>72</v>
      </c>
      <c r="C76">
        <v>92.6</v>
      </c>
    </row>
    <row r="77" spans="2:3">
      <c r="B77">
        <v>73</v>
      </c>
      <c r="C77">
        <v>93.9</v>
      </c>
    </row>
    <row r="78" spans="2:3">
      <c r="B78">
        <v>74</v>
      </c>
      <c r="C78">
        <v>95.2</v>
      </c>
    </row>
    <row r="79" spans="2:3">
      <c r="B79">
        <v>75</v>
      </c>
      <c r="C79">
        <v>96.5</v>
      </c>
    </row>
    <row r="80" spans="2:3">
      <c r="B80">
        <v>76</v>
      </c>
      <c r="C80">
        <v>97.8</v>
      </c>
    </row>
    <row r="81" spans="2:3">
      <c r="B81">
        <v>77</v>
      </c>
      <c r="C81">
        <v>99.1</v>
      </c>
    </row>
    <row r="82" spans="2:3">
      <c r="B82">
        <v>78</v>
      </c>
      <c r="C82">
        <v>100.4</v>
      </c>
    </row>
    <row r="83" spans="2:3">
      <c r="B83">
        <v>79</v>
      </c>
      <c r="C83">
        <v>101.7</v>
      </c>
    </row>
    <row r="84" spans="2:3">
      <c r="B84">
        <v>80</v>
      </c>
      <c r="C84">
        <v>103</v>
      </c>
    </row>
  </sheetData>
  <sheetProtection sheet="1" objects="1" scenarios="1" selectLockedCells="1" selectUnlockedCells="1"/>
  <phoneticPr fontId="7"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32"/>
  </sheetPr>
  <dimension ref="A3:R29"/>
  <sheetViews>
    <sheetView zoomScale="75" workbookViewId="0">
      <selection activeCell="E3" sqref="E3"/>
    </sheetView>
  </sheetViews>
  <sheetFormatPr defaultRowHeight="12.75"/>
  <cols>
    <col min="2" max="2" width="10" customWidth="1"/>
    <col min="3" max="3" width="9.42578125" customWidth="1"/>
  </cols>
  <sheetData>
    <row r="3" spans="1:18">
      <c r="J3" s="340"/>
      <c r="K3" s="340"/>
      <c r="L3" s="340"/>
      <c r="M3" s="340"/>
      <c r="N3" s="340"/>
      <c r="O3" s="340"/>
    </row>
    <row r="4" spans="1:18" ht="15.75">
      <c r="B4" s="341"/>
      <c r="C4" s="342"/>
      <c r="D4" s="342"/>
      <c r="E4" s="342"/>
      <c r="F4" s="20"/>
      <c r="G4" s="20"/>
      <c r="J4" s="340"/>
      <c r="K4" s="343"/>
      <c r="L4" s="343"/>
      <c r="M4" s="344"/>
      <c r="N4" s="340"/>
      <c r="O4" s="340"/>
    </row>
    <row r="5" spans="1:18">
      <c r="B5" s="20"/>
      <c r="C5" s="20"/>
      <c r="J5" s="340"/>
      <c r="K5" s="344"/>
      <c r="L5" s="340"/>
      <c r="M5" s="340"/>
      <c r="N5" s="340"/>
      <c r="O5" s="340"/>
    </row>
    <row r="6" spans="1:18">
      <c r="J6" s="340"/>
      <c r="K6" s="340"/>
      <c r="L6" s="340"/>
      <c r="M6" s="340"/>
      <c r="N6" s="340"/>
      <c r="O6" s="340"/>
    </row>
    <row r="7" spans="1:18" s="20" customFormat="1">
      <c r="A7" s="345" t="s">
        <v>322</v>
      </c>
      <c r="B7" s="346" t="s">
        <v>302</v>
      </c>
      <c r="C7" s="346" t="s">
        <v>303</v>
      </c>
      <c r="D7" s="346" t="s">
        <v>304</v>
      </c>
      <c r="E7" s="346" t="s">
        <v>305</v>
      </c>
      <c r="F7" s="346" t="s">
        <v>306</v>
      </c>
      <c r="G7" s="346" t="s">
        <v>307</v>
      </c>
      <c r="H7" s="346" t="s">
        <v>308</v>
      </c>
      <c r="I7" s="346" t="s">
        <v>309</v>
      </c>
      <c r="J7" s="346" t="s">
        <v>310</v>
      </c>
      <c r="K7" s="347" t="s">
        <v>311</v>
      </c>
      <c r="L7" s="347" t="s">
        <v>312</v>
      </c>
      <c r="M7" s="347" t="s">
        <v>313</v>
      </c>
      <c r="N7" s="347" t="s">
        <v>314</v>
      </c>
      <c r="O7" s="347" t="s">
        <v>315</v>
      </c>
      <c r="P7" s="347" t="s">
        <v>316</v>
      </c>
      <c r="Q7" s="347" t="s">
        <v>317</v>
      </c>
      <c r="R7" s="345" t="s">
        <v>322</v>
      </c>
    </row>
    <row r="8" spans="1:18">
      <c r="A8" s="348">
        <v>2</v>
      </c>
      <c r="B8" s="349"/>
      <c r="C8" s="349"/>
      <c r="D8" s="349"/>
      <c r="E8" s="349"/>
      <c r="F8" s="349"/>
      <c r="G8" s="349"/>
      <c r="H8" s="350" t="s">
        <v>318</v>
      </c>
      <c r="I8" s="350" t="s">
        <v>319</v>
      </c>
      <c r="J8" s="350" t="s">
        <v>318</v>
      </c>
      <c r="K8" s="350" t="s">
        <v>319</v>
      </c>
      <c r="L8" s="351" t="s">
        <v>320</v>
      </c>
      <c r="M8" s="351" t="s">
        <v>319</v>
      </c>
      <c r="N8" s="351" t="s">
        <v>319</v>
      </c>
      <c r="O8" s="351" t="s">
        <v>320</v>
      </c>
      <c r="P8" s="351" t="s">
        <v>318</v>
      </c>
      <c r="Q8" s="352"/>
      <c r="R8" s="348">
        <v>2</v>
      </c>
    </row>
    <row r="9" spans="1:18">
      <c r="A9" s="353">
        <v>1.42</v>
      </c>
      <c r="B9" s="354"/>
      <c r="C9" s="354"/>
      <c r="D9" s="354"/>
      <c r="E9" s="354"/>
      <c r="F9" s="354"/>
      <c r="G9" s="355" t="s">
        <v>319</v>
      </c>
      <c r="H9" s="355" t="s">
        <v>320</v>
      </c>
      <c r="I9" s="355" t="s">
        <v>320</v>
      </c>
      <c r="J9" s="355" t="s">
        <v>319</v>
      </c>
      <c r="K9" s="355" t="s">
        <v>319</v>
      </c>
      <c r="L9" s="355" t="s">
        <v>320</v>
      </c>
      <c r="M9" s="355" t="s">
        <v>321</v>
      </c>
      <c r="N9" s="355" t="s">
        <v>318</v>
      </c>
      <c r="O9" s="355" t="s">
        <v>321</v>
      </c>
      <c r="P9" s="355" t="s">
        <v>321</v>
      </c>
      <c r="Q9" s="356" t="s">
        <v>320</v>
      </c>
      <c r="R9" s="353">
        <v>1.42</v>
      </c>
    </row>
    <row r="10" spans="1:18">
      <c r="A10" s="353">
        <v>1</v>
      </c>
      <c r="B10" s="354"/>
      <c r="C10" s="354"/>
      <c r="D10" s="354"/>
      <c r="E10" s="354"/>
      <c r="F10" s="355" t="s">
        <v>319</v>
      </c>
      <c r="G10" s="355" t="s">
        <v>320</v>
      </c>
      <c r="H10" s="355" t="s">
        <v>319</v>
      </c>
      <c r="I10" s="355" t="s">
        <v>319</v>
      </c>
      <c r="J10" s="355" t="s">
        <v>321</v>
      </c>
      <c r="K10" s="355" t="s">
        <v>320</v>
      </c>
      <c r="L10" s="355" t="s">
        <v>321</v>
      </c>
      <c r="M10" s="355" t="s">
        <v>319</v>
      </c>
      <c r="N10" s="355" t="s">
        <v>320</v>
      </c>
      <c r="O10" s="355" t="s">
        <v>320</v>
      </c>
      <c r="P10" s="355" t="s">
        <v>321</v>
      </c>
      <c r="Q10" s="356" t="s">
        <v>321</v>
      </c>
      <c r="R10" s="353">
        <v>1</v>
      </c>
    </row>
    <row r="11" spans="1:18">
      <c r="A11" s="353">
        <v>0.71</v>
      </c>
      <c r="B11" s="354"/>
      <c r="C11" s="354"/>
      <c r="D11" s="354"/>
      <c r="E11" s="355" t="s">
        <v>318</v>
      </c>
      <c r="F11" s="355" t="s">
        <v>321</v>
      </c>
      <c r="G11" s="355" t="s">
        <v>318</v>
      </c>
      <c r="H11" s="355" t="s">
        <v>321</v>
      </c>
      <c r="I11" s="355" t="s">
        <v>318</v>
      </c>
      <c r="J11" s="355" t="s">
        <v>318</v>
      </c>
      <c r="K11" s="355" t="s">
        <v>320</v>
      </c>
      <c r="L11" s="355" t="s">
        <v>321</v>
      </c>
      <c r="M11" s="355" t="s">
        <v>318</v>
      </c>
      <c r="N11" s="355" t="s">
        <v>318</v>
      </c>
      <c r="O11" s="355" t="s">
        <v>321</v>
      </c>
      <c r="P11" s="355" t="s">
        <v>320</v>
      </c>
      <c r="Q11" s="356" t="s">
        <v>318</v>
      </c>
      <c r="R11" s="353">
        <v>0.71</v>
      </c>
    </row>
    <row r="12" spans="1:18">
      <c r="A12" s="353">
        <v>0.5</v>
      </c>
      <c r="B12" s="354"/>
      <c r="C12" s="354"/>
      <c r="D12" s="355" t="s">
        <v>318</v>
      </c>
      <c r="E12" s="355" t="s">
        <v>320</v>
      </c>
      <c r="F12" s="355" t="s">
        <v>321</v>
      </c>
      <c r="G12" s="355" t="s">
        <v>318</v>
      </c>
      <c r="H12" s="355" t="s">
        <v>319</v>
      </c>
      <c r="I12" s="355" t="s">
        <v>319</v>
      </c>
      <c r="J12" s="355" t="s">
        <v>321</v>
      </c>
      <c r="K12" s="355" t="s">
        <v>321</v>
      </c>
      <c r="L12" s="355" t="s">
        <v>320</v>
      </c>
      <c r="M12" s="355" t="s">
        <v>320</v>
      </c>
      <c r="N12" s="355" t="s">
        <v>319</v>
      </c>
      <c r="O12" s="355" t="s">
        <v>320</v>
      </c>
      <c r="P12" s="355" t="s">
        <v>319</v>
      </c>
      <c r="Q12" s="356" t="s">
        <v>318</v>
      </c>
      <c r="R12" s="353">
        <v>0.5</v>
      </c>
    </row>
    <row r="13" spans="1:18">
      <c r="A13" s="353">
        <v>0.36</v>
      </c>
      <c r="B13" s="354"/>
      <c r="C13" s="357" t="s">
        <v>320</v>
      </c>
      <c r="D13" s="355" t="s">
        <v>320</v>
      </c>
      <c r="E13" s="355" t="s">
        <v>319</v>
      </c>
      <c r="F13" s="355" t="s">
        <v>318</v>
      </c>
      <c r="G13" s="355" t="s">
        <v>319</v>
      </c>
      <c r="H13" s="355" t="s">
        <v>321</v>
      </c>
      <c r="I13" s="355" t="s">
        <v>321</v>
      </c>
      <c r="J13" s="355" t="s">
        <v>320</v>
      </c>
      <c r="K13" s="355" t="s">
        <v>321</v>
      </c>
      <c r="L13" s="355" t="s">
        <v>321</v>
      </c>
      <c r="M13" s="355" t="s">
        <v>318</v>
      </c>
      <c r="N13" s="355" t="s">
        <v>321</v>
      </c>
      <c r="O13" s="355" t="s">
        <v>321</v>
      </c>
      <c r="P13" s="355" t="s">
        <v>319</v>
      </c>
      <c r="Q13" s="356" t="s">
        <v>320</v>
      </c>
      <c r="R13" s="353">
        <v>0.36</v>
      </c>
    </row>
    <row r="14" spans="1:18">
      <c r="A14" s="353">
        <v>0.25</v>
      </c>
      <c r="B14" s="358" t="s">
        <v>321</v>
      </c>
      <c r="C14" s="357" t="s">
        <v>319</v>
      </c>
      <c r="D14" s="355" t="s">
        <v>321</v>
      </c>
      <c r="E14" s="355" t="s">
        <v>321</v>
      </c>
      <c r="F14" s="355" t="s">
        <v>318</v>
      </c>
      <c r="G14" s="355" t="s">
        <v>320</v>
      </c>
      <c r="H14" s="355" t="s">
        <v>318</v>
      </c>
      <c r="I14" s="355" t="s">
        <v>320</v>
      </c>
      <c r="J14" s="355" t="s">
        <v>318</v>
      </c>
      <c r="K14" s="355" t="s">
        <v>320</v>
      </c>
      <c r="L14" s="355" t="s">
        <v>318</v>
      </c>
      <c r="M14" s="355" t="s">
        <v>320</v>
      </c>
      <c r="N14" s="355" t="s">
        <v>318</v>
      </c>
      <c r="O14" s="355" t="s">
        <v>318</v>
      </c>
      <c r="P14" s="355" t="s">
        <v>321</v>
      </c>
      <c r="Q14" s="356" t="s">
        <v>318</v>
      </c>
      <c r="R14" s="353">
        <v>0.25</v>
      </c>
    </row>
    <row r="15" spans="1:18">
      <c r="A15" s="353">
        <v>0.2</v>
      </c>
      <c r="B15" s="357" t="s">
        <v>318</v>
      </c>
      <c r="C15" s="357" t="s">
        <v>318</v>
      </c>
      <c r="D15" s="355" t="s">
        <v>321</v>
      </c>
      <c r="E15" s="355" t="s">
        <v>318</v>
      </c>
      <c r="F15" s="355" t="s">
        <v>320</v>
      </c>
      <c r="G15" s="355" t="s">
        <v>321</v>
      </c>
      <c r="H15" s="355" t="s">
        <v>318</v>
      </c>
      <c r="I15" s="355" t="s">
        <v>320</v>
      </c>
      <c r="J15" s="355" t="s">
        <v>321</v>
      </c>
      <c r="K15" s="355" t="s">
        <v>319</v>
      </c>
      <c r="L15" s="355" t="s">
        <v>318</v>
      </c>
      <c r="M15" s="355" t="s">
        <v>320</v>
      </c>
      <c r="N15" s="355" t="s">
        <v>320</v>
      </c>
      <c r="O15" s="355" t="s">
        <v>321</v>
      </c>
      <c r="P15" s="355" t="s">
        <v>321</v>
      </c>
      <c r="Q15" s="356" t="s">
        <v>318</v>
      </c>
      <c r="R15" s="353">
        <v>0.2</v>
      </c>
    </row>
    <row r="16" spans="1:18">
      <c r="A16" s="353">
        <v>0.16</v>
      </c>
      <c r="B16" s="357" t="s">
        <v>319</v>
      </c>
      <c r="C16" s="357" t="s">
        <v>319</v>
      </c>
      <c r="D16" s="355" t="s">
        <v>320</v>
      </c>
      <c r="E16" s="355" t="s">
        <v>321</v>
      </c>
      <c r="F16" s="355" t="s">
        <v>318</v>
      </c>
      <c r="G16" s="355" t="s">
        <v>319</v>
      </c>
      <c r="H16" s="355" t="s">
        <v>321</v>
      </c>
      <c r="I16" s="355" t="s">
        <v>319</v>
      </c>
      <c r="J16" s="355" t="s">
        <v>318</v>
      </c>
      <c r="K16" s="355" t="s">
        <v>319</v>
      </c>
      <c r="L16" s="355" t="s">
        <v>321</v>
      </c>
      <c r="M16" s="355" t="s">
        <v>318</v>
      </c>
      <c r="N16" s="355" t="s">
        <v>321</v>
      </c>
      <c r="O16" s="355" t="s">
        <v>318</v>
      </c>
      <c r="P16" s="355" t="s">
        <v>318</v>
      </c>
      <c r="Q16" s="356" t="s">
        <v>320</v>
      </c>
      <c r="R16" s="353">
        <v>0.16</v>
      </c>
    </row>
    <row r="17" spans="1:18">
      <c r="A17" s="353">
        <v>0.13</v>
      </c>
      <c r="B17" s="357" t="s">
        <v>318</v>
      </c>
      <c r="C17" s="357" t="s">
        <v>321</v>
      </c>
      <c r="D17" s="355" t="s">
        <v>319</v>
      </c>
      <c r="E17" s="355" t="s">
        <v>319</v>
      </c>
      <c r="F17" s="355" t="s">
        <v>320</v>
      </c>
      <c r="G17" s="355" t="s">
        <v>320</v>
      </c>
      <c r="H17" s="355" t="s">
        <v>319</v>
      </c>
      <c r="I17" s="355" t="s">
        <v>320</v>
      </c>
      <c r="J17" s="355" t="s">
        <v>318</v>
      </c>
      <c r="K17" s="355" t="s">
        <v>321</v>
      </c>
      <c r="L17" s="355" t="s">
        <v>320</v>
      </c>
      <c r="M17" s="355" t="s">
        <v>318</v>
      </c>
      <c r="N17" s="355" t="s">
        <v>320</v>
      </c>
      <c r="O17" s="355" t="s">
        <v>319</v>
      </c>
      <c r="P17" s="355" t="s">
        <v>321</v>
      </c>
      <c r="Q17" s="352"/>
      <c r="R17" s="353">
        <v>0.13</v>
      </c>
    </row>
    <row r="18" spans="1:18">
      <c r="A18" s="353">
        <v>0.1</v>
      </c>
      <c r="B18" s="357" t="s">
        <v>321</v>
      </c>
      <c r="C18" s="357" t="s">
        <v>321</v>
      </c>
      <c r="D18" s="355" t="s">
        <v>320</v>
      </c>
      <c r="E18" s="355" t="s">
        <v>318</v>
      </c>
      <c r="F18" s="355" t="s">
        <v>319</v>
      </c>
      <c r="G18" s="355" t="s">
        <v>319</v>
      </c>
      <c r="H18" s="355" t="s">
        <v>318</v>
      </c>
      <c r="I18" s="355" t="s">
        <v>321</v>
      </c>
      <c r="J18" s="355" t="s">
        <v>320</v>
      </c>
      <c r="K18" s="355" t="s">
        <v>321</v>
      </c>
      <c r="L18" s="355" t="s">
        <v>318</v>
      </c>
      <c r="M18" s="355" t="s">
        <v>320</v>
      </c>
      <c r="N18" s="355" t="s">
        <v>320</v>
      </c>
      <c r="O18" s="359" t="s">
        <v>318</v>
      </c>
      <c r="P18" s="352"/>
      <c r="Q18" s="352"/>
      <c r="R18" s="353">
        <v>0.1</v>
      </c>
    </row>
    <row r="19" spans="1:18">
      <c r="A19" s="353">
        <v>0.08</v>
      </c>
      <c r="B19" s="357" t="s">
        <v>320</v>
      </c>
      <c r="C19" s="357" t="s">
        <v>318</v>
      </c>
      <c r="D19" s="355" t="s">
        <v>320</v>
      </c>
      <c r="E19" s="355" t="s">
        <v>321</v>
      </c>
      <c r="F19" s="355" t="s">
        <v>318</v>
      </c>
      <c r="G19" s="355" t="s">
        <v>318</v>
      </c>
      <c r="H19" s="355" t="s">
        <v>320</v>
      </c>
      <c r="I19" s="355" t="s">
        <v>321</v>
      </c>
      <c r="J19" s="355" t="s">
        <v>319</v>
      </c>
      <c r="K19" s="355" t="s">
        <v>319</v>
      </c>
      <c r="L19" s="355" t="s">
        <v>320</v>
      </c>
      <c r="M19" s="355" t="s">
        <v>319</v>
      </c>
      <c r="N19" s="355" t="s">
        <v>318</v>
      </c>
      <c r="O19" s="352"/>
      <c r="P19" s="352"/>
      <c r="Q19" s="352"/>
      <c r="R19" s="353">
        <v>0.08</v>
      </c>
    </row>
    <row r="20" spans="1:18">
      <c r="A20" s="353">
        <v>0.06</v>
      </c>
      <c r="B20" s="357" t="s">
        <v>319</v>
      </c>
      <c r="C20" s="357" t="s">
        <v>321</v>
      </c>
      <c r="D20" s="355" t="s">
        <v>319</v>
      </c>
      <c r="E20" s="355" t="s">
        <v>320</v>
      </c>
      <c r="F20" s="355" t="s">
        <v>319</v>
      </c>
      <c r="G20" s="355" t="s">
        <v>320</v>
      </c>
      <c r="H20" s="355" t="s">
        <v>320</v>
      </c>
      <c r="I20" s="355" t="s">
        <v>318</v>
      </c>
      <c r="J20" s="355" t="s">
        <v>320</v>
      </c>
      <c r="K20" s="355" t="s">
        <v>318</v>
      </c>
      <c r="L20" s="355" t="s">
        <v>321</v>
      </c>
      <c r="M20" s="359" t="s">
        <v>320</v>
      </c>
      <c r="N20" s="352"/>
      <c r="O20" s="352"/>
      <c r="P20" s="352"/>
      <c r="Q20" s="352"/>
      <c r="R20" s="353">
        <v>0.06</v>
      </c>
    </row>
    <row r="21" spans="1:18">
      <c r="A21" s="353">
        <v>0.05</v>
      </c>
      <c r="B21" s="357" t="s">
        <v>318</v>
      </c>
      <c r="C21" s="357" t="s">
        <v>318</v>
      </c>
      <c r="D21" s="355" t="s">
        <v>319</v>
      </c>
      <c r="E21" s="355" t="s">
        <v>321</v>
      </c>
      <c r="F21" s="355" t="s">
        <v>321</v>
      </c>
      <c r="G21" s="355" t="s">
        <v>319</v>
      </c>
      <c r="H21" s="355" t="s">
        <v>318</v>
      </c>
      <c r="I21" s="355" t="s">
        <v>319</v>
      </c>
      <c r="J21" s="355" t="s">
        <v>319</v>
      </c>
      <c r="K21" s="355" t="s">
        <v>320</v>
      </c>
      <c r="L21" s="355" t="s">
        <v>319</v>
      </c>
      <c r="M21" s="352"/>
      <c r="N21" s="352"/>
      <c r="O21" s="352"/>
      <c r="P21" s="352"/>
      <c r="Q21" s="352"/>
      <c r="R21" s="353">
        <v>0.05</v>
      </c>
    </row>
    <row r="22" spans="1:18">
      <c r="A22" s="353">
        <v>0.04</v>
      </c>
      <c r="B22" s="359" t="s">
        <v>321</v>
      </c>
      <c r="C22" s="355" t="s">
        <v>319</v>
      </c>
      <c r="D22" s="355" t="s">
        <v>321</v>
      </c>
      <c r="E22" s="355" t="s">
        <v>320</v>
      </c>
      <c r="F22" s="355" t="s">
        <v>319</v>
      </c>
      <c r="G22" s="355" t="s">
        <v>318</v>
      </c>
      <c r="H22" s="355" t="s">
        <v>320</v>
      </c>
      <c r="I22" s="355" t="s">
        <v>319</v>
      </c>
      <c r="J22" s="355" t="s">
        <v>321</v>
      </c>
      <c r="K22" s="355" t="s">
        <v>318</v>
      </c>
      <c r="L22" s="352"/>
      <c r="M22" s="352"/>
      <c r="N22" s="352"/>
      <c r="O22" s="352"/>
      <c r="P22" s="352"/>
      <c r="Q22" s="352"/>
      <c r="R22" s="353">
        <v>0.04</v>
      </c>
    </row>
    <row r="23" spans="1:18">
      <c r="A23" s="360">
        <v>0.03</v>
      </c>
      <c r="B23" s="352"/>
      <c r="C23" s="359" t="s">
        <v>319</v>
      </c>
      <c r="D23" s="359" t="s">
        <v>319</v>
      </c>
      <c r="E23" s="359" t="s">
        <v>318</v>
      </c>
      <c r="F23" s="359" t="s">
        <v>319</v>
      </c>
      <c r="G23" s="359" t="s">
        <v>320</v>
      </c>
      <c r="H23" s="359" t="s">
        <v>319</v>
      </c>
      <c r="I23" s="359" t="s">
        <v>318</v>
      </c>
      <c r="J23" s="359" t="s">
        <v>321</v>
      </c>
      <c r="K23" s="352"/>
      <c r="L23" s="352"/>
      <c r="M23" s="352"/>
      <c r="N23" s="352"/>
      <c r="O23" s="352"/>
      <c r="P23" s="352"/>
      <c r="Q23" s="352"/>
      <c r="R23" s="360">
        <v>0.03</v>
      </c>
    </row>
    <row r="24" spans="1:18">
      <c r="J24" s="340"/>
      <c r="K24" s="340"/>
      <c r="L24" s="340"/>
      <c r="M24" s="340"/>
      <c r="N24" s="340"/>
      <c r="O24" s="340"/>
    </row>
    <row r="25" spans="1:18">
      <c r="J25" s="340"/>
      <c r="K25" s="340"/>
      <c r="L25" s="340"/>
      <c r="M25" s="340"/>
      <c r="N25" s="340"/>
      <c r="O25" s="340"/>
    </row>
    <row r="26" spans="1:18">
      <c r="J26" s="340"/>
      <c r="K26" s="340"/>
      <c r="L26" s="340"/>
      <c r="M26" s="340"/>
      <c r="N26" s="340"/>
      <c r="O26" s="340"/>
    </row>
    <row r="27" spans="1:18">
      <c r="J27" s="340"/>
      <c r="K27" s="340"/>
      <c r="L27" s="340"/>
      <c r="M27" s="340"/>
      <c r="N27" s="340"/>
      <c r="O27" s="340"/>
    </row>
    <row r="28" spans="1:18">
      <c r="J28" s="340"/>
      <c r="K28" s="340"/>
      <c r="L28" s="340"/>
      <c r="M28" s="340"/>
      <c r="N28" s="340"/>
      <c r="O28" s="340"/>
    </row>
    <row r="29" spans="1:18">
      <c r="J29" s="340"/>
      <c r="K29" s="340"/>
      <c r="L29" s="340"/>
      <c r="M29" s="340"/>
      <c r="N29" s="340"/>
      <c r="O29" s="340"/>
    </row>
  </sheetData>
  <sheetProtection sheet="1" objects="1" scenarios="1" selectLockedCells="1" selectUnlockedCells="1"/>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0"/>
  <sheetViews>
    <sheetView showGridLines="0" tabSelected="1" topLeftCell="A16" zoomScale="85" zoomScaleNormal="85" zoomScaleSheetLayoutView="100" workbookViewId="0">
      <selection activeCell="C48" sqref="C48:C51"/>
    </sheetView>
  </sheetViews>
  <sheetFormatPr defaultRowHeight="12.75"/>
  <cols>
    <col min="1" max="1" width="5.85546875" customWidth="1"/>
    <col min="2" max="2" width="9.85546875" customWidth="1"/>
    <col min="3" max="3" width="10.28515625" customWidth="1"/>
    <col min="5" max="5" width="11.42578125" customWidth="1"/>
    <col min="6" max="6" width="10.140625" bestFit="1" customWidth="1"/>
    <col min="7" max="8" width="10.140625" customWidth="1"/>
    <col min="11" max="11" width="16.28515625" customWidth="1"/>
  </cols>
  <sheetData>
    <row r="1" spans="1:17" ht="18">
      <c r="A1" s="12" t="s">
        <v>415</v>
      </c>
      <c r="C1" s="4"/>
      <c r="D1" s="4"/>
      <c r="E1" s="4"/>
      <c r="F1" s="4"/>
      <c r="G1" s="4"/>
      <c r="H1" s="4"/>
      <c r="I1" s="4"/>
    </row>
    <row r="2" spans="1:17" ht="18">
      <c r="A2" s="12"/>
      <c r="B2" s="662"/>
      <c r="C2" s="662"/>
      <c r="D2" s="662"/>
      <c r="E2" s="662"/>
      <c r="F2" s="662"/>
      <c r="G2" s="662"/>
      <c r="H2" s="662"/>
      <c r="I2" s="662"/>
      <c r="L2" s="815" t="s">
        <v>462</v>
      </c>
    </row>
    <row r="3" spans="1:17" ht="14.25">
      <c r="A3" s="123" t="s">
        <v>90</v>
      </c>
      <c r="B3" s="2"/>
      <c r="C3" s="1"/>
      <c r="D3" s="1"/>
      <c r="E3" s="1"/>
      <c r="F3" s="1"/>
      <c r="G3" s="1"/>
      <c r="H3" s="1"/>
      <c r="I3" s="1"/>
      <c r="M3" s="816" t="s">
        <v>463</v>
      </c>
      <c r="N3" s="817"/>
      <c r="O3" s="817"/>
      <c r="P3" s="817"/>
      <c r="Q3" s="817"/>
    </row>
    <row r="4" spans="1:17">
      <c r="A4" s="32" t="s">
        <v>416</v>
      </c>
      <c r="B4" s="2"/>
      <c r="C4" s="1"/>
      <c r="D4" s="1"/>
      <c r="E4" s="1"/>
      <c r="F4" s="1"/>
      <c r="G4" s="1"/>
      <c r="H4" s="1"/>
      <c r="I4" s="1"/>
      <c r="L4" s="815" t="s">
        <v>82</v>
      </c>
      <c r="M4">
        <v>26</v>
      </c>
      <c r="N4">
        <v>29</v>
      </c>
      <c r="O4">
        <v>32</v>
      </c>
      <c r="P4">
        <v>35</v>
      </c>
      <c r="Q4">
        <v>38</v>
      </c>
    </row>
    <row r="5" spans="1:17">
      <c r="A5" s="5"/>
      <c r="B5" s="124"/>
      <c r="C5" s="5"/>
      <c r="D5" s="5"/>
      <c r="E5" s="5"/>
      <c r="F5" s="5"/>
      <c r="G5" s="5"/>
      <c r="H5" s="5"/>
      <c r="I5" s="1"/>
      <c r="L5">
        <v>26</v>
      </c>
      <c r="M5">
        <v>1</v>
      </c>
      <c r="N5">
        <v>0.94</v>
      </c>
      <c r="O5">
        <v>0.89</v>
      </c>
      <c r="P5">
        <v>0.84</v>
      </c>
      <c r="Q5">
        <v>0.8</v>
      </c>
    </row>
    <row r="6" spans="1:17" ht="14.25">
      <c r="A6" s="113" t="s">
        <v>143</v>
      </c>
      <c r="B6" s="1"/>
      <c r="C6" s="1"/>
      <c r="D6" s="1"/>
      <c r="E6" s="1"/>
      <c r="F6" s="1"/>
      <c r="G6" s="1"/>
      <c r="H6" s="1"/>
      <c r="I6" s="1"/>
      <c r="L6">
        <v>29</v>
      </c>
      <c r="M6">
        <v>1.07</v>
      </c>
      <c r="N6">
        <v>1</v>
      </c>
      <c r="O6">
        <v>0.94</v>
      </c>
      <c r="P6">
        <v>0.9</v>
      </c>
      <c r="Q6">
        <v>0.85</v>
      </c>
    </row>
    <row r="7" spans="1:17">
      <c r="A7" t="s">
        <v>144</v>
      </c>
      <c r="B7" s="125"/>
      <c r="C7" s="1"/>
      <c r="D7" s="1"/>
      <c r="E7" s="1"/>
      <c r="F7" s="1"/>
      <c r="G7" s="1"/>
      <c r="H7" s="1"/>
      <c r="I7" s="1"/>
      <c r="L7">
        <v>32</v>
      </c>
      <c r="M7">
        <v>1.1299999999999999</v>
      </c>
      <c r="N7">
        <v>1.06</v>
      </c>
      <c r="O7">
        <v>1</v>
      </c>
      <c r="P7">
        <v>0.95</v>
      </c>
      <c r="Q7">
        <v>0.9</v>
      </c>
    </row>
    <row r="8" spans="1:17">
      <c r="A8" s="126"/>
      <c r="B8" s="126"/>
      <c r="C8" s="5"/>
      <c r="D8" s="5"/>
      <c r="E8" s="5"/>
      <c r="F8" s="5"/>
      <c r="G8" s="5"/>
      <c r="H8" s="5"/>
      <c r="I8" s="1"/>
      <c r="L8">
        <v>35</v>
      </c>
      <c r="M8">
        <v>1.19</v>
      </c>
      <c r="N8">
        <v>1.1200000000000001</v>
      </c>
      <c r="O8">
        <v>1.05</v>
      </c>
      <c r="P8">
        <v>1</v>
      </c>
      <c r="Q8">
        <v>0.95</v>
      </c>
    </row>
    <row r="9" spans="1:17" ht="14.25">
      <c r="A9" s="123" t="s">
        <v>145</v>
      </c>
      <c r="B9" s="125"/>
      <c r="C9" s="1"/>
      <c r="D9" s="1"/>
      <c r="E9" s="1"/>
      <c r="F9" s="1"/>
      <c r="G9" s="1"/>
      <c r="H9" s="1"/>
      <c r="I9" s="1"/>
      <c r="L9">
        <v>38</v>
      </c>
      <c r="M9">
        <v>1.26</v>
      </c>
      <c r="N9">
        <v>1.18</v>
      </c>
      <c r="O9">
        <v>1.1100000000000001</v>
      </c>
      <c r="P9">
        <v>1.06</v>
      </c>
      <c r="Q9">
        <v>1</v>
      </c>
    </row>
    <row r="10" spans="1:17" ht="14.25">
      <c r="A10" s="123"/>
      <c r="B10" s="125"/>
      <c r="C10" s="2" t="s">
        <v>139</v>
      </c>
      <c r="D10" s="1"/>
      <c r="E10" s="1"/>
      <c r="F10" s="397"/>
      <c r="G10" s="1"/>
      <c r="H10" s="1"/>
      <c r="I10" s="1"/>
    </row>
    <row r="11" spans="1:17">
      <c r="C11" s="9" t="s">
        <v>97</v>
      </c>
      <c r="D11" s="4"/>
      <c r="E11" s="4"/>
      <c r="F11" s="397"/>
      <c r="G11" s="29" t="s">
        <v>82</v>
      </c>
      <c r="H11" s="4"/>
      <c r="I11" s="4"/>
    </row>
    <row r="12" spans="1:17">
      <c r="B12" s="16"/>
      <c r="C12" s="4"/>
      <c r="D12" s="4"/>
      <c r="F12" s="397"/>
      <c r="G12" s="29" t="s">
        <v>81</v>
      </c>
      <c r="H12" s="9"/>
      <c r="I12" s="4"/>
    </row>
    <row r="13" spans="1:17">
      <c r="B13" s="16"/>
      <c r="C13" s="4"/>
      <c r="D13" s="4"/>
      <c r="F13" s="397"/>
      <c r="G13" s="29" t="s">
        <v>107</v>
      </c>
      <c r="H13" s="9"/>
      <c r="I13" s="4"/>
    </row>
    <row r="14" spans="1:17">
      <c r="B14" s="16"/>
      <c r="C14" s="4"/>
      <c r="D14" s="4"/>
      <c r="F14" s="52"/>
      <c r="G14" s="29"/>
      <c r="H14" s="9"/>
      <c r="I14" s="4"/>
    </row>
    <row r="15" spans="1:17">
      <c r="B15" s="16"/>
      <c r="C15" s="9" t="s">
        <v>152</v>
      </c>
      <c r="D15" s="4"/>
      <c r="E15" s="133" t="str">
        <f>IF(ISNUMBER(F11),0.0005*(F11-32)^2-0.0192 *(F11-32)+1,"---")</f>
        <v>---</v>
      </c>
      <c r="F15" s="52"/>
      <c r="G15" s="29"/>
      <c r="H15" s="9"/>
      <c r="I15" s="4"/>
    </row>
    <row r="16" spans="1:17">
      <c r="B16" s="16"/>
      <c r="C16" s="4"/>
      <c r="D16" s="4"/>
      <c r="F16" s="52"/>
      <c r="G16" s="29"/>
      <c r="H16" s="9"/>
      <c r="I16" s="4"/>
    </row>
    <row r="17" spans="1:9">
      <c r="B17" s="21"/>
      <c r="C17" s="1"/>
      <c r="D17" s="1"/>
      <c r="E17" s="1"/>
      <c r="F17" s="22" t="s">
        <v>98</v>
      </c>
      <c r="G17" s="22" t="s">
        <v>99</v>
      </c>
      <c r="H17" s="22" t="s">
        <v>100</v>
      </c>
      <c r="I17" s="2"/>
    </row>
    <row r="18" spans="1:9">
      <c r="B18" s="1"/>
      <c r="C18" s="1" t="s">
        <v>105</v>
      </c>
      <c r="D18" s="1"/>
      <c r="E18" s="1" t="s">
        <v>461</v>
      </c>
      <c r="F18" s="409"/>
      <c r="G18" s="409"/>
      <c r="H18" s="409"/>
      <c r="I18" s="58"/>
    </row>
    <row r="19" spans="1:9">
      <c r="B19" s="661" t="s">
        <v>101</v>
      </c>
      <c r="C19" s="1" t="s">
        <v>87</v>
      </c>
      <c r="D19" s="1"/>
      <c r="E19" s="3"/>
      <c r="F19" s="409"/>
      <c r="G19" s="409"/>
      <c r="H19" s="409"/>
      <c r="I19" s="55"/>
    </row>
    <row r="20" spans="1:9">
      <c r="B20" s="661"/>
      <c r="C20" s="1" t="s">
        <v>88</v>
      </c>
      <c r="D20" s="1"/>
      <c r="E20" s="1"/>
      <c r="F20" s="409"/>
      <c r="G20" s="409"/>
      <c r="H20" s="409"/>
      <c r="I20" s="57"/>
    </row>
    <row r="21" spans="1:9">
      <c r="B21" s="1"/>
      <c r="C21" s="1" t="s">
        <v>102</v>
      </c>
      <c r="D21" s="1"/>
      <c r="E21" s="1"/>
      <c r="F21" s="135" t="e">
        <f>F18/F19</f>
        <v>#DIV/0!</v>
      </c>
      <c r="G21" s="135" t="e">
        <f>G18/G19</f>
        <v>#DIV/0!</v>
      </c>
      <c r="H21" s="135" t="e">
        <f>H18/H19</f>
        <v>#DIV/0!</v>
      </c>
      <c r="I21" s="55"/>
    </row>
    <row r="22" spans="1:9" ht="13.5" thickBot="1">
      <c r="B22" s="137"/>
      <c r="C22" s="137" t="s">
        <v>103</v>
      </c>
      <c r="D22" s="137"/>
      <c r="E22" s="137"/>
      <c r="F22" s="138" t="e">
        <f>F20/F21</f>
        <v>#DIV/0!</v>
      </c>
      <c r="G22" s="138" t="e">
        <f>G20/G21</f>
        <v>#DIV/0!</v>
      </c>
      <c r="H22" s="138" t="e">
        <f>H20/H21</f>
        <v>#DIV/0!</v>
      </c>
      <c r="I22" s="56"/>
    </row>
    <row r="23" spans="1:9">
      <c r="B23" s="1"/>
      <c r="C23" s="1" t="s">
        <v>105</v>
      </c>
      <c r="D23" s="1"/>
      <c r="E23" s="1" t="s">
        <v>460</v>
      </c>
      <c r="F23" s="410"/>
      <c r="G23" s="410"/>
      <c r="H23" s="410"/>
      <c r="I23" s="58"/>
    </row>
    <row r="24" spans="1:9">
      <c r="B24" s="661" t="s">
        <v>104</v>
      </c>
      <c r="C24" s="1" t="s">
        <v>87</v>
      </c>
      <c r="D24" s="1"/>
      <c r="E24" s="1"/>
      <c r="F24" s="409"/>
      <c r="G24" s="409"/>
      <c r="H24" s="409"/>
      <c r="I24" s="55"/>
    </row>
    <row r="25" spans="1:9">
      <c r="B25" s="661"/>
      <c r="C25" s="1" t="s">
        <v>88</v>
      </c>
      <c r="D25" s="1"/>
      <c r="E25" s="1"/>
      <c r="F25" s="409"/>
      <c r="G25" s="409"/>
      <c r="H25" s="409"/>
      <c r="I25" s="57"/>
    </row>
    <row r="26" spans="1:9">
      <c r="B26" s="1"/>
      <c r="C26" s="1" t="s">
        <v>102</v>
      </c>
      <c r="D26" s="1"/>
      <c r="E26" s="1"/>
      <c r="F26" s="135" t="e">
        <f>F23/F24</f>
        <v>#DIV/0!</v>
      </c>
      <c r="G26" s="135" t="e">
        <f>G23/G24</f>
        <v>#DIV/0!</v>
      </c>
      <c r="H26" s="135" t="e">
        <f>H23/H24</f>
        <v>#DIV/0!</v>
      </c>
      <c r="I26" s="55"/>
    </row>
    <row r="27" spans="1:9" ht="13.5" thickBot="1">
      <c r="B27" s="137"/>
      <c r="C27" s="137" t="s">
        <v>103</v>
      </c>
      <c r="D27" s="137"/>
      <c r="E27" s="137"/>
      <c r="F27" s="138" t="e">
        <f>F25/F26</f>
        <v>#DIV/0!</v>
      </c>
      <c r="G27" s="138" t="e">
        <f>G25/G26</f>
        <v>#DIV/0!</v>
      </c>
      <c r="H27" s="138" t="e">
        <f>H25/H26</f>
        <v>#DIV/0!</v>
      </c>
      <c r="I27" s="56"/>
    </row>
    <row r="28" spans="1:9">
      <c r="B28" s="1"/>
      <c r="C28" s="44" t="s">
        <v>161</v>
      </c>
      <c r="D28" s="1"/>
      <c r="E28" s="1"/>
      <c r="F28" s="139" t="str">
        <f>IF(ISBLANK(F25),"",ABS(F25)+ABS(F20))</f>
        <v/>
      </c>
      <c r="G28" s="139" t="str">
        <f>IF(ISBLANK(G25),"",ABS(G25)+ABS(G20))</f>
        <v/>
      </c>
      <c r="H28" s="139" t="str">
        <f>IF(ISBLANK(H25),"",ABS(H25)+ABS(H20))</f>
        <v/>
      </c>
      <c r="I28" s="57"/>
    </row>
    <row r="29" spans="1:9">
      <c r="B29" s="1"/>
      <c r="C29" s="44" t="s">
        <v>153</v>
      </c>
      <c r="D29" s="1"/>
      <c r="E29" s="1"/>
      <c r="F29" s="136" t="str">
        <f>IF(ISNUMBER(F28),F28*$E15,"---")</f>
        <v>---</v>
      </c>
      <c r="G29" s="136" t="str">
        <f>IF(ISNUMBER(G28),G28*$E15,"---")</f>
        <v>---</v>
      </c>
      <c r="H29" s="136" t="str">
        <f>IF(ISNUMBER(H28),H28*$E15,"---")</f>
        <v>---</v>
      </c>
      <c r="I29" s="57"/>
    </row>
    <row r="30" spans="1:9">
      <c r="B30" s="1"/>
      <c r="C30" s="2"/>
      <c r="D30" s="1"/>
      <c r="E30" s="1"/>
      <c r="F30" s="134"/>
      <c r="G30" s="134"/>
      <c r="H30" s="134"/>
      <c r="I30" s="57"/>
    </row>
    <row r="31" spans="1:9">
      <c r="A31" s="5"/>
      <c r="B31" s="5"/>
      <c r="C31" s="5"/>
      <c r="D31" s="5"/>
      <c r="E31" s="128"/>
      <c r="F31" s="129"/>
      <c r="G31" s="124"/>
      <c r="H31" s="5"/>
      <c r="I31" s="1"/>
    </row>
    <row r="32" spans="1:9" ht="14.25">
      <c r="A32" s="123" t="s">
        <v>146</v>
      </c>
      <c r="B32" s="1"/>
      <c r="C32" s="1"/>
      <c r="D32" s="1"/>
      <c r="E32" s="72"/>
      <c r="F32" s="130"/>
      <c r="G32" s="1"/>
      <c r="H32" s="1"/>
      <c r="I32" s="1"/>
    </row>
    <row r="33" spans="1:9">
      <c r="C33" s="30" t="s">
        <v>154</v>
      </c>
      <c r="D33" s="10"/>
      <c r="F33" s="133" t="str">
        <f>IF(F29="---","---",AVERAGE(F29:H29))</f>
        <v>---</v>
      </c>
      <c r="G33" s="10"/>
      <c r="H33" s="10"/>
      <c r="I33" s="31"/>
    </row>
    <row r="34" spans="1:9">
      <c r="C34" s="30" t="s">
        <v>157</v>
      </c>
      <c r="D34" s="10"/>
      <c r="F34" s="140" t="str">
        <f>IF(E38="","---",(F33-E38)/E38)</f>
        <v>---</v>
      </c>
      <c r="G34" s="10"/>
      <c r="H34" s="10"/>
      <c r="I34" s="31"/>
    </row>
    <row r="35" spans="1:9">
      <c r="A35" s="5"/>
      <c r="B35" s="5"/>
      <c r="C35" s="5"/>
      <c r="D35" s="5"/>
      <c r="E35" s="5"/>
      <c r="F35" s="5"/>
      <c r="G35" s="5"/>
      <c r="H35" s="5"/>
      <c r="I35" s="1"/>
    </row>
    <row r="36" spans="1:9" ht="14.25">
      <c r="A36" s="123" t="s">
        <v>148</v>
      </c>
      <c r="B36" s="1"/>
      <c r="C36" s="1"/>
      <c r="D36" s="1"/>
      <c r="E36" s="1"/>
      <c r="F36" s="1"/>
      <c r="G36" s="1"/>
      <c r="H36" s="1"/>
      <c r="I36" s="1"/>
    </row>
    <row r="37" spans="1:9" ht="14.25">
      <c r="A37" s="123"/>
      <c r="B37" s="1"/>
      <c r="C37" s="1" t="s">
        <v>155</v>
      </c>
      <c r="D37" s="1"/>
      <c r="E37" s="1"/>
      <c r="F37" s="1"/>
      <c r="G37" s="1"/>
      <c r="H37" s="1"/>
      <c r="I37" s="1"/>
    </row>
    <row r="38" spans="1:9">
      <c r="A38" s="1"/>
      <c r="B38" s="1"/>
      <c r="C38" s="1" t="s">
        <v>156</v>
      </c>
      <c r="D38" s="1"/>
      <c r="E38" s="397"/>
      <c r="F38" s="1"/>
      <c r="G38" s="1"/>
      <c r="H38" s="1"/>
      <c r="I38" s="1"/>
    </row>
    <row r="39" spans="1:9">
      <c r="A39" s="1"/>
      <c r="B39" s="44"/>
      <c r="C39" s="1"/>
      <c r="D39" s="1"/>
      <c r="E39" s="1"/>
      <c r="F39" s="1"/>
      <c r="G39" s="1"/>
      <c r="H39" s="1"/>
      <c r="I39" s="1"/>
    </row>
    <row r="40" spans="1:9">
      <c r="A40" s="5"/>
      <c r="B40" s="5"/>
      <c r="C40" s="5"/>
      <c r="D40" s="5"/>
      <c r="E40" s="5"/>
      <c r="F40" s="5"/>
      <c r="G40" s="5"/>
      <c r="H40" s="5"/>
      <c r="I40" s="1"/>
    </row>
    <row r="41" spans="1:9" ht="15" thickBot="1">
      <c r="A41" s="131" t="s">
        <v>92</v>
      </c>
      <c r="B41" s="132"/>
      <c r="C41" s="132"/>
      <c r="D41" s="1"/>
      <c r="E41" s="1"/>
      <c r="F41" s="1"/>
      <c r="G41" s="1"/>
      <c r="H41" s="1"/>
      <c r="I41" s="1"/>
    </row>
    <row r="42" spans="1:9" ht="16.5" thickBot="1">
      <c r="B42" s="15"/>
      <c r="C42" s="10"/>
      <c r="D42" s="10"/>
      <c r="E42" s="122" t="str">
        <f>IF(ISNUMBER(F34),IF(ABS(F34)&lt;0.1,"PASS","FAIL"),"---")</f>
        <v>---</v>
      </c>
      <c r="F42" s="10"/>
      <c r="G42" s="10"/>
      <c r="H42" s="10"/>
      <c r="I42" s="10"/>
    </row>
    <row r="43" spans="1:9">
      <c r="B43" s="10"/>
      <c r="C43" s="10"/>
      <c r="D43" s="10"/>
      <c r="E43" s="10"/>
      <c r="F43" s="10"/>
      <c r="G43" s="10"/>
      <c r="H43" s="10"/>
      <c r="I43" s="18"/>
    </row>
    <row r="44" spans="1:9" ht="14.25">
      <c r="A44" s="143" t="s">
        <v>159</v>
      </c>
      <c r="B44" s="144"/>
      <c r="C44" s="144"/>
      <c r="D44" s="144"/>
      <c r="E44" s="144"/>
      <c r="F44" s="144"/>
      <c r="G44" s="144"/>
      <c r="H44" s="144"/>
      <c r="I44" s="4"/>
    </row>
    <row r="45" spans="1:9">
      <c r="A45" s="564"/>
      <c r="B45" s="564"/>
      <c r="C45" s="564"/>
      <c r="D45" s="564"/>
      <c r="E45" s="564"/>
      <c r="F45" s="564"/>
      <c r="G45" s="564"/>
      <c r="H45" s="564"/>
      <c r="I45" s="4"/>
    </row>
    <row r="46" spans="1:9">
      <c r="A46" s="564"/>
      <c r="B46" s="818" t="s">
        <v>82</v>
      </c>
      <c r="C46" s="818" t="s">
        <v>464</v>
      </c>
      <c r="D46" s="564"/>
      <c r="E46" s="564"/>
      <c r="F46" s="564"/>
      <c r="G46" s="564"/>
      <c r="H46" s="564"/>
      <c r="I46" s="4"/>
    </row>
    <row r="47" spans="1:9">
      <c r="A47" s="564"/>
      <c r="B47" s="575">
        <v>26</v>
      </c>
      <c r="C47" s="819" t="str">
        <f>IF($F$33="---","",$F$33*(VLOOKUP(B47,$L$4:$Q$9,MATCH($F$11,$L$4:$Q$4,0))))</f>
        <v/>
      </c>
      <c r="D47" s="564"/>
      <c r="E47" s="564"/>
      <c r="F47" s="564"/>
      <c r="G47" s="564"/>
      <c r="H47" s="564"/>
      <c r="I47" s="4"/>
    </row>
    <row r="48" spans="1:9">
      <c r="A48" s="564"/>
      <c r="B48" s="575">
        <v>29</v>
      </c>
      <c r="C48" s="819" t="str">
        <f t="shared" ref="C48:C51" si="0">IF($F$33="---","",$F$33*(VLOOKUP(B48,$L$4:$Q$9,MATCH($F$11,$L$4:$Q$4,0))))</f>
        <v/>
      </c>
      <c r="D48" s="564"/>
      <c r="E48" s="564"/>
      <c r="F48" s="564"/>
      <c r="G48" s="564"/>
      <c r="H48" s="564"/>
      <c r="I48" s="4"/>
    </row>
    <row r="49" spans="1:9">
      <c r="A49" s="564"/>
      <c r="B49" s="820">
        <v>32</v>
      </c>
      <c r="C49" s="819" t="str">
        <f t="shared" si="0"/>
        <v/>
      </c>
      <c r="D49" s="564"/>
      <c r="E49" s="564"/>
      <c r="F49" s="564"/>
      <c r="G49" s="564"/>
      <c r="H49" s="564"/>
      <c r="I49" s="4"/>
    </row>
    <row r="50" spans="1:9">
      <c r="A50" s="564"/>
      <c r="B50" s="820">
        <v>35</v>
      </c>
      <c r="C50" s="819" t="str">
        <f t="shared" si="0"/>
        <v/>
      </c>
      <c r="D50" s="565"/>
      <c r="E50" s="565"/>
      <c r="F50" s="565"/>
      <c r="G50" s="565"/>
      <c r="H50" s="565"/>
      <c r="I50" s="4"/>
    </row>
    <row r="51" spans="1:9">
      <c r="A51" s="564"/>
      <c r="B51" s="820">
        <v>38</v>
      </c>
      <c r="C51" s="819" t="str">
        <f t="shared" si="0"/>
        <v/>
      </c>
      <c r="D51" s="565"/>
      <c r="E51" s="565"/>
      <c r="F51" s="565"/>
      <c r="G51" s="565"/>
      <c r="H51" s="565"/>
      <c r="I51" s="4"/>
    </row>
    <row r="52" spans="1:9">
      <c r="A52" s="564"/>
      <c r="B52" s="565"/>
      <c r="C52" s="565"/>
      <c r="D52" s="565"/>
      <c r="E52" s="565"/>
      <c r="F52" s="565"/>
      <c r="G52" s="565"/>
      <c r="H52" s="565"/>
      <c r="I52" s="4"/>
    </row>
    <row r="53" spans="1:9">
      <c r="A53" s="564"/>
      <c r="B53" s="565"/>
      <c r="C53" s="565"/>
      <c r="D53" s="565"/>
      <c r="E53" s="565"/>
      <c r="F53" s="565"/>
      <c r="G53" s="565"/>
      <c r="H53" s="565"/>
      <c r="I53" s="4"/>
    </row>
    <row r="54" spans="1:9">
      <c r="A54" s="564"/>
      <c r="B54" s="565"/>
      <c r="C54" s="565"/>
      <c r="D54" s="565"/>
      <c r="E54" s="565"/>
      <c r="F54" s="565"/>
      <c r="G54" s="565"/>
      <c r="H54" s="565"/>
      <c r="I54" s="4"/>
    </row>
    <row r="55" spans="1:9">
      <c r="A55" s="564"/>
      <c r="B55" s="565"/>
      <c r="C55" s="565"/>
      <c r="D55" s="565"/>
      <c r="E55" s="565"/>
      <c r="F55" s="565"/>
      <c r="G55" s="565"/>
      <c r="H55" s="565"/>
      <c r="I55" s="4"/>
    </row>
    <row r="56" spans="1:9">
      <c r="B56" s="4"/>
      <c r="C56" s="4"/>
      <c r="D56" s="4"/>
      <c r="E56" s="4"/>
      <c r="F56" s="4"/>
      <c r="G56" s="4"/>
      <c r="H56" s="4"/>
      <c r="I56" s="4"/>
    </row>
    <row r="57" spans="1:9">
      <c r="B57" s="4"/>
      <c r="C57" s="4"/>
      <c r="D57" s="4"/>
      <c r="E57" s="4"/>
      <c r="F57" s="4"/>
      <c r="G57" s="4"/>
      <c r="H57" s="4"/>
      <c r="I57" s="4"/>
    </row>
    <row r="58" spans="1:9">
      <c r="B58" s="9"/>
      <c r="C58" s="4"/>
      <c r="D58" s="4"/>
      <c r="E58" s="4"/>
      <c r="F58" s="4"/>
      <c r="G58" s="4"/>
      <c r="H58" s="4"/>
      <c r="I58" s="4"/>
    </row>
    <row r="59" spans="1:9">
      <c r="B59" s="4"/>
      <c r="C59" s="4"/>
      <c r="D59" s="4"/>
      <c r="E59" s="4"/>
      <c r="F59" s="4"/>
      <c r="G59" s="4"/>
      <c r="H59" s="4"/>
      <c r="I59" s="4"/>
    </row>
    <row r="60" spans="1:9">
      <c r="B60" s="4"/>
      <c r="C60" s="4"/>
      <c r="D60" s="4"/>
      <c r="E60" s="4"/>
      <c r="F60" s="4"/>
      <c r="G60" s="4"/>
      <c r="H60" s="4"/>
      <c r="I60" s="4"/>
    </row>
  </sheetData>
  <mergeCells count="4">
    <mergeCell ref="B24:B25"/>
    <mergeCell ref="B19:B20"/>
    <mergeCell ref="B2:I2"/>
    <mergeCell ref="M3:Q3"/>
  </mergeCells>
  <phoneticPr fontId="7" type="noConversion"/>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41"/>
  <sheetViews>
    <sheetView showGridLines="0" topLeftCell="A4" zoomScale="85" zoomScaleNormal="100" zoomScaleSheetLayoutView="100" workbookViewId="0">
      <selection activeCell="A2" sqref="A2"/>
    </sheetView>
  </sheetViews>
  <sheetFormatPr defaultRowHeight="12.75"/>
  <cols>
    <col min="1" max="1" width="4" customWidth="1"/>
    <col min="2" max="2" width="31.28515625" customWidth="1"/>
  </cols>
  <sheetData>
    <row r="1" spans="1:8" ht="27" customHeight="1">
      <c r="A1" s="12" t="s">
        <v>418</v>
      </c>
      <c r="B1" s="7"/>
    </row>
    <row r="3" spans="1:8" ht="14.25">
      <c r="A3" s="123" t="s">
        <v>90</v>
      </c>
      <c r="B3" s="2"/>
      <c r="C3" s="1"/>
      <c r="D3" s="1"/>
      <c r="E3" s="1"/>
      <c r="F3" s="1"/>
      <c r="G3" s="1"/>
      <c r="H3" s="1"/>
    </row>
    <row r="4" spans="1:8">
      <c r="A4" s="29" t="s">
        <v>165</v>
      </c>
      <c r="B4" s="2"/>
      <c r="C4" s="1"/>
      <c r="D4" s="1"/>
      <c r="E4" s="1"/>
      <c r="F4" s="1"/>
      <c r="G4" s="1"/>
      <c r="H4" s="1"/>
    </row>
    <row r="5" spans="1:8">
      <c r="A5" s="5"/>
      <c r="B5" s="124"/>
      <c r="C5" s="5"/>
      <c r="D5" s="5"/>
      <c r="E5" s="5"/>
      <c r="F5" s="5"/>
      <c r="G5" s="5"/>
      <c r="H5" s="5"/>
    </row>
    <row r="6" spans="1:8" ht="14.25">
      <c r="A6" s="113" t="s">
        <v>143</v>
      </c>
      <c r="B6" s="1"/>
      <c r="C6" s="1"/>
      <c r="D6" s="1"/>
      <c r="E6" s="1"/>
      <c r="F6" s="1"/>
      <c r="G6" s="1"/>
      <c r="H6" s="1"/>
    </row>
    <row r="7" spans="1:8">
      <c r="A7" t="s">
        <v>144</v>
      </c>
      <c r="B7" s="125"/>
      <c r="C7" s="1"/>
      <c r="D7" s="1"/>
      <c r="E7" s="1"/>
      <c r="F7" s="1"/>
      <c r="G7" s="1"/>
      <c r="H7" s="1"/>
    </row>
    <row r="8" spans="1:8">
      <c r="A8" s="117"/>
      <c r="B8" s="112"/>
      <c r="C8" s="117"/>
      <c r="D8" s="117"/>
      <c r="E8" s="117"/>
      <c r="F8" s="117"/>
      <c r="G8" s="117"/>
      <c r="H8" s="117"/>
    </row>
    <row r="9" spans="1:8" ht="14.25">
      <c r="A9" s="123" t="s">
        <v>146</v>
      </c>
      <c r="B9" s="1"/>
      <c r="C9" s="1"/>
      <c r="D9" s="1"/>
      <c r="E9" s="72"/>
      <c r="F9" s="130"/>
      <c r="G9" s="1"/>
      <c r="H9" s="1"/>
    </row>
    <row r="10" spans="1:8">
      <c r="B10" s="4"/>
      <c r="D10" t="s">
        <v>339</v>
      </c>
    </row>
    <row r="11" spans="1:8" ht="13.5" thickBot="1">
      <c r="B11" s="20" t="s">
        <v>0</v>
      </c>
      <c r="F11" s="373" t="s">
        <v>108</v>
      </c>
      <c r="G11" s="373" t="s">
        <v>109</v>
      </c>
    </row>
    <row r="12" spans="1:8">
      <c r="B12" t="s">
        <v>1</v>
      </c>
      <c r="F12" s="407"/>
      <c r="G12" s="407"/>
    </row>
    <row r="13" spans="1:8">
      <c r="B13" t="s">
        <v>2</v>
      </c>
      <c r="F13" s="408"/>
      <c r="G13" s="408"/>
    </row>
    <row r="14" spans="1:8">
      <c r="B14" t="s">
        <v>406</v>
      </c>
      <c r="F14" s="408"/>
      <c r="G14" s="408"/>
    </row>
    <row r="15" spans="1:8">
      <c r="B15" t="s">
        <v>3</v>
      </c>
      <c r="F15" s="408"/>
      <c r="G15" s="408"/>
    </row>
    <row r="16" spans="1:8">
      <c r="B16" t="s">
        <v>4</v>
      </c>
      <c r="F16" s="408"/>
      <c r="G16" s="408"/>
    </row>
    <row r="17" spans="2:7">
      <c r="B17" t="s">
        <v>5</v>
      </c>
      <c r="F17" s="408"/>
      <c r="G17" s="408"/>
    </row>
    <row r="18" spans="2:7">
      <c r="B18" t="s">
        <v>13</v>
      </c>
      <c r="F18" s="408"/>
      <c r="G18" s="408"/>
    </row>
    <row r="19" spans="2:7">
      <c r="B19" t="s">
        <v>6</v>
      </c>
      <c r="F19" s="408"/>
      <c r="G19" s="408"/>
    </row>
    <row r="20" spans="2:7">
      <c r="B20" t="s">
        <v>7</v>
      </c>
      <c r="F20" s="408"/>
      <c r="G20" s="408"/>
    </row>
    <row r="21" spans="2:7">
      <c r="B21" s="32" t="s">
        <v>417</v>
      </c>
      <c r="F21" s="408"/>
      <c r="G21" s="408"/>
    </row>
    <row r="22" spans="2:7">
      <c r="B22" s="20" t="s">
        <v>8</v>
      </c>
      <c r="F22" s="91"/>
      <c r="G22" s="91"/>
    </row>
    <row r="23" spans="2:7">
      <c r="B23" t="s">
        <v>8</v>
      </c>
      <c r="F23" s="408"/>
      <c r="G23" s="408"/>
    </row>
    <row r="24" spans="2:7">
      <c r="B24" t="s">
        <v>9</v>
      </c>
      <c r="F24" s="408"/>
      <c r="G24" s="408"/>
    </row>
    <row r="25" spans="2:7">
      <c r="B25" t="s">
        <v>10</v>
      </c>
      <c r="F25" s="408"/>
      <c r="G25" s="408"/>
    </row>
    <row r="26" spans="2:7">
      <c r="B26" t="s">
        <v>14</v>
      </c>
      <c r="F26" s="408"/>
      <c r="G26" s="408"/>
    </row>
    <row r="27" spans="2:7">
      <c r="B27" t="s">
        <v>15</v>
      </c>
      <c r="F27" s="408"/>
      <c r="G27" s="408"/>
    </row>
    <row r="28" spans="2:7">
      <c r="B28" t="s">
        <v>11</v>
      </c>
      <c r="F28" s="408"/>
      <c r="G28" s="408"/>
    </row>
    <row r="29" spans="2:7">
      <c r="B29" s="20" t="s">
        <v>12</v>
      </c>
      <c r="F29" s="92"/>
      <c r="G29" s="92"/>
    </row>
    <row r="30" spans="2:7">
      <c r="B30" t="s">
        <v>162</v>
      </c>
      <c r="F30" s="408"/>
      <c r="G30" s="408"/>
    </row>
    <row r="31" spans="2:7">
      <c r="B31" t="s">
        <v>407</v>
      </c>
      <c r="F31" s="408"/>
      <c r="G31" s="408"/>
    </row>
    <row r="32" spans="2:7">
      <c r="B32" t="s">
        <v>163</v>
      </c>
      <c r="F32" s="408"/>
      <c r="G32" s="408"/>
    </row>
    <row r="34" spans="1:16">
      <c r="A34" s="117"/>
      <c r="B34" s="112"/>
      <c r="C34" s="117"/>
      <c r="D34" s="117"/>
      <c r="E34" s="117"/>
      <c r="F34" s="117"/>
      <c r="G34" s="117"/>
      <c r="H34" s="112"/>
      <c r="I34" s="4"/>
      <c r="J34" s="4"/>
      <c r="K34" s="4"/>
      <c r="L34" s="4"/>
      <c r="M34" s="4"/>
      <c r="N34" s="4"/>
      <c r="O34" s="4"/>
      <c r="P34" s="4"/>
    </row>
    <row r="35" spans="1:16" ht="14.25">
      <c r="A35" s="113" t="s">
        <v>148</v>
      </c>
      <c r="B35" s="4"/>
      <c r="C35" s="4"/>
      <c r="D35" s="4"/>
      <c r="E35" s="4"/>
      <c r="F35" s="4"/>
      <c r="G35" s="4"/>
      <c r="H35" s="4"/>
      <c r="I35" s="4"/>
      <c r="J35" s="4"/>
      <c r="K35" s="4"/>
      <c r="L35" s="4"/>
      <c r="M35" s="4"/>
      <c r="N35" s="4"/>
      <c r="O35" s="4"/>
      <c r="P35" s="4"/>
    </row>
    <row r="36" spans="1:16" ht="14.25">
      <c r="A36" s="113"/>
      <c r="B36" s="4" t="s">
        <v>164</v>
      </c>
      <c r="C36" s="4"/>
      <c r="D36" s="4"/>
      <c r="E36" s="4"/>
      <c r="F36" s="4"/>
      <c r="G36" s="4"/>
      <c r="H36" s="4"/>
      <c r="I36" s="4"/>
      <c r="J36" s="4"/>
      <c r="K36" s="4"/>
      <c r="L36" s="4"/>
      <c r="M36" s="4"/>
      <c r="N36" s="4"/>
      <c r="O36" s="4"/>
      <c r="P36" s="4"/>
    </row>
    <row r="37" spans="1:16">
      <c r="A37" s="5"/>
      <c r="B37" s="5"/>
      <c r="C37" s="5"/>
      <c r="D37" s="5"/>
      <c r="E37" s="5"/>
      <c r="F37" s="5"/>
      <c r="G37" s="5"/>
      <c r="H37" s="5"/>
    </row>
    <row r="38" spans="1:16" ht="14.25">
      <c r="A38" s="131" t="s">
        <v>160</v>
      </c>
      <c r="B38" s="132"/>
      <c r="C38" s="132"/>
      <c r="D38" s="1"/>
      <c r="E38" s="1"/>
      <c r="F38" s="1"/>
      <c r="G38" s="1"/>
      <c r="H38" s="1"/>
    </row>
    <row r="39" spans="1:16">
      <c r="A39" s="1"/>
      <c r="B39" s="1"/>
      <c r="C39" s="1"/>
      <c r="D39" s="1" t="s">
        <v>381</v>
      </c>
      <c r="F39" s="408"/>
      <c r="G39" s="1"/>
      <c r="H39" s="1"/>
    </row>
    <row r="40" spans="1:16">
      <c r="A40" s="5"/>
      <c r="B40" s="5"/>
      <c r="C40" s="5"/>
      <c r="D40" s="5"/>
      <c r="E40" s="5"/>
      <c r="F40" s="5"/>
      <c r="G40" s="5"/>
      <c r="H40" s="5"/>
    </row>
    <row r="41" spans="1:16" ht="14.25">
      <c r="A41" s="123" t="s">
        <v>158</v>
      </c>
      <c r="B41" s="1"/>
      <c r="C41" s="1"/>
      <c r="D41" s="1"/>
      <c r="E41" s="1"/>
      <c r="F41" s="1"/>
      <c r="G41" s="1"/>
      <c r="H41" s="1"/>
    </row>
  </sheetData>
  <sheetProtection selectLockedCells="1"/>
  <phoneticPr fontId="7" type="noConversion"/>
  <pageMargins left="0.75" right="0.75" top="1" bottom="1" header="0.5" footer="0.5"/>
  <pageSetup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60"/>
  <sheetViews>
    <sheetView showGridLines="0" zoomScale="85" zoomScaleNormal="85" zoomScaleSheetLayoutView="100" workbookViewId="0">
      <selection activeCell="L15" sqref="L15"/>
    </sheetView>
  </sheetViews>
  <sheetFormatPr defaultRowHeight="12.75"/>
  <cols>
    <col min="1" max="1" width="1.85546875" customWidth="1"/>
    <col min="2" max="3" width="9.85546875" customWidth="1"/>
    <col min="4" max="4" width="12.7109375" customWidth="1"/>
    <col min="5" max="6" width="13.85546875" customWidth="1"/>
    <col min="7" max="7" width="13.28515625" customWidth="1"/>
    <col min="8" max="8" width="11.28515625" customWidth="1"/>
  </cols>
  <sheetData>
    <row r="1" spans="1:9" ht="18">
      <c r="A1" s="12" t="s">
        <v>419</v>
      </c>
      <c r="D1" s="9"/>
      <c r="E1" s="4"/>
      <c r="F1" s="4"/>
      <c r="G1" s="4"/>
      <c r="H1" s="4"/>
      <c r="I1" s="4"/>
    </row>
    <row r="2" spans="1:9" ht="10.5" customHeight="1">
      <c r="B2" s="9"/>
      <c r="C2" s="9"/>
      <c r="D2" s="9"/>
      <c r="E2" s="4"/>
      <c r="F2" s="4"/>
      <c r="G2" s="4"/>
      <c r="H2" s="4"/>
      <c r="I2" s="4"/>
    </row>
    <row r="3" spans="1:9" ht="14.25">
      <c r="A3" s="123" t="s">
        <v>90</v>
      </c>
      <c r="B3" s="2"/>
      <c r="C3" s="1"/>
      <c r="D3" s="1"/>
      <c r="E3" s="1"/>
      <c r="F3" s="1"/>
      <c r="G3" s="1"/>
      <c r="H3" s="1"/>
    </row>
    <row r="4" spans="1:9" ht="41.25" customHeight="1">
      <c r="A4" s="651" t="s">
        <v>166</v>
      </c>
      <c r="B4" s="642"/>
      <c r="C4" s="642"/>
      <c r="D4" s="642"/>
      <c r="E4" s="642"/>
      <c r="F4" s="642"/>
      <c r="G4" s="642"/>
      <c r="H4" s="1"/>
    </row>
    <row r="5" spans="1:9" ht="8.25" customHeight="1">
      <c r="A5" s="5"/>
      <c r="B5" s="124"/>
      <c r="C5" s="5"/>
      <c r="D5" s="5"/>
      <c r="E5" s="5"/>
      <c r="F5" s="5"/>
      <c r="G5" s="5"/>
      <c r="H5" s="5"/>
    </row>
    <row r="6" spans="1:9" ht="14.25">
      <c r="A6" s="123" t="s">
        <v>143</v>
      </c>
      <c r="B6" s="1"/>
      <c r="C6" s="1"/>
      <c r="D6" s="1"/>
      <c r="E6" s="1"/>
      <c r="F6" s="1"/>
      <c r="G6" s="1"/>
      <c r="H6" s="1"/>
    </row>
    <row r="7" spans="1:9">
      <c r="A7" t="s">
        <v>144</v>
      </c>
      <c r="B7" s="125"/>
      <c r="C7" s="1"/>
      <c r="D7" s="1"/>
      <c r="E7" s="1"/>
      <c r="F7" s="1"/>
      <c r="G7" s="1"/>
      <c r="H7" s="1"/>
    </row>
    <row r="8" spans="1:9">
      <c r="A8" s="126"/>
      <c r="B8" s="126"/>
      <c r="C8" s="5"/>
      <c r="D8" s="5"/>
      <c r="E8" s="5"/>
      <c r="F8" s="5"/>
      <c r="G8" s="5"/>
      <c r="H8" s="5"/>
    </row>
    <row r="9" spans="1:9" ht="14.25">
      <c r="A9" s="123" t="s">
        <v>145</v>
      </c>
      <c r="B9" s="125"/>
      <c r="C9" s="1"/>
      <c r="D9" s="1"/>
      <c r="E9" s="1"/>
      <c r="F9" s="1"/>
      <c r="G9" s="1"/>
      <c r="H9" s="1"/>
    </row>
    <row r="10" spans="1:9" ht="11.25" customHeight="1" thickBot="1">
      <c r="A10" s="123"/>
      <c r="B10" s="125"/>
      <c r="C10" s="1"/>
      <c r="D10" s="1"/>
      <c r="E10" s="1"/>
      <c r="F10" s="1"/>
      <c r="G10" s="1"/>
      <c r="H10" s="1"/>
    </row>
    <row r="11" spans="1:9" ht="45" customHeight="1" thickBot="1">
      <c r="B11" s="97" t="s">
        <v>20</v>
      </c>
      <c r="C11" s="98" t="s">
        <v>16</v>
      </c>
      <c r="D11" s="94" t="s">
        <v>96</v>
      </c>
      <c r="E11" s="95" t="s">
        <v>340</v>
      </c>
      <c r="F11" s="149" t="s">
        <v>83</v>
      </c>
      <c r="G11" s="156" t="s">
        <v>84</v>
      </c>
      <c r="H11" s="156" t="s">
        <v>170</v>
      </c>
    </row>
    <row r="12" spans="1:9">
      <c r="B12" s="93"/>
      <c r="C12" s="394" t="s">
        <v>17</v>
      </c>
      <c r="D12" s="404"/>
      <c r="E12" s="404"/>
      <c r="F12" s="399"/>
      <c r="G12" s="153" t="str">
        <f>IF(ISBLANK(F12),"---",E12-F12)</f>
        <v>---</v>
      </c>
      <c r="H12" s="150" t="str">
        <f>IF(ISBLANK(F12),"---",ABS(G12))</f>
        <v>---</v>
      </c>
    </row>
    <row r="13" spans="1:9">
      <c r="B13" s="93" t="s">
        <v>403</v>
      </c>
      <c r="C13" s="394" t="s">
        <v>21</v>
      </c>
      <c r="D13" s="405"/>
      <c r="E13" s="405"/>
      <c r="F13" s="401"/>
      <c r="G13" s="154" t="str">
        <f>IF(ISBLANK(F13),"---",E13-F13)</f>
        <v>---</v>
      </c>
      <c r="H13" s="151" t="str">
        <f>IF(ISBLANK(F13),"---",ABS(G13))</f>
        <v>---</v>
      </c>
    </row>
    <row r="14" spans="1:9" ht="13.5" thickBot="1">
      <c r="B14" s="96"/>
      <c r="C14" s="395" t="s">
        <v>22</v>
      </c>
      <c r="D14" s="406"/>
      <c r="E14" s="406"/>
      <c r="F14" s="403"/>
      <c r="G14" s="155" t="str">
        <f t="shared" ref="G14:G20" si="0">IF(ISBLANK(F14),"---",E14-F14)</f>
        <v>---</v>
      </c>
      <c r="H14" s="152" t="str">
        <f t="shared" ref="H14:H20" si="1">IF(ISBLANK(F14),"---",ABS(G14))</f>
        <v>---</v>
      </c>
    </row>
    <row r="15" spans="1:9">
      <c r="B15" s="93"/>
      <c r="C15" s="394" t="s">
        <v>17</v>
      </c>
      <c r="D15" s="404"/>
      <c r="E15" s="404"/>
      <c r="F15" s="399"/>
      <c r="G15" s="153" t="str">
        <f t="shared" si="0"/>
        <v>---</v>
      </c>
      <c r="H15" s="150" t="str">
        <f t="shared" si="1"/>
        <v>---</v>
      </c>
    </row>
    <row r="16" spans="1:9">
      <c r="B16" s="93" t="s">
        <v>18</v>
      </c>
      <c r="C16" s="394" t="s">
        <v>21</v>
      </c>
      <c r="D16" s="405"/>
      <c r="E16" s="405"/>
      <c r="F16" s="401"/>
      <c r="G16" s="154" t="str">
        <f t="shared" si="0"/>
        <v>---</v>
      </c>
      <c r="H16" s="151" t="str">
        <f t="shared" si="1"/>
        <v>---</v>
      </c>
    </row>
    <row r="17" spans="1:15" ht="13.5" thickBot="1">
      <c r="B17" s="96"/>
      <c r="C17" s="395" t="s">
        <v>22</v>
      </c>
      <c r="D17" s="406"/>
      <c r="E17" s="406"/>
      <c r="F17" s="403"/>
      <c r="G17" s="155" t="str">
        <f t="shared" si="0"/>
        <v>---</v>
      </c>
      <c r="H17" s="152" t="str">
        <f t="shared" si="1"/>
        <v>---</v>
      </c>
    </row>
    <row r="18" spans="1:15">
      <c r="B18" s="93"/>
      <c r="C18" s="394" t="s">
        <v>17</v>
      </c>
      <c r="D18" s="404"/>
      <c r="E18" s="404"/>
      <c r="F18" s="399"/>
      <c r="G18" s="153" t="str">
        <f t="shared" si="0"/>
        <v>---</v>
      </c>
      <c r="H18" s="150" t="str">
        <f t="shared" si="1"/>
        <v>---</v>
      </c>
    </row>
    <row r="19" spans="1:15">
      <c r="B19" s="93" t="s">
        <v>19</v>
      </c>
      <c r="C19" s="394" t="s">
        <v>21</v>
      </c>
      <c r="D19" s="405"/>
      <c r="E19" s="405"/>
      <c r="F19" s="401"/>
      <c r="G19" s="154" t="str">
        <f t="shared" si="0"/>
        <v>---</v>
      </c>
      <c r="H19" s="151" t="str">
        <f t="shared" si="1"/>
        <v>---</v>
      </c>
    </row>
    <row r="20" spans="1:15" ht="13.5" thickBot="1">
      <c r="B20" s="96"/>
      <c r="C20" s="395" t="s">
        <v>22</v>
      </c>
      <c r="D20" s="406"/>
      <c r="E20" s="406"/>
      <c r="F20" s="403"/>
      <c r="G20" s="155" t="str">
        <f t="shared" si="0"/>
        <v>---</v>
      </c>
      <c r="H20" s="152" t="str">
        <f t="shared" si="1"/>
        <v>---</v>
      </c>
      <c r="J20" s="4"/>
      <c r="K20" s="26"/>
      <c r="L20" s="26"/>
      <c r="M20" s="26"/>
      <c r="N20" s="4"/>
      <c r="O20" s="4"/>
    </row>
    <row r="21" spans="1:15">
      <c r="A21" s="1"/>
      <c r="B21" s="1"/>
      <c r="C21" s="1"/>
      <c r="D21" s="3"/>
      <c r="E21" s="127"/>
      <c r="F21" s="45"/>
      <c r="G21" s="1"/>
      <c r="H21" s="1"/>
    </row>
    <row r="22" spans="1:15">
      <c r="A22" s="5"/>
      <c r="B22" s="5"/>
      <c r="C22" s="5"/>
      <c r="D22" s="5"/>
      <c r="E22" s="128"/>
      <c r="F22" s="129"/>
      <c r="G22" s="124"/>
      <c r="H22" s="5"/>
    </row>
    <row r="23" spans="1:15" ht="14.25">
      <c r="A23" s="123" t="s">
        <v>146</v>
      </c>
      <c r="B23" s="1"/>
      <c r="C23" s="1"/>
      <c r="D23" s="1"/>
      <c r="E23" s="72"/>
      <c r="F23" s="130"/>
      <c r="G23" s="1"/>
      <c r="H23" s="1"/>
    </row>
    <row r="24" spans="1:15">
      <c r="A24" s="1"/>
      <c r="B24" s="2"/>
      <c r="D24" s="3"/>
      <c r="E24" s="145" t="s">
        <v>167</v>
      </c>
      <c r="F24" s="146" t="e">
        <f>AVERAGE(G12:G20)</f>
        <v>#DIV/0!</v>
      </c>
      <c r="G24" s="1"/>
      <c r="H24" s="1"/>
    </row>
    <row r="25" spans="1:15">
      <c r="A25" s="1"/>
      <c r="B25" s="1"/>
      <c r="D25" s="3"/>
      <c r="E25" s="145" t="s">
        <v>169</v>
      </c>
      <c r="F25" s="146" t="e">
        <f>AVERAGE(H12:H20)</f>
        <v>#DIV/0!</v>
      </c>
      <c r="G25" s="1"/>
      <c r="H25" s="1"/>
    </row>
    <row r="26" spans="1:15">
      <c r="A26" s="1"/>
      <c r="B26" s="1"/>
      <c r="D26" s="3"/>
      <c r="E26" s="145" t="s">
        <v>168</v>
      </c>
      <c r="F26" s="147" t="str">
        <f>IF(ISBLANK(F12),"---",MAX(H12:H20))</f>
        <v>---</v>
      </c>
      <c r="G26" s="1"/>
      <c r="H26" s="1"/>
    </row>
    <row r="27" spans="1:15">
      <c r="A27" s="5"/>
      <c r="B27" s="5"/>
      <c r="C27" s="5"/>
      <c r="D27" s="5"/>
      <c r="E27" s="5"/>
      <c r="F27" s="5"/>
      <c r="G27" s="5"/>
      <c r="H27" s="5"/>
    </row>
    <row r="28" spans="1:15" ht="14.25">
      <c r="A28" s="123" t="s">
        <v>148</v>
      </c>
      <c r="B28" s="1"/>
      <c r="C28" s="1"/>
      <c r="D28" s="1"/>
      <c r="E28" s="1"/>
      <c r="F28" s="1"/>
      <c r="G28" s="1"/>
      <c r="H28" s="1"/>
    </row>
    <row r="29" spans="1:15">
      <c r="A29" s="29" t="s">
        <v>171</v>
      </c>
      <c r="C29" s="1"/>
      <c r="D29" s="1"/>
      <c r="E29" s="1"/>
      <c r="F29" s="1"/>
      <c r="G29" s="1"/>
      <c r="H29" s="1"/>
    </row>
    <row r="30" spans="1:15">
      <c r="A30" s="5"/>
      <c r="B30" s="5"/>
      <c r="C30" s="5"/>
      <c r="D30" s="5"/>
      <c r="E30" s="5"/>
      <c r="F30" s="5"/>
      <c r="G30" s="5"/>
      <c r="H30" s="5"/>
    </row>
    <row r="31" spans="1:15" ht="15" thickBot="1">
      <c r="A31" s="131" t="s">
        <v>160</v>
      </c>
      <c r="B31" s="132"/>
      <c r="C31" s="132"/>
      <c r="D31" s="1"/>
      <c r="E31" s="1"/>
      <c r="F31" s="1"/>
      <c r="G31" s="1"/>
      <c r="H31" s="1"/>
    </row>
    <row r="32" spans="1:15" ht="16.5" thickBot="1">
      <c r="A32" s="1"/>
      <c r="B32" s="1"/>
      <c r="C32" s="1"/>
      <c r="D32" s="1"/>
      <c r="F32" s="122" t="str">
        <f>IF(ISNUMBER(F26),IF(F26&lt;=3,"PASS","FAIL"),"---")</f>
        <v>---</v>
      </c>
      <c r="G32" s="1"/>
      <c r="H32" s="1"/>
    </row>
    <row r="33" spans="1:9">
      <c r="A33" s="5"/>
      <c r="B33" s="5"/>
      <c r="C33" s="5"/>
      <c r="D33" s="5"/>
      <c r="E33" s="5"/>
      <c r="F33" s="5"/>
      <c r="G33" s="5"/>
      <c r="H33" s="5"/>
    </row>
    <row r="34" spans="1:9" ht="14.25">
      <c r="A34" s="123" t="s">
        <v>158</v>
      </c>
      <c r="B34" s="1"/>
      <c r="C34" s="1"/>
      <c r="D34" s="1"/>
      <c r="E34" s="1"/>
      <c r="F34" s="1"/>
      <c r="G34" s="1"/>
      <c r="H34" s="1"/>
    </row>
    <row r="35" spans="1:9">
      <c r="A35" s="564"/>
      <c r="B35" s="565"/>
      <c r="C35" s="565"/>
      <c r="D35" s="565"/>
      <c r="E35" s="565"/>
      <c r="F35" s="565"/>
      <c r="G35" s="565"/>
      <c r="H35" s="565"/>
      <c r="I35" s="565"/>
    </row>
    <row r="36" spans="1:9">
      <c r="A36" s="564"/>
      <c r="B36" s="565"/>
      <c r="C36" s="565"/>
      <c r="D36" s="565"/>
      <c r="E36" s="565"/>
      <c r="F36" s="565"/>
      <c r="G36" s="565"/>
      <c r="H36" s="565"/>
      <c r="I36" s="565"/>
    </row>
    <row r="37" spans="1:9">
      <c r="A37" s="564"/>
      <c r="B37" s="565"/>
      <c r="C37" s="565"/>
      <c r="D37" s="565"/>
      <c r="E37" s="565"/>
      <c r="F37" s="565"/>
      <c r="G37" s="565"/>
      <c r="H37" s="565"/>
      <c r="I37" s="565"/>
    </row>
    <row r="38" spans="1:9">
      <c r="A38" s="564"/>
      <c r="B38" s="565"/>
      <c r="C38" s="565"/>
      <c r="D38" s="565"/>
      <c r="E38" s="565"/>
      <c r="F38" s="565"/>
      <c r="G38" s="565"/>
      <c r="H38" s="565"/>
      <c r="I38" s="565"/>
    </row>
    <row r="39" spans="1:9">
      <c r="A39" s="564"/>
      <c r="B39" s="565"/>
      <c r="C39" s="565"/>
      <c r="D39" s="565"/>
      <c r="E39" s="565"/>
      <c r="F39" s="565"/>
      <c r="G39" s="565"/>
      <c r="H39" s="565"/>
      <c r="I39" s="565"/>
    </row>
    <row r="40" spans="1:9">
      <c r="A40" s="564"/>
      <c r="B40" s="565"/>
      <c r="C40" s="565"/>
      <c r="D40" s="565"/>
      <c r="E40" s="565"/>
      <c r="F40" s="565"/>
      <c r="G40" s="565"/>
      <c r="H40" s="565"/>
      <c r="I40" s="565"/>
    </row>
    <row r="41" spans="1:9">
      <c r="A41" s="564"/>
      <c r="B41" s="565"/>
      <c r="C41" s="565"/>
      <c r="D41" s="565"/>
      <c r="E41" s="565"/>
      <c r="F41" s="565"/>
      <c r="G41" s="565"/>
      <c r="H41" s="565"/>
      <c r="I41" s="565"/>
    </row>
    <row r="42" spans="1:9">
      <c r="A42" s="564"/>
      <c r="B42" s="565"/>
      <c r="C42" s="565"/>
      <c r="D42" s="565"/>
      <c r="E42" s="565"/>
      <c r="F42" s="565"/>
      <c r="G42" s="565"/>
      <c r="H42" s="565"/>
      <c r="I42" s="565"/>
    </row>
    <row r="43" spans="1:9">
      <c r="A43" s="564"/>
      <c r="B43" s="565"/>
      <c r="C43" s="565"/>
      <c r="D43" s="565"/>
      <c r="E43" s="565"/>
      <c r="F43" s="565"/>
      <c r="G43" s="565"/>
      <c r="H43" s="565"/>
      <c r="I43" s="565"/>
    </row>
    <row r="44" spans="1:9">
      <c r="A44" s="564"/>
      <c r="B44" s="565"/>
      <c r="C44" s="565"/>
      <c r="D44" s="565"/>
      <c r="E44" s="565"/>
      <c r="F44" s="565"/>
      <c r="G44" s="565"/>
      <c r="H44" s="565"/>
      <c r="I44" s="565"/>
    </row>
    <row r="45" spans="1:9">
      <c r="A45" s="564"/>
      <c r="B45" s="565"/>
      <c r="C45" s="565"/>
      <c r="D45" s="565"/>
      <c r="E45" s="565"/>
      <c r="F45" s="565"/>
      <c r="G45" s="565"/>
      <c r="H45" s="565"/>
      <c r="I45" s="565"/>
    </row>
    <row r="46" spans="1:9">
      <c r="A46" s="564"/>
      <c r="B46" s="565"/>
      <c r="C46" s="565"/>
      <c r="D46" s="565"/>
      <c r="E46" s="565"/>
      <c r="F46" s="565"/>
      <c r="G46" s="565"/>
      <c r="H46" s="565"/>
      <c r="I46" s="565"/>
    </row>
    <row r="47" spans="1:9">
      <c r="A47" s="564"/>
      <c r="B47" s="565"/>
      <c r="C47" s="565"/>
      <c r="D47" s="565"/>
      <c r="E47" s="565"/>
      <c r="F47" s="565"/>
      <c r="G47" s="565"/>
      <c r="H47" s="565"/>
      <c r="I47" s="565"/>
    </row>
    <row r="48" spans="1:9">
      <c r="A48" s="564"/>
      <c r="B48" s="565"/>
      <c r="C48" s="565"/>
      <c r="D48" s="565"/>
      <c r="E48" s="565"/>
      <c r="F48" s="565"/>
      <c r="G48" s="565"/>
      <c r="H48" s="565"/>
      <c r="I48" s="565"/>
    </row>
    <row r="49" spans="1:9">
      <c r="A49" s="564"/>
      <c r="B49" s="565"/>
      <c r="C49" s="565"/>
      <c r="D49" s="565"/>
      <c r="E49" s="565"/>
      <c r="F49" s="565"/>
      <c r="G49" s="565"/>
      <c r="H49" s="565"/>
      <c r="I49" s="565"/>
    </row>
    <row r="50" spans="1:9">
      <c r="B50" s="4"/>
      <c r="C50" s="4"/>
      <c r="D50" s="4"/>
      <c r="E50" s="4"/>
      <c r="F50" s="4"/>
      <c r="G50" s="4"/>
      <c r="H50" s="4"/>
      <c r="I50" s="4"/>
    </row>
    <row r="51" spans="1:9">
      <c r="B51" s="4"/>
      <c r="C51" s="4"/>
      <c r="D51" s="4"/>
      <c r="E51" s="4"/>
      <c r="F51" s="4"/>
      <c r="G51" s="4"/>
      <c r="H51" s="4"/>
      <c r="I51" s="4"/>
    </row>
    <row r="52" spans="1:9">
      <c r="B52" s="4"/>
      <c r="C52" s="4"/>
      <c r="D52" s="4"/>
      <c r="E52" s="4"/>
      <c r="F52" s="4"/>
      <c r="G52" s="4"/>
      <c r="H52" s="4"/>
      <c r="I52" s="4"/>
    </row>
    <row r="53" spans="1:9">
      <c r="B53" s="4"/>
      <c r="C53" s="4"/>
      <c r="D53" s="4"/>
      <c r="E53" s="4"/>
      <c r="F53" s="4"/>
      <c r="G53" s="4"/>
      <c r="H53" s="4"/>
      <c r="I53" s="4"/>
    </row>
    <row r="54" spans="1:9">
      <c r="B54" s="4"/>
      <c r="C54" s="4"/>
      <c r="D54" s="4"/>
      <c r="E54" s="4"/>
      <c r="F54" s="4"/>
      <c r="G54" s="4"/>
      <c r="H54" s="4"/>
      <c r="I54" s="4"/>
    </row>
    <row r="55" spans="1:9">
      <c r="B55" s="4"/>
      <c r="C55" s="4"/>
      <c r="D55" s="4"/>
      <c r="E55" s="4"/>
      <c r="F55" s="4"/>
      <c r="G55" s="4"/>
      <c r="H55" s="4"/>
      <c r="I55" s="4"/>
    </row>
    <row r="56" spans="1:9">
      <c r="B56" s="4"/>
      <c r="C56" s="4"/>
      <c r="D56" s="4"/>
      <c r="E56" s="4"/>
      <c r="F56" s="4"/>
      <c r="G56" s="4"/>
      <c r="H56" s="4"/>
      <c r="I56" s="4"/>
    </row>
    <row r="57" spans="1:9">
      <c r="B57" s="4"/>
      <c r="C57" s="4"/>
      <c r="D57" s="4"/>
      <c r="E57" s="4"/>
      <c r="F57" s="4"/>
      <c r="G57" s="4"/>
      <c r="H57" s="4"/>
      <c r="I57" s="4"/>
    </row>
    <row r="58" spans="1:9">
      <c r="B58" s="4"/>
      <c r="C58" s="4"/>
      <c r="D58" s="4"/>
      <c r="E58" s="4"/>
      <c r="F58" s="4"/>
      <c r="G58" s="4"/>
      <c r="H58" s="4"/>
      <c r="I58" s="4"/>
    </row>
    <row r="59" spans="1:9">
      <c r="B59" s="4"/>
      <c r="C59" s="4"/>
      <c r="D59" s="4"/>
      <c r="E59" s="4"/>
      <c r="F59" s="4"/>
      <c r="G59" s="4"/>
      <c r="H59" s="4"/>
      <c r="I59" s="4"/>
    </row>
    <row r="60" spans="1:9">
      <c r="B60" s="4"/>
      <c r="C60" s="4"/>
      <c r="D60" s="4"/>
      <c r="E60" s="4"/>
      <c r="F60" s="4"/>
      <c r="G60" s="4"/>
      <c r="H60" s="4"/>
      <c r="I60" s="4"/>
    </row>
  </sheetData>
  <mergeCells count="1">
    <mergeCell ref="A4:G4"/>
  </mergeCells>
  <phoneticPr fontId="7" type="noConversion"/>
  <pageMargins left="0.75" right="0.75" top="1" bottom="1" header="0.5" footer="0.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T75"/>
  <sheetViews>
    <sheetView showGridLines="0" zoomScale="85" zoomScaleNormal="100" zoomScaleSheetLayoutView="100" workbookViewId="0">
      <selection activeCell="A2" sqref="A2"/>
    </sheetView>
  </sheetViews>
  <sheetFormatPr defaultRowHeight="12.75"/>
  <cols>
    <col min="1" max="1" width="5.42578125" customWidth="1"/>
    <col min="2" max="2" width="12.5703125" customWidth="1"/>
    <col min="3" max="3" width="11.140625" customWidth="1"/>
    <col min="4" max="4" width="13.5703125" customWidth="1"/>
  </cols>
  <sheetData>
    <row r="1" spans="1:8" ht="18">
      <c r="A1" s="12" t="s">
        <v>420</v>
      </c>
      <c r="C1" s="9"/>
      <c r="D1" s="4"/>
      <c r="E1" s="4"/>
      <c r="F1" s="4"/>
      <c r="G1" s="4"/>
      <c r="H1" s="4"/>
    </row>
    <row r="2" spans="1:8">
      <c r="B2" s="9"/>
      <c r="C2" s="9"/>
      <c r="D2" s="4"/>
      <c r="E2" s="4"/>
      <c r="F2" s="4"/>
      <c r="G2" s="4"/>
      <c r="H2" s="4"/>
    </row>
    <row r="3" spans="1:8" ht="14.25">
      <c r="A3" s="123" t="s">
        <v>90</v>
      </c>
      <c r="B3" s="2"/>
      <c r="C3" s="1"/>
      <c r="D3" s="1"/>
      <c r="E3" s="1"/>
      <c r="F3" s="1"/>
      <c r="G3" s="1"/>
      <c r="H3" s="1"/>
    </row>
    <row r="4" spans="1:8">
      <c r="A4" s="29" t="s">
        <v>172</v>
      </c>
      <c r="B4" s="2"/>
      <c r="C4" s="1"/>
      <c r="D4" s="1"/>
      <c r="E4" s="1"/>
      <c r="F4" s="1"/>
      <c r="G4" s="1"/>
      <c r="H4" s="1"/>
    </row>
    <row r="5" spans="1:8">
      <c r="A5" s="5"/>
      <c r="B5" s="124"/>
      <c r="C5" s="5"/>
      <c r="D5" s="5"/>
      <c r="E5" s="5"/>
      <c r="F5" s="5"/>
      <c r="G5" s="5"/>
      <c r="H5" s="5"/>
    </row>
    <row r="6" spans="1:8" ht="14.25">
      <c r="A6" s="123" t="s">
        <v>143</v>
      </c>
      <c r="B6" s="1"/>
      <c r="C6" s="1"/>
      <c r="D6" s="1"/>
      <c r="E6" s="1"/>
      <c r="F6" s="1"/>
      <c r="G6" s="1"/>
      <c r="H6" s="1"/>
    </row>
    <row r="7" spans="1:8">
      <c r="A7" t="s">
        <v>144</v>
      </c>
      <c r="B7" s="125"/>
      <c r="C7" s="1"/>
      <c r="D7" s="1"/>
      <c r="E7" s="1"/>
      <c r="F7" s="1"/>
      <c r="G7" s="1"/>
      <c r="H7" s="1"/>
    </row>
    <row r="8" spans="1:8">
      <c r="A8" s="126"/>
      <c r="B8" s="126"/>
      <c r="C8" s="5"/>
      <c r="D8" s="5"/>
      <c r="E8" s="5"/>
      <c r="F8" s="5"/>
      <c r="G8" s="5"/>
      <c r="H8" s="5"/>
    </row>
    <row r="9" spans="1:8" ht="14.25">
      <c r="A9" s="123" t="s">
        <v>145</v>
      </c>
      <c r="B9" s="125"/>
      <c r="C9" s="1"/>
      <c r="D9" s="1"/>
      <c r="E9" s="1"/>
      <c r="F9" s="1"/>
      <c r="G9" s="1"/>
      <c r="H9" s="1"/>
    </row>
    <row r="10" spans="1:8">
      <c r="C10" s="4"/>
      <c r="D10" s="4"/>
      <c r="E10" s="4"/>
      <c r="F10" s="4"/>
      <c r="G10" s="4"/>
      <c r="H10" s="4"/>
    </row>
    <row r="11" spans="1:8" ht="19.5" thickBot="1">
      <c r="B11" s="157" t="s">
        <v>23</v>
      </c>
      <c r="C11" s="4"/>
      <c r="D11" s="4"/>
      <c r="E11" s="4"/>
      <c r="F11" s="4"/>
      <c r="G11" s="4"/>
      <c r="H11" s="4"/>
    </row>
    <row r="12" spans="1:8" ht="39" customHeight="1" thickBot="1">
      <c r="B12" s="99" t="s">
        <v>96</v>
      </c>
      <c r="C12" s="100" t="s">
        <v>110</v>
      </c>
      <c r="D12" s="249" t="s">
        <v>175</v>
      </c>
      <c r="E12" s="4"/>
      <c r="F12" s="4"/>
      <c r="G12" s="4"/>
      <c r="H12" s="4"/>
    </row>
    <row r="13" spans="1:8">
      <c r="B13" s="398"/>
      <c r="C13" s="399"/>
      <c r="D13" s="248" t="str">
        <f t="shared" ref="D13:D18" si="0">IF(ISBLANK(C13),"---",10*ABS(B13-C13))</f>
        <v>---</v>
      </c>
      <c r="E13" s="4"/>
      <c r="F13" s="4"/>
      <c r="G13" s="4"/>
      <c r="H13" s="4"/>
    </row>
    <row r="14" spans="1:8">
      <c r="B14" s="400"/>
      <c r="C14" s="401"/>
      <c r="D14" s="246" t="str">
        <f t="shared" si="0"/>
        <v>---</v>
      </c>
      <c r="E14" s="4"/>
      <c r="F14" s="4"/>
      <c r="G14" s="4"/>
      <c r="H14" s="4"/>
    </row>
    <row r="15" spans="1:8">
      <c r="B15" s="400"/>
      <c r="C15" s="401"/>
      <c r="D15" s="246" t="str">
        <f t="shared" si="0"/>
        <v>---</v>
      </c>
      <c r="E15" s="4"/>
      <c r="F15" s="4"/>
      <c r="G15" s="4"/>
      <c r="H15" s="4"/>
    </row>
    <row r="16" spans="1:8">
      <c r="B16" s="400"/>
      <c r="C16" s="401"/>
      <c r="D16" s="246" t="str">
        <f t="shared" si="0"/>
        <v>---</v>
      </c>
      <c r="E16" s="4"/>
      <c r="F16" s="4"/>
      <c r="G16" s="4"/>
      <c r="H16" s="4"/>
    </row>
    <row r="17" spans="1:254">
      <c r="B17" s="400"/>
      <c r="C17" s="401"/>
      <c r="D17" s="246" t="str">
        <f t="shared" si="0"/>
        <v>---</v>
      </c>
      <c r="E17" s="4"/>
      <c r="F17" s="4"/>
      <c r="G17" s="4"/>
      <c r="H17" s="4"/>
    </row>
    <row r="18" spans="1:254" ht="13.5" thickBot="1">
      <c r="B18" s="402"/>
      <c r="C18" s="403"/>
      <c r="D18" s="247" t="str">
        <f t="shared" si="0"/>
        <v>---</v>
      </c>
      <c r="E18" s="4"/>
      <c r="F18" s="4"/>
      <c r="G18" s="4"/>
      <c r="H18" s="4"/>
    </row>
    <row r="19" spans="1:254">
      <c r="B19" s="4"/>
      <c r="E19" s="4"/>
      <c r="F19" s="4"/>
      <c r="G19" s="4"/>
      <c r="H19" s="4"/>
    </row>
    <row r="20" spans="1:254">
      <c r="B20" s="9" t="s">
        <v>25</v>
      </c>
      <c r="C20" s="13"/>
      <c r="D20" s="17"/>
      <c r="E20" s="4"/>
      <c r="F20" s="4"/>
      <c r="G20" s="4"/>
      <c r="H20" s="4"/>
    </row>
    <row r="21" spans="1:254">
      <c r="B21" s="4" t="s">
        <v>26</v>
      </c>
      <c r="C21" s="13"/>
      <c r="E21" s="397"/>
      <c r="F21" s="4" t="s">
        <v>29</v>
      </c>
      <c r="G21" s="4"/>
      <c r="H21" s="4"/>
    </row>
    <row r="22" spans="1:254" s="32" customFormat="1">
      <c r="A22" s="16"/>
      <c r="B22" s="4" t="s">
        <v>27</v>
      </c>
      <c r="C22" s="16"/>
      <c r="E22" s="397"/>
      <c r="F22" s="4" t="s">
        <v>29</v>
      </c>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row>
    <row r="23" spans="1:254" s="32" customFormat="1">
      <c r="A23" s="16"/>
      <c r="B23" s="4"/>
      <c r="C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row>
    <row r="24" spans="1:254" ht="20.25">
      <c r="A24" s="101"/>
      <c r="B24" s="157" t="s">
        <v>24</v>
      </c>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c r="GV24" s="101"/>
      <c r="GW24" s="101"/>
      <c r="GX24" s="101"/>
      <c r="GY24" s="101"/>
      <c r="GZ24" s="101"/>
      <c r="HA24" s="101"/>
      <c r="HB24" s="101"/>
      <c r="HC24" s="101"/>
      <c r="HD24" s="101"/>
      <c r="HE24" s="101"/>
      <c r="HF24" s="101"/>
      <c r="HG24" s="101"/>
      <c r="HH24" s="101"/>
      <c r="HI24" s="101"/>
      <c r="HJ24" s="101"/>
      <c r="HK24" s="101"/>
      <c r="HL24" s="101"/>
      <c r="HM24" s="101"/>
      <c r="HN24" s="101"/>
      <c r="HO24" s="101"/>
      <c r="HP24" s="101"/>
      <c r="HQ24" s="101"/>
      <c r="HR24" s="101"/>
      <c r="HS24" s="101"/>
      <c r="HT24" s="101"/>
      <c r="HU24" s="101"/>
      <c r="HV24" s="101"/>
      <c r="HW24" s="101"/>
      <c r="HX24" s="101"/>
      <c r="HY24" s="101"/>
      <c r="HZ24" s="101"/>
      <c r="IA24" s="101"/>
      <c r="IB24" s="101"/>
      <c r="IC24" s="101"/>
      <c r="ID24" s="101"/>
      <c r="IE24" s="101"/>
      <c r="IF24" s="101"/>
      <c r="IG24" s="101"/>
      <c r="IH24" s="101"/>
      <c r="II24" s="101"/>
      <c r="IJ24" s="101"/>
      <c r="IK24" s="101"/>
      <c r="IL24" s="101"/>
      <c r="IM24" s="101"/>
      <c r="IN24" s="101"/>
      <c r="IO24" s="101"/>
      <c r="IP24" s="101"/>
      <c r="IQ24" s="101"/>
      <c r="IR24" s="101"/>
      <c r="IS24" s="101"/>
      <c r="IT24" s="101"/>
    </row>
    <row r="25" spans="1:254" s="32" customFormat="1">
      <c r="A25" s="16"/>
      <c r="B25" s="4" t="s">
        <v>329</v>
      </c>
      <c r="C25" s="16"/>
      <c r="D25" s="16"/>
      <c r="E25" s="397"/>
      <c r="F25" s="4" t="s">
        <v>29</v>
      </c>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row>
    <row r="26" spans="1:254" s="32" customFormat="1">
      <c r="A26" s="16"/>
      <c r="B26" s="4" t="s">
        <v>28</v>
      </c>
      <c r="C26" s="16"/>
      <c r="D26" s="396"/>
      <c r="E26" s="397"/>
      <c r="F26" s="4" t="s">
        <v>29</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row>
    <row r="27" spans="1:254" s="32" customForma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row>
    <row r="28" spans="1:254">
      <c r="A28" s="1"/>
      <c r="B28" s="44"/>
      <c r="C28" s="1"/>
      <c r="D28" s="3"/>
      <c r="E28" s="127"/>
      <c r="F28" s="45"/>
      <c r="G28" s="1"/>
      <c r="H28" s="1"/>
    </row>
    <row r="29" spans="1:254">
      <c r="A29" s="1"/>
      <c r="B29" s="1"/>
      <c r="C29" s="1"/>
      <c r="D29" s="3"/>
      <c r="E29" s="127"/>
      <c r="F29" s="45"/>
      <c r="G29" s="1"/>
      <c r="H29" s="1"/>
    </row>
    <row r="30" spans="1:254">
      <c r="A30" s="5"/>
      <c r="B30" s="5"/>
      <c r="C30" s="5"/>
      <c r="D30" s="5"/>
      <c r="E30" s="128"/>
      <c r="F30" s="129"/>
      <c r="G30" s="124"/>
      <c r="H30" s="5"/>
    </row>
    <row r="31" spans="1:254" ht="14.25">
      <c r="A31" s="123" t="s">
        <v>146</v>
      </c>
      <c r="B31" s="1"/>
      <c r="C31" s="1"/>
      <c r="D31" s="1"/>
      <c r="E31" s="72"/>
      <c r="F31" s="130"/>
      <c r="G31" s="1"/>
      <c r="H31" s="1"/>
    </row>
    <row r="32" spans="1:254">
      <c r="A32" s="1"/>
      <c r="B32" s="2"/>
      <c r="D32" s="13" t="s">
        <v>176</v>
      </c>
      <c r="E32" s="158" t="str">
        <f>IF(ISBLANK(B13),"---",AVERAGE(D13:D18))</f>
        <v>---</v>
      </c>
      <c r="F32" s="130"/>
      <c r="G32" s="1"/>
      <c r="H32" s="1"/>
    </row>
    <row r="33" spans="1:254">
      <c r="A33" s="1"/>
      <c r="B33" s="1"/>
      <c r="D33" s="13" t="s">
        <v>177</v>
      </c>
      <c r="E33" s="158" t="str">
        <f>IF(ISBLANK(C13),"---",MAX(D13:D18))</f>
        <v>---</v>
      </c>
      <c r="F33" s="45"/>
      <c r="G33" s="1"/>
      <c r="H33" s="1"/>
    </row>
    <row r="34" spans="1:254">
      <c r="A34" s="1"/>
      <c r="B34" s="1"/>
      <c r="C34" s="1"/>
      <c r="D34" s="3"/>
      <c r="E34" s="127"/>
      <c r="F34" s="45"/>
      <c r="G34" s="1"/>
      <c r="H34" s="1"/>
    </row>
    <row r="35" spans="1:254">
      <c r="A35" s="1"/>
      <c r="B35" s="1"/>
      <c r="D35" s="145" t="s">
        <v>178</v>
      </c>
      <c r="E35" s="160" t="str">
        <f>IF(ISBLANK(E22),"---",10*(E22-E21))</f>
        <v>---</v>
      </c>
      <c r="F35" s="45"/>
      <c r="G35" s="1"/>
      <c r="H35" s="1"/>
    </row>
    <row r="36" spans="1:254" s="32" customFormat="1">
      <c r="A36" s="16"/>
      <c r="B36" s="4"/>
      <c r="C36" s="16"/>
      <c r="D36" s="159" t="s">
        <v>179</v>
      </c>
      <c r="E36" s="147" t="str">
        <f>IF(ISBLANK(E25),"---",10*E25)</f>
        <v>---</v>
      </c>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row>
    <row r="37" spans="1:254">
      <c r="A37" s="5"/>
      <c r="B37" s="5"/>
      <c r="C37" s="5"/>
      <c r="D37" s="5"/>
      <c r="E37" s="5"/>
      <c r="F37" s="5"/>
      <c r="G37" s="5"/>
      <c r="H37" s="5"/>
    </row>
    <row r="38" spans="1:254" ht="14.25">
      <c r="A38" s="123" t="s">
        <v>148</v>
      </c>
      <c r="B38" s="1"/>
      <c r="C38" s="1"/>
      <c r="D38" s="1"/>
      <c r="E38" s="1"/>
      <c r="F38" s="1"/>
      <c r="G38" s="1"/>
      <c r="H38" s="1"/>
    </row>
    <row r="39" spans="1:254">
      <c r="B39" s="29" t="s">
        <v>174</v>
      </c>
      <c r="C39" s="29"/>
      <c r="D39" s="29"/>
      <c r="E39" s="29"/>
      <c r="F39" s="29"/>
      <c r="G39" s="29"/>
      <c r="H39" s="29"/>
    </row>
    <row r="40" spans="1:254">
      <c r="B40" s="29" t="s">
        <v>112</v>
      </c>
      <c r="C40" s="29"/>
      <c r="D40" s="29"/>
      <c r="E40" s="29"/>
      <c r="F40" s="29"/>
      <c r="G40" s="29"/>
      <c r="H40" s="29"/>
    </row>
    <row r="41" spans="1:254">
      <c r="B41" s="29" t="s">
        <v>173</v>
      </c>
      <c r="C41" s="29"/>
      <c r="D41" s="29"/>
      <c r="E41" s="29"/>
      <c r="F41" s="29"/>
      <c r="G41" s="29"/>
      <c r="H41" s="29"/>
    </row>
    <row r="42" spans="1:254">
      <c r="A42" s="5"/>
      <c r="B42" s="5"/>
      <c r="C42" s="5"/>
      <c r="D42" s="5"/>
      <c r="E42" s="5"/>
      <c r="F42" s="5"/>
      <c r="G42" s="5"/>
      <c r="H42" s="5"/>
    </row>
    <row r="43" spans="1:254" ht="15" thickBot="1">
      <c r="A43" s="131" t="s">
        <v>160</v>
      </c>
      <c r="B43" s="132"/>
      <c r="C43" s="132"/>
      <c r="D43" s="1"/>
      <c r="E43" s="1"/>
      <c r="F43" s="1"/>
      <c r="G43" s="1"/>
      <c r="H43" s="1"/>
    </row>
    <row r="44" spans="1:254" ht="16.5" thickBot="1">
      <c r="A44" s="1"/>
      <c r="B44" s="1"/>
      <c r="C44" s="1"/>
      <c r="D44" s="1"/>
      <c r="E44" s="122" t="str">
        <f>IF(ISBLANK(B13),"---",IF(AND(E33&lt;=20,ABS(E35)&lt;=5,E36&lt;=200),"PASS","FAIL"))</f>
        <v>---</v>
      </c>
      <c r="F44" s="1"/>
      <c r="G44" s="1"/>
      <c r="H44" s="1"/>
    </row>
    <row r="45" spans="1:254">
      <c r="A45" s="5"/>
      <c r="B45" s="5"/>
      <c r="C45" s="5"/>
      <c r="D45" s="5"/>
      <c r="E45" s="5"/>
      <c r="F45" s="5"/>
      <c r="G45" s="5"/>
      <c r="H45" s="5"/>
    </row>
    <row r="46" spans="1:254" ht="14.25">
      <c r="A46" s="123" t="s">
        <v>158</v>
      </c>
      <c r="B46" s="1"/>
      <c r="C46" s="1"/>
      <c r="D46" s="1"/>
      <c r="E46" s="1"/>
      <c r="F46" s="1"/>
      <c r="G46" s="1"/>
      <c r="H46" s="1"/>
    </row>
    <row r="47" spans="1:254">
      <c r="A47" s="564"/>
      <c r="B47" s="566"/>
      <c r="C47" s="567"/>
      <c r="D47" s="565"/>
      <c r="E47" s="565"/>
      <c r="F47" s="565"/>
      <c r="G47" s="565"/>
      <c r="H47" s="565"/>
      <c r="I47" s="564"/>
    </row>
    <row r="48" spans="1:254">
      <c r="A48" s="564"/>
      <c r="B48" s="565"/>
      <c r="C48" s="565"/>
      <c r="D48" s="565"/>
      <c r="E48" s="565"/>
      <c r="F48" s="565"/>
      <c r="G48" s="565"/>
      <c r="H48" s="565"/>
      <c r="I48" s="564"/>
    </row>
    <row r="49" spans="1:9">
      <c r="A49" s="564"/>
      <c r="B49" s="565"/>
      <c r="C49" s="565"/>
      <c r="D49" s="565"/>
      <c r="E49" s="565"/>
      <c r="F49" s="565"/>
      <c r="G49" s="565"/>
      <c r="H49" s="565"/>
      <c r="I49" s="564"/>
    </row>
    <row r="50" spans="1:9">
      <c r="A50" s="564"/>
      <c r="B50" s="565"/>
      <c r="C50" s="565"/>
      <c r="D50" s="565"/>
      <c r="E50" s="565"/>
      <c r="F50" s="565"/>
      <c r="G50" s="565"/>
      <c r="H50" s="565"/>
      <c r="I50" s="564"/>
    </row>
    <row r="51" spans="1:9">
      <c r="A51" s="564"/>
      <c r="B51" s="565"/>
      <c r="C51" s="565"/>
      <c r="D51" s="565"/>
      <c r="E51" s="565"/>
      <c r="F51" s="565"/>
      <c r="G51" s="565"/>
      <c r="H51" s="565"/>
      <c r="I51" s="564"/>
    </row>
    <row r="52" spans="1:9">
      <c r="A52" s="564"/>
      <c r="B52" s="565"/>
      <c r="C52" s="565"/>
      <c r="D52" s="565"/>
      <c r="E52" s="565"/>
      <c r="F52" s="565"/>
      <c r="G52" s="565"/>
      <c r="H52" s="565"/>
      <c r="I52" s="564"/>
    </row>
    <row r="53" spans="1:9">
      <c r="A53" s="564"/>
      <c r="B53" s="565"/>
      <c r="C53" s="565"/>
      <c r="D53" s="565"/>
      <c r="E53" s="565"/>
      <c r="F53" s="565"/>
      <c r="G53" s="565"/>
      <c r="H53" s="565"/>
      <c r="I53" s="564"/>
    </row>
    <row r="54" spans="1:9">
      <c r="A54" s="564"/>
      <c r="B54" s="565"/>
      <c r="C54" s="565"/>
      <c r="D54" s="565"/>
      <c r="E54" s="565"/>
      <c r="F54" s="565"/>
      <c r="G54" s="565"/>
      <c r="H54" s="565"/>
      <c r="I54" s="564"/>
    </row>
    <row r="55" spans="1:9">
      <c r="A55" s="564"/>
      <c r="B55" s="565"/>
      <c r="C55" s="565"/>
      <c r="D55" s="565"/>
      <c r="E55" s="565"/>
      <c r="F55" s="565"/>
      <c r="G55" s="565"/>
      <c r="H55" s="565"/>
      <c r="I55" s="564"/>
    </row>
    <row r="56" spans="1:9">
      <c r="A56" s="564"/>
      <c r="B56" s="565"/>
      <c r="C56" s="565"/>
      <c r="D56" s="565"/>
      <c r="E56" s="565"/>
      <c r="F56" s="565"/>
      <c r="G56" s="565"/>
      <c r="H56" s="565"/>
      <c r="I56" s="564"/>
    </row>
    <row r="57" spans="1:9">
      <c r="A57" s="564"/>
      <c r="B57" s="565"/>
      <c r="C57" s="565"/>
      <c r="D57" s="565"/>
      <c r="E57" s="565"/>
      <c r="F57" s="565"/>
      <c r="G57" s="565"/>
      <c r="H57" s="565"/>
      <c r="I57" s="564"/>
    </row>
    <row r="58" spans="1:9">
      <c r="A58" s="564"/>
      <c r="B58" s="565"/>
      <c r="C58" s="565"/>
      <c r="D58" s="565"/>
      <c r="E58" s="565"/>
      <c r="F58" s="565"/>
      <c r="G58" s="565"/>
      <c r="H58" s="565"/>
      <c r="I58" s="564"/>
    </row>
    <row r="59" spans="1:9">
      <c r="A59" s="564"/>
      <c r="B59" s="565"/>
      <c r="C59" s="565"/>
      <c r="D59" s="565"/>
      <c r="E59" s="565"/>
      <c r="F59" s="565"/>
      <c r="G59" s="565"/>
      <c r="H59" s="565"/>
      <c r="I59" s="564"/>
    </row>
    <row r="60" spans="1:9">
      <c r="A60" s="564"/>
      <c r="B60" s="565"/>
      <c r="C60" s="565"/>
      <c r="D60" s="565"/>
      <c r="E60" s="565"/>
      <c r="F60" s="565"/>
      <c r="G60" s="565"/>
      <c r="H60" s="565"/>
      <c r="I60" s="564"/>
    </row>
    <row r="61" spans="1:9">
      <c r="A61" s="564"/>
      <c r="B61" s="565"/>
      <c r="C61" s="565"/>
      <c r="D61" s="565"/>
      <c r="E61" s="565"/>
      <c r="F61" s="565"/>
      <c r="G61" s="565"/>
      <c r="H61" s="565"/>
      <c r="I61" s="564"/>
    </row>
    <row r="62" spans="1:9">
      <c r="A62" s="564"/>
      <c r="B62" s="565"/>
      <c r="C62" s="565"/>
      <c r="D62" s="565"/>
      <c r="E62" s="565"/>
      <c r="F62" s="565"/>
      <c r="G62" s="565"/>
      <c r="H62" s="565"/>
      <c r="I62" s="564"/>
    </row>
    <row r="63" spans="1:9">
      <c r="A63" s="564"/>
      <c r="B63" s="565"/>
      <c r="C63" s="565"/>
      <c r="D63" s="565"/>
      <c r="E63" s="565"/>
      <c r="F63" s="565"/>
      <c r="G63" s="565"/>
      <c r="H63" s="565"/>
      <c r="I63" s="564"/>
    </row>
    <row r="64" spans="1:9">
      <c r="B64" s="4"/>
      <c r="C64" s="4"/>
      <c r="D64" s="4"/>
      <c r="E64" s="4"/>
      <c r="F64" s="4"/>
      <c r="G64" s="4"/>
      <c r="H64" s="4"/>
    </row>
    <row r="65" spans="2:8">
      <c r="B65" s="4"/>
      <c r="C65" s="4"/>
      <c r="D65" s="4"/>
      <c r="E65" s="4"/>
      <c r="F65" s="4"/>
      <c r="G65" s="4"/>
      <c r="H65" s="4"/>
    </row>
    <row r="66" spans="2:8">
      <c r="B66" s="4"/>
      <c r="C66" s="4"/>
      <c r="D66" s="4"/>
      <c r="E66" s="4"/>
      <c r="F66" s="4"/>
      <c r="G66" s="4"/>
      <c r="H66" s="4"/>
    </row>
    <row r="67" spans="2:8">
      <c r="B67" s="4"/>
      <c r="C67" s="4"/>
      <c r="D67" s="4"/>
      <c r="E67" s="4"/>
      <c r="F67" s="4"/>
      <c r="G67" s="4"/>
      <c r="H67" s="4"/>
    </row>
    <row r="68" spans="2:8">
      <c r="B68" s="4"/>
      <c r="C68" s="4"/>
      <c r="D68" s="4"/>
      <c r="E68" s="4"/>
      <c r="F68" s="4"/>
      <c r="G68" s="4"/>
      <c r="H68" s="4"/>
    </row>
    <row r="69" spans="2:8">
      <c r="B69" s="4"/>
      <c r="C69" s="4"/>
      <c r="D69" s="4"/>
      <c r="E69" s="4"/>
      <c r="F69" s="4"/>
      <c r="G69" s="4"/>
      <c r="H69" s="4"/>
    </row>
    <row r="70" spans="2:8">
      <c r="B70" s="4"/>
      <c r="C70" s="4"/>
      <c r="D70" s="4"/>
      <c r="E70" s="4"/>
      <c r="F70" s="4"/>
      <c r="G70" s="4"/>
      <c r="H70" s="4"/>
    </row>
    <row r="71" spans="2:8">
      <c r="B71" s="4"/>
      <c r="C71" s="4"/>
      <c r="D71" s="4"/>
      <c r="E71" s="4"/>
      <c r="F71" s="4"/>
      <c r="G71" s="4"/>
      <c r="H71" s="4"/>
    </row>
    <row r="72" spans="2:8">
      <c r="B72" s="4"/>
      <c r="C72" s="4"/>
      <c r="D72" s="4"/>
      <c r="E72" s="4"/>
      <c r="F72" s="4"/>
      <c r="G72" s="4"/>
      <c r="H72" s="4"/>
    </row>
    <row r="73" spans="2:8">
      <c r="B73" s="4"/>
      <c r="C73" s="4"/>
      <c r="D73" s="4"/>
      <c r="E73" s="4"/>
      <c r="F73" s="4"/>
      <c r="G73" s="4"/>
      <c r="H73" s="4"/>
    </row>
    <row r="74" spans="2:8">
      <c r="B74" s="4"/>
      <c r="C74" s="4"/>
      <c r="D74" s="4"/>
      <c r="E74" s="4"/>
      <c r="F74" s="4"/>
      <c r="G74" s="4"/>
      <c r="H74" s="4"/>
    </row>
    <row r="75" spans="2:8">
      <c r="B75" s="4"/>
      <c r="C75" s="4"/>
      <c r="D75" s="4"/>
      <c r="E75" s="4"/>
      <c r="F75" s="4"/>
      <c r="G75" s="4"/>
      <c r="H75" s="4"/>
    </row>
  </sheetData>
  <phoneticPr fontId="7" type="noConversion"/>
  <pageMargins left="0.75" right="0.75" top="1" bottom="1" header="0.5" footer="0.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tabColor indexed="34"/>
  </sheetPr>
  <dimension ref="A1:Z162"/>
  <sheetViews>
    <sheetView topLeftCell="A31" zoomScale="85" zoomScaleNormal="85" zoomScaleSheetLayoutView="100" workbookViewId="0">
      <selection activeCell="L45" sqref="L45"/>
    </sheetView>
  </sheetViews>
  <sheetFormatPr defaultRowHeight="12.75"/>
  <cols>
    <col min="1" max="1" width="3.42578125" customWidth="1"/>
    <col min="2" max="2" width="11.42578125" customWidth="1"/>
    <col min="3" max="3" width="13" customWidth="1"/>
    <col min="6" max="6" width="9.7109375" customWidth="1"/>
    <col min="7" max="7" width="6" customWidth="1"/>
    <col min="8" max="8" width="6.7109375" customWidth="1"/>
    <col min="9" max="9" width="11" customWidth="1"/>
    <col min="10" max="10" width="15.28515625" customWidth="1"/>
    <col min="11" max="11" width="13.7109375" customWidth="1"/>
    <col min="12" max="12" width="11.42578125" customWidth="1"/>
    <col min="13" max="13" width="13.5703125" customWidth="1"/>
    <col min="14" max="14" width="15.28515625" customWidth="1"/>
    <col min="15" max="15" width="9.140625" style="87"/>
    <col min="19" max="26" width="9.140625" style="4"/>
  </cols>
  <sheetData>
    <row r="1" spans="1:26" s="62" customFormat="1" ht="27.75" customHeight="1">
      <c r="A1" s="712" t="s">
        <v>421</v>
      </c>
      <c r="B1" s="712"/>
      <c r="C1" s="712"/>
      <c r="D1" s="713"/>
      <c r="E1" s="713"/>
      <c r="F1" s="713"/>
      <c r="G1" s="713"/>
      <c r="H1" s="713"/>
      <c r="I1" s="713"/>
      <c r="J1" s="713"/>
      <c r="K1" s="83"/>
      <c r="L1" s="83"/>
      <c r="M1" s="83"/>
      <c r="N1" s="83"/>
      <c r="O1" s="84"/>
      <c r="S1" s="413"/>
      <c r="T1" s="413"/>
      <c r="U1" s="413"/>
      <c r="V1" s="413"/>
      <c r="W1" s="413"/>
      <c r="X1" s="413"/>
      <c r="Y1" s="413"/>
      <c r="Z1" s="413"/>
    </row>
    <row r="2" spans="1:26" s="62" customFormat="1" ht="15.75" customHeight="1">
      <c r="A2" s="163"/>
      <c r="B2" s="163"/>
      <c r="C2" s="163"/>
      <c r="D2" s="81"/>
      <c r="E2" s="81"/>
      <c r="F2" s="81"/>
      <c r="G2" s="81"/>
      <c r="H2" s="81"/>
      <c r="I2" s="81"/>
      <c r="J2" s="81"/>
      <c r="K2" s="83"/>
      <c r="L2" s="83"/>
      <c r="M2" s="83"/>
      <c r="N2" s="83"/>
      <c r="O2" s="84"/>
      <c r="S2" s="413"/>
      <c r="T2" s="413"/>
      <c r="U2" s="413"/>
      <c r="V2" s="413"/>
      <c r="W2" s="413"/>
      <c r="X2" s="413"/>
      <c r="Y2" s="413"/>
      <c r="Z2" s="413"/>
    </row>
    <row r="3" spans="1:26" s="62" customFormat="1" ht="33.75" customHeight="1">
      <c r="A3" s="723" t="s">
        <v>383</v>
      </c>
      <c r="B3" s="724"/>
      <c r="C3" s="724"/>
      <c r="D3" s="724"/>
      <c r="E3" s="724"/>
      <c r="F3" s="724"/>
      <c r="G3" s="724"/>
      <c r="H3" s="724"/>
      <c r="I3" s="724"/>
      <c r="J3" s="724"/>
      <c r="K3" s="724"/>
      <c r="L3" s="724"/>
      <c r="M3" s="724"/>
      <c r="N3" s="725"/>
      <c r="O3" s="84"/>
      <c r="S3" s="413"/>
      <c r="T3" s="413"/>
      <c r="U3" s="413"/>
      <c r="V3" s="413"/>
      <c r="W3" s="413"/>
      <c r="X3" s="413"/>
      <c r="Y3" s="413"/>
      <c r="Z3" s="413"/>
    </row>
    <row r="4" spans="1:26" s="62" customFormat="1" ht="17.25" customHeight="1">
      <c r="A4" s="726" t="s">
        <v>183</v>
      </c>
      <c r="B4" s="727"/>
      <c r="C4" s="727"/>
      <c r="D4" s="727"/>
      <c r="E4" s="727"/>
      <c r="F4" s="727"/>
      <c r="G4" s="727"/>
      <c r="H4" s="727"/>
      <c r="I4" s="727"/>
      <c r="J4" s="727"/>
      <c r="K4" s="727"/>
      <c r="L4" s="727"/>
      <c r="M4" s="727"/>
      <c r="N4" s="728"/>
      <c r="O4" s="84"/>
      <c r="S4" s="413"/>
      <c r="T4" s="413"/>
      <c r="U4" s="413"/>
      <c r="V4" s="413"/>
      <c r="W4" s="413"/>
      <c r="X4" s="413"/>
      <c r="Y4" s="413"/>
      <c r="Z4" s="413"/>
    </row>
    <row r="5" spans="1:26" s="62" customFormat="1" ht="18" customHeight="1">
      <c r="A5" s="163"/>
      <c r="B5" s="163"/>
      <c r="C5" s="163"/>
      <c r="D5" s="81"/>
      <c r="E5" s="81"/>
      <c r="F5" s="81"/>
      <c r="G5" s="81"/>
      <c r="H5" s="81"/>
      <c r="I5" s="81"/>
      <c r="J5" s="81"/>
      <c r="K5" s="83"/>
      <c r="L5" s="83"/>
      <c r="M5" s="83"/>
      <c r="N5" s="83"/>
      <c r="O5" s="84"/>
      <c r="S5" s="413"/>
      <c r="T5" s="413"/>
      <c r="U5" s="413"/>
      <c r="V5" s="413"/>
      <c r="W5" s="413"/>
      <c r="X5" s="413"/>
      <c r="Y5" s="413"/>
      <c r="Z5" s="413"/>
    </row>
    <row r="6" spans="1:26" s="1" customFormat="1" ht="14.25">
      <c r="A6" s="123" t="s">
        <v>90</v>
      </c>
      <c r="B6" s="2"/>
      <c r="S6" s="4"/>
      <c r="T6" s="4"/>
      <c r="U6" s="4"/>
      <c r="V6" s="4"/>
      <c r="W6" s="4"/>
      <c r="X6" s="4"/>
      <c r="Y6" s="4"/>
      <c r="Z6" s="4"/>
    </row>
    <row r="7" spans="1:26" s="1" customFormat="1">
      <c r="B7" s="2"/>
      <c r="C7" s="1" t="s">
        <v>185</v>
      </c>
      <c r="S7" s="4"/>
      <c r="T7" s="4"/>
      <c r="U7" s="4"/>
      <c r="V7" s="4"/>
      <c r="W7" s="4"/>
      <c r="X7" s="4"/>
      <c r="Y7" s="4"/>
      <c r="Z7" s="4"/>
    </row>
    <row r="8" spans="1:26" s="1" customFormat="1">
      <c r="A8" s="5"/>
      <c r="B8" s="124"/>
      <c r="C8" s="5"/>
      <c r="D8" s="5"/>
      <c r="E8" s="5"/>
      <c r="F8" s="5"/>
      <c r="G8" s="5"/>
      <c r="H8" s="5"/>
      <c r="I8" s="5"/>
      <c r="J8" s="5"/>
      <c r="K8" s="5"/>
      <c r="L8" s="5"/>
      <c r="M8" s="5"/>
      <c r="N8" s="5"/>
      <c r="S8" s="4"/>
      <c r="T8" s="4"/>
      <c r="U8" s="4"/>
      <c r="V8" s="4"/>
      <c r="W8" s="4"/>
      <c r="X8" s="4"/>
      <c r="Y8" s="4"/>
      <c r="Z8" s="4"/>
    </row>
    <row r="9" spans="1:26" s="1" customFormat="1" ht="14.25">
      <c r="A9" s="123" t="s">
        <v>143</v>
      </c>
      <c r="S9" s="4"/>
      <c r="T9" s="4"/>
      <c r="U9" s="4"/>
      <c r="V9" s="4"/>
      <c r="W9" s="4"/>
      <c r="X9" s="4"/>
      <c r="Y9" s="4"/>
      <c r="Z9" s="4"/>
    </row>
    <row r="10" spans="1:26" s="1" customFormat="1" ht="15.75">
      <c r="A10" s="123"/>
      <c r="C10" s="550" t="s">
        <v>184</v>
      </c>
      <c r="D10" s="62"/>
      <c r="E10" s="62"/>
      <c r="F10" s="62"/>
      <c r="G10" s="62"/>
      <c r="H10" s="62"/>
      <c r="I10" s="62"/>
      <c r="J10" s="62"/>
      <c r="S10" s="4"/>
      <c r="T10" s="4"/>
      <c r="U10" s="4"/>
      <c r="V10" s="4"/>
      <c r="W10" s="4"/>
      <c r="X10" s="4"/>
      <c r="Y10" s="4"/>
      <c r="Z10" s="4"/>
    </row>
    <row r="11" spans="1:26" s="78" customFormat="1" ht="15">
      <c r="A11" s="164"/>
      <c r="C11" s="79" t="s">
        <v>55</v>
      </c>
      <c r="D11" s="79"/>
      <c r="E11" s="79"/>
      <c r="F11" s="79"/>
      <c r="G11" s="79"/>
      <c r="H11" s="79"/>
      <c r="I11" s="79"/>
      <c r="J11" s="79"/>
      <c r="K11" s="79"/>
      <c r="L11" s="79"/>
      <c r="M11" s="79"/>
      <c r="N11" s="79"/>
      <c r="O11" s="82"/>
      <c r="S11" s="414"/>
      <c r="T11" s="414"/>
      <c r="U11" s="414"/>
      <c r="V11" s="414"/>
      <c r="W11" s="414"/>
      <c r="X11" s="414"/>
      <c r="Y11" s="414"/>
      <c r="Z11" s="414"/>
    </row>
    <row r="12" spans="1:26" s="78" customFormat="1" ht="15">
      <c r="A12" s="164"/>
      <c r="C12" s="79" t="s">
        <v>56</v>
      </c>
      <c r="D12" s="79"/>
      <c r="E12" s="79"/>
      <c r="F12" s="79"/>
      <c r="G12" s="79"/>
      <c r="H12" s="79"/>
      <c r="I12" s="79"/>
      <c r="J12" s="79"/>
      <c r="K12" s="79"/>
      <c r="L12" s="79"/>
      <c r="M12" s="79"/>
      <c r="N12" s="79"/>
      <c r="O12" s="82"/>
      <c r="S12" s="414"/>
      <c r="T12" s="414"/>
      <c r="U12" s="414"/>
      <c r="V12" s="414"/>
      <c r="W12" s="414"/>
      <c r="X12" s="414"/>
      <c r="Y12" s="414"/>
      <c r="Z12" s="414"/>
    </row>
    <row r="13" spans="1:26" s="78" customFormat="1" ht="15">
      <c r="A13" s="164"/>
      <c r="C13" s="79" t="s">
        <v>404</v>
      </c>
      <c r="D13" s="79"/>
      <c r="E13" s="79"/>
      <c r="F13" s="79"/>
      <c r="G13" s="79"/>
      <c r="H13" s="79"/>
      <c r="I13" s="79"/>
      <c r="J13" s="79"/>
      <c r="K13" s="79"/>
      <c r="L13" s="79"/>
      <c r="M13" s="79"/>
      <c r="N13" s="79"/>
      <c r="O13" s="82"/>
      <c r="S13" s="414"/>
      <c r="T13" s="414"/>
      <c r="U13" s="414"/>
      <c r="V13" s="414"/>
      <c r="W13" s="414"/>
      <c r="X13" s="414"/>
      <c r="Y13" s="414"/>
      <c r="Z13" s="414"/>
    </row>
    <row r="14" spans="1:26" s="78" customFormat="1" ht="15">
      <c r="A14" s="164"/>
      <c r="C14" s="79" t="s">
        <v>57</v>
      </c>
      <c r="D14" s="79"/>
      <c r="E14" s="79"/>
      <c r="F14" s="79"/>
      <c r="G14" s="79"/>
      <c r="H14" s="79"/>
      <c r="I14" s="79"/>
      <c r="J14" s="79"/>
      <c r="K14" s="79"/>
      <c r="L14" s="79"/>
      <c r="M14" s="79"/>
      <c r="N14" s="79"/>
      <c r="O14" s="82"/>
      <c r="P14" s="80"/>
      <c r="S14" s="414"/>
      <c r="T14" s="414"/>
      <c r="U14" s="414"/>
      <c r="V14" s="414"/>
      <c r="W14" s="414"/>
      <c r="X14" s="414"/>
      <c r="Y14" s="414"/>
      <c r="Z14" s="414"/>
    </row>
    <row r="15" spans="1:26" s="78" customFormat="1" ht="15.75">
      <c r="A15" s="164"/>
      <c r="C15" s="85" t="s">
        <v>391</v>
      </c>
      <c r="D15" s="79"/>
      <c r="E15" s="79"/>
      <c r="F15" s="79"/>
      <c r="G15" s="79"/>
      <c r="H15" s="79"/>
      <c r="I15" s="79"/>
      <c r="J15" s="79"/>
      <c r="K15" s="79"/>
      <c r="L15" s="79"/>
      <c r="M15" s="79"/>
      <c r="N15" s="79"/>
      <c r="O15" s="82"/>
      <c r="P15" s="80"/>
      <c r="S15" s="414"/>
      <c r="T15" s="414"/>
      <c r="U15" s="414"/>
      <c r="V15" s="414"/>
      <c r="W15" s="414"/>
      <c r="X15" s="414"/>
      <c r="Y15" s="414"/>
      <c r="Z15" s="414"/>
    </row>
    <row r="16" spans="1:26" s="1" customFormat="1" ht="15.75">
      <c r="A16" s="123"/>
      <c r="C16" s="63"/>
      <c r="D16" s="62"/>
      <c r="E16" s="62"/>
      <c r="F16" s="62"/>
      <c r="G16" s="62"/>
      <c r="H16" s="62"/>
      <c r="I16" s="62"/>
      <c r="J16" s="62"/>
      <c r="S16" s="4"/>
      <c r="T16" s="4"/>
      <c r="U16" s="4"/>
      <c r="V16" s="4"/>
      <c r="W16" s="4"/>
      <c r="X16" s="4"/>
      <c r="Y16" s="4"/>
      <c r="Z16" s="4"/>
    </row>
    <row r="17" spans="1:26" s="1" customFormat="1" ht="15.75">
      <c r="A17" s="125"/>
      <c r="B17" s="125"/>
      <c r="C17" s="550" t="s">
        <v>58</v>
      </c>
      <c r="D17" s="62"/>
      <c r="E17" s="62"/>
      <c r="F17" s="62"/>
      <c r="G17" s="62"/>
      <c r="H17" s="62"/>
      <c r="I17" s="62"/>
      <c r="J17" s="62"/>
      <c r="S17" s="4"/>
      <c r="T17" s="4"/>
      <c r="U17" s="4"/>
      <c r="V17" s="4"/>
      <c r="W17" s="4"/>
      <c r="X17" s="4"/>
      <c r="Y17" s="4"/>
      <c r="Z17" s="4"/>
    </row>
    <row r="18" spans="1:26" s="64" customFormat="1" ht="14.25" customHeight="1">
      <c r="A18" s="62"/>
      <c r="B18" s="74">
        <v>1</v>
      </c>
      <c r="C18" s="551" t="s">
        <v>59</v>
      </c>
      <c r="D18" s="551"/>
      <c r="E18" s="552"/>
      <c r="F18" s="551"/>
      <c r="G18" s="551"/>
      <c r="H18" s="551"/>
      <c r="I18" s="551"/>
      <c r="J18" s="551"/>
      <c r="K18" s="62"/>
      <c r="L18" s="62"/>
      <c r="M18" s="62"/>
      <c r="N18" s="62"/>
      <c r="O18" s="62"/>
      <c r="P18" s="62"/>
      <c r="Q18" s="62"/>
      <c r="R18" s="62"/>
      <c r="S18" s="413"/>
      <c r="T18" s="413"/>
      <c r="U18" s="413"/>
      <c r="V18" s="413"/>
      <c r="W18" s="413"/>
      <c r="X18" s="413"/>
      <c r="Y18" s="413"/>
      <c r="Z18" s="413"/>
    </row>
    <row r="19" spans="1:26" s="64" customFormat="1" ht="14.25" customHeight="1">
      <c r="A19" s="62"/>
      <c r="B19" s="74">
        <v>2</v>
      </c>
      <c r="C19" s="553" t="s">
        <v>60</v>
      </c>
      <c r="D19" s="551"/>
      <c r="E19" s="552"/>
      <c r="F19" s="551"/>
      <c r="G19" s="551"/>
      <c r="H19" s="551"/>
      <c r="I19" s="551"/>
      <c r="J19" s="551"/>
      <c r="K19" s="62"/>
      <c r="L19" s="62"/>
      <c r="M19" s="62"/>
      <c r="N19" s="62"/>
      <c r="O19" s="62"/>
      <c r="P19" s="62"/>
      <c r="Q19" s="62"/>
      <c r="R19" s="62"/>
      <c r="S19" s="413"/>
      <c r="T19" s="413"/>
      <c r="U19" s="413"/>
      <c r="V19" s="413"/>
      <c r="W19" s="413"/>
      <c r="X19" s="413"/>
      <c r="Y19" s="413"/>
      <c r="Z19" s="413"/>
    </row>
    <row r="20" spans="1:26" s="64" customFormat="1" ht="14.25" customHeight="1">
      <c r="A20" s="62"/>
      <c r="B20" s="74"/>
      <c r="C20" s="551" t="s">
        <v>63</v>
      </c>
      <c r="D20" s="554" t="s">
        <v>64</v>
      </c>
      <c r="E20" s="552"/>
      <c r="F20" s="551"/>
      <c r="G20" s="551"/>
      <c r="H20" s="62"/>
      <c r="I20" s="62"/>
      <c r="J20" s="551"/>
      <c r="K20" s="62"/>
      <c r="L20" s="62"/>
      <c r="M20" s="62"/>
      <c r="N20" s="62"/>
      <c r="O20" s="62"/>
      <c r="P20" s="62"/>
      <c r="Q20" s="62"/>
      <c r="R20" s="62"/>
      <c r="S20" s="413"/>
      <c r="T20" s="413"/>
      <c r="U20" s="413"/>
      <c r="V20" s="413"/>
      <c r="W20" s="413"/>
      <c r="X20" s="413"/>
      <c r="Y20" s="413"/>
      <c r="Z20" s="413"/>
    </row>
    <row r="21" spans="1:26" s="64" customFormat="1" ht="14.25" customHeight="1">
      <c r="A21" s="62"/>
      <c r="B21" s="74"/>
      <c r="C21" s="551" t="s">
        <v>61</v>
      </c>
      <c r="D21" s="554" t="s">
        <v>62</v>
      </c>
      <c r="E21" s="552"/>
      <c r="F21" s="551"/>
      <c r="G21" s="551"/>
      <c r="H21" s="551"/>
      <c r="I21" s="551"/>
      <c r="J21" s="551"/>
      <c r="K21" s="62"/>
      <c r="L21" s="62"/>
      <c r="M21" s="62"/>
      <c r="N21" s="62"/>
      <c r="O21" s="62"/>
      <c r="P21" s="62"/>
      <c r="Q21" s="62"/>
      <c r="R21" s="62"/>
      <c r="S21" s="413"/>
      <c r="T21" s="413"/>
      <c r="U21" s="413"/>
      <c r="V21" s="413"/>
      <c r="W21" s="413"/>
      <c r="X21" s="413"/>
      <c r="Y21" s="413"/>
      <c r="Z21" s="413"/>
    </row>
    <row r="22" spans="1:26" s="64" customFormat="1" ht="14.25" customHeight="1">
      <c r="A22" s="62"/>
      <c r="B22" s="74"/>
      <c r="C22" s="551" t="s">
        <v>65</v>
      </c>
      <c r="D22" s="554" t="s">
        <v>66</v>
      </c>
      <c r="E22" s="552"/>
      <c r="F22" s="551"/>
      <c r="G22" s="551"/>
      <c r="H22" s="551"/>
      <c r="I22" s="551"/>
      <c r="J22" s="551"/>
      <c r="K22" s="62"/>
      <c r="L22" s="62"/>
      <c r="M22" s="62"/>
      <c r="N22" s="62"/>
      <c r="O22" s="62"/>
      <c r="P22" s="62"/>
      <c r="Q22" s="62"/>
      <c r="R22" s="62"/>
      <c r="S22" s="413"/>
      <c r="T22" s="413"/>
      <c r="U22" s="413"/>
      <c r="V22" s="413"/>
      <c r="W22" s="413"/>
      <c r="X22" s="413"/>
      <c r="Y22" s="413"/>
      <c r="Z22" s="413"/>
    </row>
    <row r="23" spans="1:26" s="64" customFormat="1" ht="14.25" customHeight="1">
      <c r="A23" s="62"/>
      <c r="B23" s="74">
        <v>3</v>
      </c>
      <c r="C23" s="551" t="s">
        <v>392</v>
      </c>
      <c r="D23" s="551"/>
      <c r="E23" s="552"/>
      <c r="F23" s="551"/>
      <c r="G23" s="551"/>
      <c r="H23" s="551"/>
      <c r="I23" s="551"/>
      <c r="J23" s="551"/>
      <c r="K23" s="62"/>
      <c r="L23" s="62"/>
      <c r="M23" s="62"/>
      <c r="N23" s="62"/>
      <c r="O23" s="62"/>
      <c r="P23" s="62"/>
      <c r="Q23" s="62"/>
      <c r="R23" s="62"/>
      <c r="S23" s="413"/>
      <c r="T23" s="413"/>
      <c r="U23" s="413"/>
      <c r="V23" s="413"/>
      <c r="W23" s="413"/>
      <c r="X23" s="413"/>
      <c r="Y23" s="413"/>
      <c r="Z23" s="413"/>
    </row>
    <row r="24" spans="1:26" s="64" customFormat="1" ht="14.25" customHeight="1">
      <c r="A24" s="62"/>
      <c r="B24" s="74">
        <v>4</v>
      </c>
      <c r="C24" s="551" t="s">
        <v>398</v>
      </c>
      <c r="D24" s="551"/>
      <c r="E24" s="552"/>
      <c r="F24" s="551"/>
      <c r="G24" s="551"/>
      <c r="H24" s="551"/>
      <c r="I24" s="551"/>
      <c r="J24" s="551"/>
      <c r="K24" s="62"/>
      <c r="L24" s="62"/>
      <c r="M24" s="62"/>
      <c r="N24" s="62"/>
      <c r="O24" s="62"/>
      <c r="P24" s="62"/>
      <c r="Q24" s="62"/>
      <c r="R24" s="62"/>
      <c r="S24" s="413"/>
      <c r="T24" s="413"/>
      <c r="U24" s="413"/>
      <c r="V24" s="413"/>
      <c r="W24" s="413"/>
      <c r="X24" s="413"/>
      <c r="Y24" s="413"/>
      <c r="Z24" s="413"/>
    </row>
    <row r="25" spans="1:26" s="64" customFormat="1" ht="13.5" customHeight="1">
      <c r="A25" s="62"/>
      <c r="B25" s="74">
        <v>5</v>
      </c>
      <c r="C25" s="551" t="s">
        <v>67</v>
      </c>
      <c r="D25" s="551"/>
      <c r="E25" s="552"/>
      <c r="F25" s="551"/>
      <c r="G25" s="551"/>
      <c r="H25" s="551"/>
      <c r="I25" s="551"/>
      <c r="J25" s="551"/>
      <c r="K25" s="62"/>
      <c r="L25" s="62"/>
      <c r="M25" s="62"/>
      <c r="N25" s="62"/>
      <c r="O25" s="62"/>
      <c r="P25" s="62"/>
      <c r="Q25" s="62"/>
      <c r="R25" s="62"/>
      <c r="S25" s="413"/>
      <c r="T25" s="413"/>
      <c r="U25" s="413"/>
      <c r="V25" s="413"/>
      <c r="W25" s="413"/>
      <c r="X25" s="413"/>
      <c r="Y25" s="413"/>
      <c r="Z25" s="413"/>
    </row>
    <row r="26" spans="1:26" s="64" customFormat="1" ht="15">
      <c r="A26" s="62"/>
      <c r="B26" s="74">
        <v>6</v>
      </c>
      <c r="C26" s="551" t="s">
        <v>68</v>
      </c>
      <c r="D26" s="551"/>
      <c r="E26" s="552"/>
      <c r="F26" s="551"/>
      <c r="G26" s="551"/>
      <c r="H26" s="551"/>
      <c r="I26" s="551"/>
      <c r="J26" s="551"/>
      <c r="K26" s="62"/>
      <c r="L26" s="62"/>
      <c r="M26" s="62"/>
      <c r="N26" s="62"/>
      <c r="O26" s="62"/>
      <c r="P26" s="62"/>
      <c r="Q26" s="62"/>
      <c r="R26" s="62"/>
      <c r="S26" s="413"/>
      <c r="T26" s="413"/>
      <c r="U26" s="413"/>
      <c r="V26" s="413"/>
      <c r="W26" s="413"/>
      <c r="X26" s="413"/>
      <c r="Y26" s="413"/>
      <c r="Z26" s="413"/>
    </row>
    <row r="27" spans="1:26" s="64" customFormat="1" ht="15.75">
      <c r="A27" s="62"/>
      <c r="B27" s="74">
        <v>7</v>
      </c>
      <c r="C27" s="551" t="s">
        <v>434</v>
      </c>
      <c r="D27" s="551"/>
      <c r="E27" s="552"/>
      <c r="F27" s="551"/>
      <c r="G27" s="551"/>
      <c r="H27" s="551"/>
      <c r="I27" s="551"/>
      <c r="J27" s="551"/>
      <c r="K27" s="62"/>
      <c r="L27" s="62"/>
      <c r="M27" s="62"/>
      <c r="N27" s="62"/>
      <c r="O27" s="62"/>
      <c r="P27" s="62"/>
      <c r="Q27" s="62"/>
      <c r="R27" s="62"/>
      <c r="S27" s="413"/>
      <c r="T27" s="413"/>
      <c r="U27" s="413"/>
      <c r="V27" s="413"/>
      <c r="W27" s="413"/>
      <c r="X27" s="413"/>
      <c r="Y27" s="413"/>
      <c r="Z27" s="413"/>
    </row>
    <row r="28" spans="1:26" s="64" customFormat="1" ht="15">
      <c r="A28" s="62"/>
      <c r="B28" s="74">
        <v>8</v>
      </c>
      <c r="C28" s="551" t="s">
        <v>69</v>
      </c>
      <c r="D28" s="551"/>
      <c r="E28" s="552"/>
      <c r="F28" s="551"/>
      <c r="G28" s="551"/>
      <c r="H28" s="551"/>
      <c r="I28" s="551"/>
      <c r="J28" s="551"/>
      <c r="K28" s="62"/>
      <c r="L28" s="62"/>
      <c r="M28" s="62"/>
      <c r="N28" s="62"/>
      <c r="O28" s="62"/>
      <c r="P28" s="62"/>
      <c r="Q28" s="62"/>
      <c r="R28" s="62"/>
      <c r="S28" s="413"/>
      <c r="T28" s="413"/>
      <c r="U28" s="413"/>
      <c r="V28" s="413"/>
      <c r="W28" s="413"/>
      <c r="X28" s="413"/>
      <c r="Y28" s="413"/>
      <c r="Z28" s="413"/>
    </row>
    <row r="29" spans="1:26" s="1" customFormat="1" ht="225.75" customHeight="1">
      <c r="A29" s="125"/>
      <c r="B29" s="125"/>
      <c r="C29" s="165"/>
      <c r="S29" s="4"/>
      <c r="T29" s="4"/>
      <c r="U29" s="4"/>
      <c r="V29" s="4"/>
      <c r="W29" s="4"/>
      <c r="X29" s="4"/>
      <c r="Y29" s="4"/>
      <c r="Z29" s="4"/>
    </row>
    <row r="30" spans="1:26" s="1" customFormat="1" ht="270" customHeight="1">
      <c r="A30" s="126"/>
      <c r="B30" s="126"/>
      <c r="C30" s="5"/>
      <c r="D30" s="5"/>
      <c r="E30" s="5"/>
      <c r="F30" s="5"/>
      <c r="G30" s="5"/>
      <c r="H30" s="5"/>
      <c r="I30" s="5"/>
      <c r="J30" s="5"/>
      <c r="K30" s="5"/>
      <c r="L30" s="5"/>
      <c r="M30" s="5"/>
      <c r="N30" s="5"/>
      <c r="S30" s="4"/>
      <c r="T30" s="4"/>
      <c r="U30" s="4"/>
      <c r="V30" s="4"/>
      <c r="W30" s="4"/>
      <c r="X30" s="4"/>
      <c r="Y30" s="4"/>
      <c r="Z30" s="4"/>
    </row>
    <row r="31" spans="1:26" s="1" customFormat="1" ht="14.25">
      <c r="A31" s="123" t="s">
        <v>186</v>
      </c>
      <c r="B31" s="125"/>
      <c r="S31" s="4"/>
      <c r="T31" s="4"/>
      <c r="U31" s="4"/>
      <c r="V31" s="4"/>
      <c r="W31" s="4"/>
      <c r="X31" s="4"/>
      <c r="Y31" s="4"/>
      <c r="Z31" s="4"/>
    </row>
    <row r="32" spans="1:26" s="1" customFormat="1">
      <c r="B32" s="44"/>
      <c r="D32" s="3"/>
      <c r="E32" s="127"/>
      <c r="F32" s="45"/>
      <c r="S32" s="4"/>
      <c r="T32" s="4"/>
      <c r="U32" s="4"/>
      <c r="V32" s="4"/>
      <c r="W32" s="4"/>
      <c r="X32" s="4"/>
      <c r="Y32" s="4"/>
      <c r="Z32" s="4"/>
    </row>
    <row r="33" spans="1:26" s="20" customFormat="1" ht="18" customHeight="1">
      <c r="A33" s="2"/>
      <c r="B33" s="536" t="s">
        <v>114</v>
      </c>
      <c r="C33" s="714" t="s">
        <v>115</v>
      </c>
      <c r="D33" s="714"/>
      <c r="E33" s="714"/>
      <c r="F33" s="715"/>
      <c r="G33" s="715"/>
      <c r="H33" s="719" t="s">
        <v>189</v>
      </c>
      <c r="I33" s="720"/>
      <c r="J33" s="720"/>
      <c r="K33" s="721"/>
      <c r="L33" s="721"/>
      <c r="M33" s="722"/>
      <c r="N33" s="187"/>
      <c r="O33" s="2"/>
      <c r="P33" s="2"/>
      <c r="Q33" s="2"/>
      <c r="R33" s="2"/>
      <c r="S33" s="9"/>
      <c r="T33" s="9"/>
      <c r="U33" s="9"/>
      <c r="V33" s="9"/>
      <c r="W33" s="9"/>
      <c r="X33" s="9"/>
      <c r="Y33" s="9"/>
      <c r="Z33" s="9"/>
    </row>
    <row r="34" spans="1:26" s="20" customFormat="1" ht="18" customHeight="1">
      <c r="A34" s="2"/>
      <c r="B34" s="706" t="s">
        <v>428</v>
      </c>
      <c r="C34" s="707"/>
      <c r="D34" s="707"/>
      <c r="E34" s="707"/>
      <c r="F34" s="707"/>
      <c r="G34" s="707"/>
      <c r="H34" s="707"/>
      <c r="I34" s="707"/>
      <c r="J34" s="707"/>
      <c r="K34" s="707"/>
      <c r="L34" s="707"/>
      <c r="M34" s="708"/>
      <c r="N34" s="187"/>
      <c r="O34" s="2"/>
      <c r="P34" s="2"/>
      <c r="Q34" s="2"/>
      <c r="R34" s="2"/>
      <c r="S34" s="9"/>
      <c r="T34" s="9"/>
      <c r="U34" s="9"/>
      <c r="V34" s="9"/>
      <c r="W34" s="9"/>
      <c r="X34" s="9"/>
      <c r="Y34" s="9"/>
      <c r="Z34" s="9"/>
    </row>
    <row r="35" spans="1:26" s="32" customFormat="1" ht="15.75" customHeight="1">
      <c r="A35" s="44"/>
      <c r="B35" s="709">
        <v>1</v>
      </c>
      <c r="C35" s="710" t="s">
        <v>70</v>
      </c>
      <c r="D35" s="670"/>
      <c r="E35" s="670"/>
      <c r="F35" s="670"/>
      <c r="G35" s="671"/>
      <c r="H35" s="685"/>
      <c r="I35" s="686"/>
      <c r="J35" s="686"/>
      <c r="K35" s="686"/>
      <c r="L35" s="167"/>
      <c r="M35" s="199"/>
      <c r="N35" s="42"/>
      <c r="O35" s="46"/>
      <c r="P35" s="44"/>
      <c r="Q35" s="44"/>
      <c r="R35" s="44"/>
      <c r="S35" s="29"/>
      <c r="T35" s="29"/>
      <c r="U35" s="29"/>
      <c r="V35" s="29"/>
      <c r="W35" s="29"/>
      <c r="X35" s="29"/>
      <c r="Y35" s="29"/>
      <c r="Z35" s="29"/>
    </row>
    <row r="36" spans="1:26" s="32" customFormat="1" ht="15.75" customHeight="1">
      <c r="A36" s="44"/>
      <c r="B36" s="709"/>
      <c r="C36" s="710"/>
      <c r="D36" s="670"/>
      <c r="E36" s="670"/>
      <c r="F36" s="670"/>
      <c r="G36" s="671"/>
      <c r="H36" s="685"/>
      <c r="I36" s="686"/>
      <c r="J36" s="686"/>
      <c r="K36" s="686"/>
      <c r="L36" s="167"/>
      <c r="M36" s="687"/>
      <c r="N36" s="42"/>
      <c r="O36" s="46"/>
      <c r="P36" s="44"/>
      <c r="Q36" s="44"/>
      <c r="R36" s="44"/>
      <c r="S36" s="29"/>
      <c r="T36" s="29"/>
      <c r="U36" s="29"/>
      <c r="V36" s="29"/>
      <c r="W36" s="29"/>
      <c r="X36" s="29"/>
      <c r="Y36" s="29"/>
      <c r="Z36" s="29"/>
    </row>
    <row r="37" spans="1:26" s="32" customFormat="1" ht="27.75" customHeight="1">
      <c r="A37" s="44"/>
      <c r="B37" s="709"/>
      <c r="C37" s="710"/>
      <c r="D37" s="670"/>
      <c r="E37" s="670"/>
      <c r="F37" s="670"/>
      <c r="G37" s="670"/>
      <c r="H37" s="142"/>
      <c r="I37" s="43"/>
      <c r="J37" s="43"/>
      <c r="K37" s="43"/>
      <c r="L37" s="168" t="s">
        <v>71</v>
      </c>
      <c r="M37" s="687"/>
      <c r="N37" s="42"/>
      <c r="O37" s="46"/>
      <c r="P37" s="44"/>
      <c r="Q37" s="44"/>
      <c r="R37" s="44"/>
      <c r="S37" s="29"/>
      <c r="T37" s="29"/>
      <c r="U37" s="29"/>
      <c r="V37" s="29"/>
      <c r="W37" s="29"/>
      <c r="X37" s="29"/>
      <c r="Y37" s="29"/>
      <c r="Z37" s="29"/>
    </row>
    <row r="38" spans="1:26" s="32" customFormat="1" ht="14.25" customHeight="1">
      <c r="A38" s="44"/>
      <c r="B38" s="664"/>
      <c r="C38" s="669"/>
      <c r="D38" s="711"/>
      <c r="E38" s="711"/>
      <c r="F38" s="711"/>
      <c r="G38" s="670"/>
      <c r="H38" s="142"/>
      <c r="I38" s="168"/>
      <c r="J38" s="168"/>
      <c r="K38" s="110" t="s">
        <v>72</v>
      </c>
      <c r="L38" s="421"/>
      <c r="M38" s="200"/>
      <c r="N38" s="42"/>
      <c r="O38" s="46"/>
      <c r="P38" s="44"/>
      <c r="Q38" s="44"/>
      <c r="R38" s="44"/>
      <c r="S38" s="29"/>
      <c r="T38" s="29"/>
      <c r="U38" s="29"/>
      <c r="V38" s="29"/>
      <c r="W38" s="29"/>
      <c r="X38" s="29"/>
      <c r="Y38" s="29"/>
      <c r="Z38" s="29"/>
    </row>
    <row r="39" spans="1:26" s="32" customFormat="1">
      <c r="A39" s="44"/>
      <c r="B39" s="664"/>
      <c r="C39" s="669"/>
      <c r="D39" s="711"/>
      <c r="E39" s="711"/>
      <c r="F39" s="711"/>
      <c r="G39" s="670"/>
      <c r="H39" s="142"/>
      <c r="I39" s="168"/>
      <c r="J39" s="168"/>
      <c r="K39" s="110" t="s">
        <v>73</v>
      </c>
      <c r="L39" s="421"/>
      <c r="M39" s="200"/>
      <c r="N39" s="41"/>
      <c r="O39" s="46"/>
      <c r="P39" s="44"/>
      <c r="Q39" s="44"/>
      <c r="R39" s="44"/>
      <c r="S39" s="29"/>
      <c r="T39" s="29"/>
      <c r="U39" s="29"/>
      <c r="V39" s="29"/>
      <c r="W39" s="29"/>
      <c r="X39" s="29"/>
      <c r="Y39" s="29"/>
      <c r="Z39" s="29"/>
    </row>
    <row r="40" spans="1:26" s="32" customFormat="1">
      <c r="A40" s="44"/>
      <c r="B40" s="664"/>
      <c r="C40" s="669"/>
      <c r="D40" s="711"/>
      <c r="E40" s="711"/>
      <c r="F40" s="711"/>
      <c r="G40" s="670"/>
      <c r="H40" s="142"/>
      <c r="I40" s="168"/>
      <c r="J40" s="168"/>
      <c r="K40" s="110" t="s">
        <v>74</v>
      </c>
      <c r="L40" s="421"/>
      <c r="M40" s="200"/>
      <c r="N40" s="169"/>
      <c r="O40" s="46"/>
      <c r="P40" s="44"/>
      <c r="Q40" s="44"/>
      <c r="R40" s="44"/>
      <c r="S40" s="29"/>
      <c r="T40" s="29"/>
      <c r="U40" s="29"/>
      <c r="V40" s="29"/>
      <c r="W40" s="29"/>
      <c r="X40" s="29"/>
      <c r="Y40" s="29"/>
      <c r="Z40" s="29"/>
    </row>
    <row r="41" spans="1:26" s="32" customFormat="1">
      <c r="A41" s="44"/>
      <c r="B41" s="664"/>
      <c r="C41" s="669"/>
      <c r="D41" s="711"/>
      <c r="E41" s="711"/>
      <c r="F41" s="711"/>
      <c r="G41" s="670"/>
      <c r="H41" s="142"/>
      <c r="I41" s="168"/>
      <c r="J41" s="168"/>
      <c r="K41" s="110" t="s">
        <v>75</v>
      </c>
      <c r="L41" s="421"/>
      <c r="M41" s="200"/>
      <c r="N41" s="41"/>
      <c r="O41" s="46"/>
      <c r="P41" s="44"/>
      <c r="Q41" s="44"/>
      <c r="R41" s="44"/>
      <c r="S41" s="29"/>
      <c r="T41" s="29"/>
      <c r="U41" s="29"/>
      <c r="V41" s="29"/>
      <c r="W41" s="29"/>
      <c r="X41" s="29"/>
      <c r="Y41" s="29"/>
      <c r="Z41" s="29"/>
    </row>
    <row r="42" spans="1:26" s="32" customFormat="1">
      <c r="A42" s="44"/>
      <c r="B42" s="664"/>
      <c r="C42" s="669"/>
      <c r="D42" s="711"/>
      <c r="E42" s="711"/>
      <c r="F42" s="711"/>
      <c r="G42" s="670"/>
      <c r="H42" s="142"/>
      <c r="I42" s="168"/>
      <c r="J42" s="168"/>
      <c r="K42" s="110" t="s">
        <v>76</v>
      </c>
      <c r="L42" s="421"/>
      <c r="M42" s="200"/>
      <c r="N42" s="169"/>
      <c r="O42" s="46"/>
      <c r="P42" s="44"/>
      <c r="Q42" s="44"/>
      <c r="R42" s="44"/>
      <c r="S42" s="29"/>
      <c r="T42" s="29"/>
      <c r="U42" s="29"/>
      <c r="V42" s="29"/>
      <c r="W42" s="29"/>
      <c r="X42" s="29"/>
      <c r="Y42" s="29"/>
      <c r="Z42" s="29"/>
    </row>
    <row r="43" spans="1:26" s="32" customFormat="1" ht="13.5" thickBot="1">
      <c r="A43" s="44"/>
      <c r="B43" s="665"/>
      <c r="C43" s="672"/>
      <c r="D43" s="673"/>
      <c r="E43" s="673"/>
      <c r="F43" s="673"/>
      <c r="G43" s="674"/>
      <c r="H43" s="108"/>
      <c r="I43" s="104"/>
      <c r="J43" s="104"/>
      <c r="K43" s="170"/>
      <c r="L43" s="170"/>
      <c r="M43" s="201"/>
      <c r="N43" s="181"/>
      <c r="O43" s="46"/>
      <c r="P43" s="44"/>
      <c r="Q43" s="44"/>
      <c r="R43" s="44"/>
      <c r="S43" s="29"/>
      <c r="T43" s="29"/>
      <c r="U43" s="29"/>
      <c r="V43" s="29"/>
      <c r="W43" s="29"/>
      <c r="X43" s="29"/>
      <c r="Y43" s="29"/>
      <c r="Z43" s="29"/>
    </row>
    <row r="44" spans="1:26" s="20" customFormat="1" ht="26.25" customHeight="1">
      <c r="A44" s="2"/>
      <c r="B44" s="735">
        <v>2</v>
      </c>
      <c r="C44" s="697" t="s">
        <v>187</v>
      </c>
      <c r="D44" s="729"/>
      <c r="E44" s="729"/>
      <c r="F44" s="729"/>
      <c r="G44" s="729"/>
      <c r="H44" s="688"/>
      <c r="I44" s="689"/>
      <c r="J44" s="689"/>
      <c r="K44" s="689"/>
      <c r="L44" s="180"/>
      <c r="M44" s="202"/>
      <c r="N44" s="86"/>
      <c r="O44" s="2"/>
      <c r="P44" s="2"/>
      <c r="Q44" s="2"/>
      <c r="R44" s="2"/>
      <c r="S44" s="9"/>
      <c r="T44" s="9"/>
      <c r="U44" s="9"/>
      <c r="V44" s="9"/>
      <c r="W44" s="9"/>
      <c r="X44" s="9"/>
      <c r="Y44" s="9"/>
      <c r="Z44" s="9"/>
    </row>
    <row r="45" spans="1:26" s="20" customFormat="1" ht="26.25" customHeight="1">
      <c r="A45" s="2"/>
      <c r="B45" s="736"/>
      <c r="C45" s="700"/>
      <c r="D45" s="730"/>
      <c r="E45" s="730"/>
      <c r="F45" s="730"/>
      <c r="G45" s="731"/>
      <c r="H45" s="690" t="s">
        <v>77</v>
      </c>
      <c r="I45" s="691"/>
      <c r="J45" s="691"/>
      <c r="K45" s="692"/>
      <c r="L45" s="420"/>
      <c r="M45" s="202"/>
      <c r="N45" s="86"/>
      <c r="O45" s="2"/>
      <c r="P45" s="2"/>
      <c r="Q45" s="2"/>
      <c r="R45" s="2"/>
      <c r="S45" s="9"/>
      <c r="T45" s="9"/>
      <c r="U45" s="9"/>
      <c r="V45" s="9"/>
      <c r="W45" s="9"/>
      <c r="X45" s="9"/>
      <c r="Y45" s="9"/>
      <c r="Z45" s="9"/>
    </row>
    <row r="46" spans="1:26" s="20" customFormat="1" ht="25.5" customHeight="1" thickBot="1">
      <c r="A46" s="2"/>
      <c r="B46" s="737"/>
      <c r="C46" s="732"/>
      <c r="D46" s="733"/>
      <c r="E46" s="733"/>
      <c r="F46" s="733"/>
      <c r="G46" s="734"/>
      <c r="H46" s="716" t="s">
        <v>188</v>
      </c>
      <c r="I46" s="717"/>
      <c r="J46" s="717"/>
      <c r="K46" s="718"/>
      <c r="L46" s="175" t="str">
        <f>IF(ISNUMBER(L45),(640-L45)^2/(640-45)^2,"---")</f>
        <v>---</v>
      </c>
      <c r="M46" s="203"/>
      <c r="N46" s="86"/>
      <c r="O46" s="2"/>
      <c r="P46" s="2"/>
      <c r="Q46" s="2"/>
      <c r="R46" s="2"/>
      <c r="S46" s="9"/>
      <c r="T46" s="9"/>
      <c r="U46" s="9"/>
      <c r="V46" s="9"/>
      <c r="W46" s="9"/>
      <c r="X46" s="9"/>
      <c r="Y46" s="9"/>
      <c r="Z46" s="9"/>
    </row>
    <row r="47" spans="1:26" s="20" customFormat="1" ht="15.75" customHeight="1">
      <c r="A47" s="2"/>
      <c r="B47" s="663">
        <v>3</v>
      </c>
      <c r="C47" s="666" t="s">
        <v>400</v>
      </c>
      <c r="D47" s="667"/>
      <c r="E47" s="667"/>
      <c r="F47" s="667"/>
      <c r="G47" s="668"/>
      <c r="H47" s="675"/>
      <c r="I47" s="105"/>
      <c r="J47" s="105"/>
      <c r="K47" s="171"/>
      <c r="L47" s="188"/>
      <c r="M47" s="204"/>
      <c r="N47" s="186"/>
      <c r="O47" s="39"/>
      <c r="P47" s="2"/>
      <c r="Q47" s="2"/>
      <c r="R47" s="2"/>
      <c r="S47" s="9"/>
      <c r="T47" s="9"/>
      <c r="U47" s="9"/>
      <c r="V47" s="9"/>
      <c r="W47" s="9"/>
      <c r="X47" s="9"/>
      <c r="Y47" s="9"/>
      <c r="Z47" s="9"/>
    </row>
    <row r="48" spans="1:26" s="20" customFormat="1" ht="48" customHeight="1">
      <c r="A48" s="2"/>
      <c r="B48" s="664"/>
      <c r="C48" s="669"/>
      <c r="D48" s="670"/>
      <c r="E48" s="670"/>
      <c r="F48" s="670"/>
      <c r="G48" s="671"/>
      <c r="H48" s="676"/>
      <c r="I48" s="183" t="s">
        <v>30</v>
      </c>
      <c r="J48" s="183" t="s">
        <v>33</v>
      </c>
      <c r="K48" s="183" t="s">
        <v>78</v>
      </c>
      <c r="L48" s="148" t="s">
        <v>79</v>
      </c>
      <c r="M48" s="179" t="s">
        <v>113</v>
      </c>
      <c r="N48" s="185"/>
      <c r="O48" s="39"/>
      <c r="P48" s="2"/>
      <c r="Q48" s="2"/>
      <c r="R48" s="2"/>
      <c r="S48" s="9"/>
      <c r="T48" s="9"/>
      <c r="U48" s="9"/>
      <c r="V48" s="9"/>
      <c r="W48" s="9"/>
      <c r="X48" s="9"/>
      <c r="Y48" s="9"/>
      <c r="Z48" s="9"/>
    </row>
    <row r="49" spans="1:26" s="20" customFormat="1" ht="14.25" customHeight="1">
      <c r="A49" s="2"/>
      <c r="B49" s="664"/>
      <c r="C49" s="669"/>
      <c r="D49" s="670"/>
      <c r="E49" s="670"/>
      <c r="F49" s="670"/>
      <c r="G49" s="671"/>
      <c r="H49" s="142"/>
      <c r="I49" s="176" t="s">
        <v>31</v>
      </c>
      <c r="J49" s="417"/>
      <c r="K49" s="184">
        <f>+'Xi Data'!D2</f>
        <v>0</v>
      </c>
      <c r="L49" s="182" t="e">
        <f>K49*$L$46</f>
        <v>#VALUE!</v>
      </c>
      <c r="M49" s="178" t="e">
        <f>L49/J49</f>
        <v>#VALUE!</v>
      </c>
      <c r="N49" s="41"/>
      <c r="O49" s="39"/>
      <c r="P49" s="2"/>
      <c r="Q49" s="2"/>
      <c r="R49" s="2"/>
      <c r="S49" s="9"/>
      <c r="T49" s="9"/>
      <c r="U49" s="9"/>
      <c r="V49" s="9"/>
      <c r="W49" s="9"/>
      <c r="X49" s="9"/>
      <c r="Y49" s="9"/>
      <c r="Z49" s="9"/>
    </row>
    <row r="50" spans="1:26" s="20" customFormat="1" ht="14.25" customHeight="1">
      <c r="A50" s="2"/>
      <c r="B50" s="664"/>
      <c r="C50" s="669"/>
      <c r="D50" s="670"/>
      <c r="E50" s="670"/>
      <c r="F50" s="670"/>
      <c r="G50" s="671"/>
      <c r="H50" s="142"/>
      <c r="I50" s="177" t="s">
        <v>190</v>
      </c>
      <c r="J50" s="417"/>
      <c r="K50" s="184">
        <f>+'Xi Data'!D3</f>
        <v>0</v>
      </c>
      <c r="L50" s="182" t="e">
        <f>K50*$L$46</f>
        <v>#VALUE!</v>
      </c>
      <c r="M50" s="178" t="e">
        <f>L50/J50</f>
        <v>#VALUE!</v>
      </c>
      <c r="N50" s="41"/>
      <c r="O50" s="39"/>
      <c r="P50" s="2"/>
      <c r="Q50" s="2"/>
      <c r="R50" s="2"/>
      <c r="S50" s="9"/>
      <c r="T50" s="9"/>
      <c r="U50" s="9"/>
      <c r="V50" s="9"/>
      <c r="W50" s="9"/>
      <c r="X50" s="9"/>
      <c r="Y50" s="9"/>
      <c r="Z50" s="9"/>
    </row>
    <row r="51" spans="1:26" s="20" customFormat="1" ht="15.75" customHeight="1">
      <c r="A51" s="2"/>
      <c r="B51" s="664"/>
      <c r="C51" s="669"/>
      <c r="D51" s="670"/>
      <c r="E51" s="670"/>
      <c r="F51" s="670"/>
      <c r="G51" s="671"/>
      <c r="H51" s="142"/>
      <c r="I51" s="177" t="s">
        <v>32</v>
      </c>
      <c r="J51" s="417"/>
      <c r="K51" s="184">
        <f>+'Xi Data'!D4</f>
        <v>0</v>
      </c>
      <c r="L51" s="182" t="e">
        <f>K51*$L$46</f>
        <v>#VALUE!</v>
      </c>
      <c r="M51" s="178" t="e">
        <f>L51/J51</f>
        <v>#VALUE!</v>
      </c>
      <c r="N51" s="169"/>
      <c r="O51" s="39"/>
      <c r="P51" s="2"/>
      <c r="Q51" s="2"/>
      <c r="R51" s="2"/>
      <c r="S51" s="9"/>
      <c r="T51" s="9"/>
      <c r="U51" s="9"/>
      <c r="V51" s="9"/>
      <c r="W51" s="9"/>
      <c r="X51" s="9"/>
      <c r="Y51" s="9"/>
      <c r="Z51" s="9"/>
    </row>
    <row r="52" spans="1:26" s="20" customFormat="1" ht="14.25" customHeight="1" thickBot="1">
      <c r="A52" s="2"/>
      <c r="B52" s="665"/>
      <c r="C52" s="672"/>
      <c r="D52" s="673"/>
      <c r="E52" s="673"/>
      <c r="F52" s="673"/>
      <c r="G52" s="674"/>
      <c r="H52" s="108"/>
      <c r="I52" s="104"/>
      <c r="J52" s="172"/>
      <c r="K52" s="173"/>
      <c r="L52" s="173"/>
      <c r="M52" s="205"/>
      <c r="N52" s="169"/>
      <c r="O52" s="2"/>
      <c r="P52" s="2"/>
      <c r="Q52" s="2"/>
      <c r="R52" s="2"/>
      <c r="S52" s="9"/>
      <c r="T52" s="9"/>
      <c r="U52" s="9"/>
      <c r="V52" s="9"/>
      <c r="W52" s="9"/>
      <c r="X52" s="9"/>
      <c r="Y52" s="9"/>
      <c r="Z52" s="9"/>
    </row>
    <row r="53" spans="1:26" s="20" customFormat="1" ht="15.75" customHeight="1">
      <c r="A53" s="2"/>
      <c r="B53" s="663">
        <v>4</v>
      </c>
      <c r="C53" s="666" t="s">
        <v>401</v>
      </c>
      <c r="D53" s="667"/>
      <c r="E53" s="667"/>
      <c r="F53" s="667"/>
      <c r="G53" s="668"/>
      <c r="H53" s="675"/>
      <c r="I53" s="105"/>
      <c r="J53" s="105"/>
      <c r="K53" s="171"/>
      <c r="L53" s="188"/>
      <c r="M53" s="204"/>
      <c r="N53" s="186"/>
      <c r="O53" s="39"/>
      <c r="P53" s="2"/>
      <c r="Q53" s="2"/>
      <c r="R53" s="2"/>
      <c r="S53" s="9"/>
      <c r="T53" s="9"/>
      <c r="U53" s="9"/>
      <c r="V53" s="9"/>
      <c r="W53" s="9"/>
      <c r="X53" s="9"/>
      <c r="Y53" s="9"/>
      <c r="Z53" s="9"/>
    </row>
    <row r="54" spans="1:26" s="20" customFormat="1" ht="48" customHeight="1">
      <c r="A54" s="2"/>
      <c r="B54" s="664"/>
      <c r="C54" s="669"/>
      <c r="D54" s="670"/>
      <c r="E54" s="670"/>
      <c r="F54" s="670"/>
      <c r="G54" s="671"/>
      <c r="H54" s="676"/>
      <c r="I54" s="183" t="s">
        <v>30</v>
      </c>
      <c r="J54" s="183" t="s">
        <v>33</v>
      </c>
      <c r="K54" s="183" t="s">
        <v>78</v>
      </c>
      <c r="L54" s="148" t="s">
        <v>79</v>
      </c>
      <c r="M54" s="179" t="s">
        <v>113</v>
      </c>
      <c r="N54" s="185"/>
      <c r="O54" s="39"/>
      <c r="P54" s="2"/>
      <c r="Q54" s="2"/>
      <c r="R54" s="2"/>
      <c r="S54" s="9"/>
      <c r="T54" s="9"/>
      <c r="U54" s="9"/>
      <c r="V54" s="9"/>
      <c r="W54" s="9"/>
      <c r="X54" s="9"/>
      <c r="Y54" s="9"/>
      <c r="Z54" s="9"/>
    </row>
    <row r="55" spans="1:26" s="20" customFormat="1" ht="14.25" customHeight="1">
      <c r="A55" s="2"/>
      <c r="B55" s="664"/>
      <c r="C55" s="669"/>
      <c r="D55" s="670"/>
      <c r="E55" s="670"/>
      <c r="F55" s="670"/>
      <c r="G55" s="671"/>
      <c r="H55" s="142"/>
      <c r="I55" s="176" t="s">
        <v>31</v>
      </c>
      <c r="J55" s="417"/>
      <c r="K55" s="184">
        <f>+'Xi Data'!D5</f>
        <v>0</v>
      </c>
      <c r="L55" s="182" t="e">
        <f>K55*$L$46</f>
        <v>#VALUE!</v>
      </c>
      <c r="M55" s="178" t="e">
        <f>L55/J55</f>
        <v>#VALUE!</v>
      </c>
      <c r="N55" s="41"/>
      <c r="O55" s="39"/>
      <c r="P55" s="2"/>
      <c r="Q55" s="2"/>
      <c r="R55" s="2"/>
      <c r="S55" s="9"/>
      <c r="T55" s="9"/>
      <c r="U55" s="9"/>
      <c r="V55" s="9"/>
      <c r="W55" s="9"/>
      <c r="X55" s="9"/>
      <c r="Y55" s="9"/>
      <c r="Z55" s="9"/>
    </row>
    <row r="56" spans="1:26" s="20" customFormat="1" ht="14.25" customHeight="1">
      <c r="A56" s="2"/>
      <c r="B56" s="664"/>
      <c r="C56" s="669"/>
      <c r="D56" s="670"/>
      <c r="E56" s="670"/>
      <c r="F56" s="670"/>
      <c r="G56" s="671"/>
      <c r="H56" s="142"/>
      <c r="I56" s="177" t="s">
        <v>190</v>
      </c>
      <c r="J56" s="417"/>
      <c r="K56" s="184">
        <f>+'Xi Data'!D6</f>
        <v>0</v>
      </c>
      <c r="L56" s="182" t="e">
        <f>K56*$L$46</f>
        <v>#VALUE!</v>
      </c>
      <c r="M56" s="178" t="e">
        <f>L56/J56</f>
        <v>#VALUE!</v>
      </c>
      <c r="N56" s="41"/>
      <c r="O56" s="39"/>
      <c r="P56" s="2"/>
      <c r="Q56" s="2"/>
      <c r="R56" s="2"/>
      <c r="S56" s="9"/>
      <c r="T56" s="9"/>
      <c r="U56" s="9"/>
      <c r="V56" s="9"/>
      <c r="W56" s="9"/>
      <c r="X56" s="9"/>
      <c r="Y56" s="9"/>
      <c r="Z56" s="9"/>
    </row>
    <row r="57" spans="1:26" s="20" customFormat="1" ht="15.75" customHeight="1">
      <c r="A57" s="2"/>
      <c r="B57" s="664"/>
      <c r="C57" s="669"/>
      <c r="D57" s="670"/>
      <c r="E57" s="670"/>
      <c r="F57" s="670"/>
      <c r="G57" s="671"/>
      <c r="H57" s="142"/>
      <c r="I57" s="177" t="s">
        <v>32</v>
      </c>
      <c r="J57" s="417"/>
      <c r="K57" s="184">
        <f>+'Xi Data'!D7</f>
        <v>0</v>
      </c>
      <c r="L57" s="182" t="e">
        <f>K57*$L$46</f>
        <v>#VALUE!</v>
      </c>
      <c r="M57" s="178" t="e">
        <f>L57/J57</f>
        <v>#VALUE!</v>
      </c>
      <c r="N57" s="169"/>
      <c r="O57" s="39"/>
      <c r="P57" s="2"/>
      <c r="Q57" s="2"/>
      <c r="R57" s="2"/>
      <c r="S57" s="9"/>
      <c r="T57" s="9"/>
      <c r="U57" s="9"/>
      <c r="V57" s="9"/>
      <c r="W57" s="9"/>
      <c r="X57" s="9"/>
      <c r="Y57" s="9"/>
      <c r="Z57" s="9"/>
    </row>
    <row r="58" spans="1:26" s="20" customFormat="1" ht="14.25" customHeight="1" thickBot="1">
      <c r="A58" s="2"/>
      <c r="B58" s="665"/>
      <c r="C58" s="672"/>
      <c r="D58" s="673"/>
      <c r="E58" s="673"/>
      <c r="F58" s="673"/>
      <c r="G58" s="674"/>
      <c r="H58" s="108"/>
      <c r="I58" s="104"/>
      <c r="J58" s="172"/>
      <c r="K58" s="173"/>
      <c r="L58" s="173"/>
      <c r="M58" s="205"/>
      <c r="N58" s="169"/>
      <c r="O58" s="2"/>
      <c r="P58" s="2"/>
      <c r="Q58" s="2"/>
      <c r="R58" s="2"/>
      <c r="S58" s="9"/>
      <c r="T58" s="9"/>
      <c r="U58" s="9"/>
      <c r="V58" s="9"/>
      <c r="W58" s="9"/>
      <c r="X58" s="9"/>
      <c r="Y58" s="9"/>
      <c r="Z58" s="9"/>
    </row>
    <row r="59" spans="1:26" s="20" customFormat="1" ht="15.75" customHeight="1">
      <c r="A59" s="2"/>
      <c r="B59" s="663">
        <v>5</v>
      </c>
      <c r="C59" s="666" t="s">
        <v>402</v>
      </c>
      <c r="D59" s="667"/>
      <c r="E59" s="667"/>
      <c r="F59" s="667"/>
      <c r="G59" s="668"/>
      <c r="H59" s="675"/>
      <c r="I59" s="105"/>
      <c r="J59" s="105"/>
      <c r="K59" s="171"/>
      <c r="L59" s="188"/>
      <c r="M59" s="204"/>
      <c r="N59" s="186"/>
      <c r="O59" s="39"/>
      <c r="P59" s="2"/>
      <c r="Q59" s="2"/>
      <c r="R59" s="2"/>
      <c r="S59" s="9"/>
      <c r="T59" s="9"/>
      <c r="U59" s="9"/>
      <c r="V59" s="9"/>
      <c r="W59" s="9"/>
      <c r="X59" s="9"/>
      <c r="Y59" s="9"/>
      <c r="Z59" s="9"/>
    </row>
    <row r="60" spans="1:26" s="20" customFormat="1" ht="48" customHeight="1">
      <c r="A60" s="2"/>
      <c r="B60" s="664"/>
      <c r="C60" s="669"/>
      <c r="D60" s="670"/>
      <c r="E60" s="670"/>
      <c r="F60" s="670"/>
      <c r="G60" s="671"/>
      <c r="H60" s="676"/>
      <c r="I60" s="183" t="s">
        <v>30</v>
      </c>
      <c r="J60" s="183" t="s">
        <v>33</v>
      </c>
      <c r="K60" s="183" t="s">
        <v>78</v>
      </c>
      <c r="L60" s="148" t="s">
        <v>79</v>
      </c>
      <c r="M60" s="179" t="s">
        <v>113</v>
      </c>
      <c r="N60" s="185"/>
      <c r="O60" s="39"/>
      <c r="P60" s="2"/>
      <c r="Q60" s="2"/>
      <c r="R60" s="2"/>
      <c r="S60" s="9"/>
      <c r="T60" s="9"/>
      <c r="U60" s="9"/>
      <c r="V60" s="9"/>
      <c r="W60" s="9"/>
      <c r="X60" s="9"/>
      <c r="Y60" s="9"/>
      <c r="Z60" s="9"/>
    </row>
    <row r="61" spans="1:26" s="20" customFormat="1" ht="14.25" customHeight="1">
      <c r="A61" s="2"/>
      <c r="B61" s="664"/>
      <c r="C61" s="669"/>
      <c r="D61" s="670"/>
      <c r="E61" s="670"/>
      <c r="F61" s="670"/>
      <c r="G61" s="671"/>
      <c r="H61" s="142"/>
      <c r="I61" s="176" t="s">
        <v>31</v>
      </c>
      <c r="J61" s="417"/>
      <c r="K61" s="184">
        <f>+'Xi Data'!D8</f>
        <v>0</v>
      </c>
      <c r="L61" s="182" t="e">
        <f>K61*$L$46</f>
        <v>#VALUE!</v>
      </c>
      <c r="M61" s="178" t="e">
        <f>L61/J61</f>
        <v>#VALUE!</v>
      </c>
      <c r="N61" s="41"/>
      <c r="O61" s="39"/>
      <c r="P61" s="2"/>
      <c r="Q61" s="2"/>
      <c r="R61" s="2"/>
      <c r="S61" s="9"/>
      <c r="T61" s="9"/>
      <c r="U61" s="9"/>
      <c r="V61" s="9"/>
      <c r="W61" s="9"/>
      <c r="X61" s="9"/>
      <c r="Y61" s="9"/>
      <c r="Z61" s="9"/>
    </row>
    <row r="62" spans="1:26" s="20" customFormat="1" ht="14.25" customHeight="1">
      <c r="A62" s="2"/>
      <c r="B62" s="664"/>
      <c r="C62" s="669"/>
      <c r="D62" s="670"/>
      <c r="E62" s="670"/>
      <c r="F62" s="670"/>
      <c r="G62" s="671"/>
      <c r="H62" s="142"/>
      <c r="I62" s="177" t="s">
        <v>190</v>
      </c>
      <c r="J62" s="417"/>
      <c r="K62" s="184">
        <f>+'Xi Data'!D9</f>
        <v>0</v>
      </c>
      <c r="L62" s="182" t="e">
        <f>K62*$L$46</f>
        <v>#VALUE!</v>
      </c>
      <c r="M62" s="178" t="e">
        <f>L62/J62</f>
        <v>#VALUE!</v>
      </c>
      <c r="N62" s="41"/>
      <c r="O62" s="39"/>
      <c r="P62" s="2"/>
      <c r="Q62" s="2"/>
      <c r="R62" s="2"/>
      <c r="S62" s="9"/>
      <c r="T62" s="9"/>
      <c r="U62" s="9"/>
      <c r="V62" s="9"/>
      <c r="W62" s="9"/>
      <c r="X62" s="9"/>
      <c r="Y62" s="9"/>
      <c r="Z62" s="9"/>
    </row>
    <row r="63" spans="1:26" s="20" customFormat="1" ht="15.75" customHeight="1">
      <c r="A63" s="2"/>
      <c r="B63" s="664"/>
      <c r="C63" s="669"/>
      <c r="D63" s="670"/>
      <c r="E63" s="670"/>
      <c r="F63" s="670"/>
      <c r="G63" s="671"/>
      <c r="H63" s="142"/>
      <c r="I63" s="177" t="s">
        <v>32</v>
      </c>
      <c r="J63" s="417"/>
      <c r="K63" s="184">
        <f>+'Xi Data'!D10</f>
        <v>0</v>
      </c>
      <c r="L63" s="182" t="e">
        <f>K63*$L$46</f>
        <v>#VALUE!</v>
      </c>
      <c r="M63" s="178" t="e">
        <f>L63/J63</f>
        <v>#VALUE!</v>
      </c>
      <c r="N63" s="169"/>
      <c r="O63" s="39"/>
      <c r="P63" s="2"/>
      <c r="Q63" s="2"/>
      <c r="R63" s="2"/>
      <c r="S63" s="9"/>
      <c r="T63" s="9"/>
      <c r="U63" s="9"/>
      <c r="V63" s="9"/>
      <c r="W63" s="9"/>
      <c r="X63" s="9"/>
      <c r="Y63" s="9"/>
      <c r="Z63" s="9"/>
    </row>
    <row r="64" spans="1:26" s="20" customFormat="1" ht="14.25" customHeight="1" thickBot="1">
      <c r="A64" s="2"/>
      <c r="B64" s="665"/>
      <c r="C64" s="672"/>
      <c r="D64" s="673"/>
      <c r="E64" s="673"/>
      <c r="F64" s="673"/>
      <c r="G64" s="674"/>
      <c r="H64" s="108"/>
      <c r="I64" s="104"/>
      <c r="J64" s="172"/>
      <c r="K64" s="173"/>
      <c r="L64" s="173"/>
      <c r="M64" s="205"/>
      <c r="N64" s="169"/>
      <c r="O64" s="2"/>
      <c r="P64" s="2"/>
      <c r="Q64" s="2"/>
      <c r="R64" s="2"/>
      <c r="S64" s="9"/>
      <c r="T64" s="9"/>
      <c r="U64" s="9"/>
      <c r="V64" s="9"/>
      <c r="W64" s="9"/>
      <c r="X64" s="9"/>
      <c r="Y64" s="9"/>
      <c r="Z64" s="9"/>
    </row>
    <row r="65" spans="1:26" s="20" customFormat="1" ht="15.75" customHeight="1">
      <c r="A65" s="2"/>
      <c r="B65" s="663">
        <v>6</v>
      </c>
      <c r="C65" s="666" t="s">
        <v>191</v>
      </c>
      <c r="D65" s="667"/>
      <c r="E65" s="667"/>
      <c r="F65" s="667"/>
      <c r="G65" s="668"/>
      <c r="H65" s="675"/>
      <c r="I65" s="105"/>
      <c r="J65" s="105"/>
      <c r="K65" s="171"/>
      <c r="L65" s="188"/>
      <c r="M65" s="204"/>
      <c r="N65" s="186"/>
      <c r="O65" s="39"/>
      <c r="P65" s="2"/>
      <c r="Q65" s="2"/>
      <c r="R65" s="2"/>
      <c r="S65" s="9"/>
      <c r="T65" s="9"/>
      <c r="U65" s="9"/>
      <c r="V65" s="9"/>
      <c r="W65" s="9"/>
      <c r="X65" s="9"/>
      <c r="Y65" s="9"/>
      <c r="Z65" s="9"/>
    </row>
    <row r="66" spans="1:26" s="20" customFormat="1" ht="48" customHeight="1">
      <c r="A66" s="2"/>
      <c r="B66" s="664"/>
      <c r="C66" s="669"/>
      <c r="D66" s="670"/>
      <c r="E66" s="670"/>
      <c r="F66" s="670"/>
      <c r="G66" s="671"/>
      <c r="H66" s="676"/>
      <c r="I66" s="183" t="s">
        <v>30</v>
      </c>
      <c r="J66" s="183" t="s">
        <v>33</v>
      </c>
      <c r="K66" s="183" t="s">
        <v>78</v>
      </c>
      <c r="L66" s="148" t="s">
        <v>79</v>
      </c>
      <c r="M66" s="179" t="s">
        <v>113</v>
      </c>
      <c r="N66" s="185"/>
      <c r="O66" s="39"/>
      <c r="P66" s="2"/>
      <c r="Q66" s="2"/>
      <c r="R66" s="2"/>
      <c r="S66" s="9"/>
      <c r="T66" s="9"/>
      <c r="U66" s="9"/>
      <c r="V66" s="9"/>
      <c r="W66" s="9"/>
      <c r="X66" s="9"/>
      <c r="Y66" s="9"/>
      <c r="Z66" s="9"/>
    </row>
    <row r="67" spans="1:26" s="20" customFormat="1" ht="14.25" customHeight="1">
      <c r="A67" s="2"/>
      <c r="B67" s="664"/>
      <c r="C67" s="669"/>
      <c r="D67" s="670"/>
      <c r="E67" s="670"/>
      <c r="F67" s="670"/>
      <c r="G67" s="671"/>
      <c r="H67" s="142"/>
      <c r="I67" s="176" t="s">
        <v>31</v>
      </c>
      <c r="J67" s="417"/>
      <c r="K67" s="184">
        <f>+'Xi Data'!D11</f>
        <v>0</v>
      </c>
      <c r="L67" s="182" t="e">
        <f>K67*$L$46</f>
        <v>#VALUE!</v>
      </c>
      <c r="M67" s="178" t="e">
        <f>L67/J67</f>
        <v>#VALUE!</v>
      </c>
      <c r="N67" s="41"/>
      <c r="O67" s="39"/>
      <c r="P67" s="2"/>
      <c r="Q67" s="2"/>
      <c r="R67" s="2"/>
      <c r="S67" s="9"/>
      <c r="T67" s="9"/>
      <c r="U67" s="9"/>
      <c r="V67" s="9"/>
      <c r="W67" s="9"/>
      <c r="X67" s="9"/>
      <c r="Y67" s="9"/>
      <c r="Z67" s="9"/>
    </row>
    <row r="68" spans="1:26" s="20" customFormat="1" ht="14.25" customHeight="1">
      <c r="A68" s="2"/>
      <c r="B68" s="664"/>
      <c r="C68" s="669"/>
      <c r="D68" s="670"/>
      <c r="E68" s="670"/>
      <c r="F68" s="670"/>
      <c r="G68" s="671"/>
      <c r="H68" s="142"/>
      <c r="I68" s="177" t="s">
        <v>190</v>
      </c>
      <c r="J68" s="417"/>
      <c r="K68" s="184">
        <f>+'Xi Data'!D12</f>
        <v>0</v>
      </c>
      <c r="L68" s="182" t="e">
        <f>K68*$L$46</f>
        <v>#VALUE!</v>
      </c>
      <c r="M68" s="178" t="e">
        <f>L68/J68</f>
        <v>#VALUE!</v>
      </c>
      <c r="N68" s="41"/>
      <c r="O68" s="39"/>
      <c r="P68" s="2"/>
      <c r="Q68" s="2"/>
      <c r="R68" s="2"/>
      <c r="S68" s="9"/>
      <c r="T68" s="9"/>
      <c r="U68" s="9"/>
      <c r="V68" s="9"/>
      <c r="W68" s="9"/>
      <c r="X68" s="9"/>
      <c r="Y68" s="9"/>
      <c r="Z68" s="9"/>
    </row>
    <row r="69" spans="1:26" s="20" customFormat="1" ht="15.75" customHeight="1">
      <c r="A69" s="2"/>
      <c r="B69" s="664"/>
      <c r="C69" s="669"/>
      <c r="D69" s="670"/>
      <c r="E69" s="670"/>
      <c r="F69" s="670"/>
      <c r="G69" s="671"/>
      <c r="H69" s="142"/>
      <c r="I69" s="177" t="s">
        <v>32</v>
      </c>
      <c r="J69" s="417"/>
      <c r="K69" s="184">
        <f>+'Xi Data'!D13</f>
        <v>0</v>
      </c>
      <c r="L69" s="182" t="e">
        <f>K69*$L$46</f>
        <v>#VALUE!</v>
      </c>
      <c r="M69" s="178" t="e">
        <f>L69/J69</f>
        <v>#VALUE!</v>
      </c>
      <c r="N69" s="169"/>
      <c r="O69" s="39"/>
      <c r="P69" s="2"/>
      <c r="Q69" s="2"/>
      <c r="R69" s="2"/>
      <c r="S69" s="9"/>
      <c r="T69" s="9"/>
      <c r="U69" s="9"/>
      <c r="V69" s="9"/>
      <c r="W69" s="9"/>
      <c r="X69" s="9"/>
      <c r="Y69" s="9"/>
      <c r="Z69" s="9"/>
    </row>
    <row r="70" spans="1:26" s="20" customFormat="1" ht="14.25" customHeight="1" thickBot="1">
      <c r="A70" s="2"/>
      <c r="B70" s="665"/>
      <c r="C70" s="672"/>
      <c r="D70" s="673"/>
      <c r="E70" s="673"/>
      <c r="F70" s="673"/>
      <c r="G70" s="674"/>
      <c r="H70" s="108"/>
      <c r="I70" s="104"/>
      <c r="J70" s="172"/>
      <c r="K70" s="173"/>
      <c r="L70" s="173"/>
      <c r="M70" s="205"/>
      <c r="N70" s="169"/>
      <c r="O70" s="2"/>
      <c r="P70" s="2"/>
      <c r="Q70" s="2"/>
      <c r="R70" s="2"/>
      <c r="S70" s="9"/>
      <c r="T70" s="9"/>
      <c r="U70" s="9"/>
      <c r="V70" s="9"/>
      <c r="W70" s="9"/>
      <c r="X70" s="9"/>
      <c r="Y70" s="9"/>
      <c r="Z70" s="9"/>
    </row>
    <row r="71" spans="1:26" s="20" customFormat="1" ht="16.5" customHeight="1">
      <c r="A71" s="39"/>
      <c r="B71" s="663">
        <v>7</v>
      </c>
      <c r="C71" s="697" t="s">
        <v>192</v>
      </c>
      <c r="D71" s="698"/>
      <c r="E71" s="698"/>
      <c r="F71" s="698"/>
      <c r="G71" s="699"/>
      <c r="H71" s="141"/>
      <c r="I71" s="105"/>
      <c r="J71" s="174"/>
      <c r="K71" s="189"/>
      <c r="L71" s="190"/>
      <c r="M71" s="166"/>
      <c r="N71" s="42"/>
      <c r="O71" s="39"/>
      <c r="P71" s="39"/>
      <c r="Q71" s="2"/>
      <c r="R71" s="2"/>
      <c r="S71" s="9"/>
      <c r="T71" s="9"/>
      <c r="U71" s="9"/>
      <c r="V71" s="9"/>
      <c r="W71" s="9"/>
      <c r="X71" s="9"/>
      <c r="Y71" s="9"/>
      <c r="Z71" s="9"/>
    </row>
    <row r="72" spans="1:26" s="20" customFormat="1" ht="38.25">
      <c r="A72" s="39"/>
      <c r="B72" s="664"/>
      <c r="C72" s="700"/>
      <c r="D72" s="701"/>
      <c r="E72" s="701"/>
      <c r="F72" s="701"/>
      <c r="G72" s="702"/>
      <c r="H72" s="142"/>
      <c r="I72" s="183" t="s">
        <v>30</v>
      </c>
      <c r="J72" s="183" t="s">
        <v>33</v>
      </c>
      <c r="K72" s="183" t="s">
        <v>78</v>
      </c>
      <c r="L72" s="148" t="s">
        <v>79</v>
      </c>
      <c r="M72" s="179" t="s">
        <v>113</v>
      </c>
      <c r="N72" s="41"/>
      <c r="O72" s="39"/>
      <c r="P72" s="39"/>
      <c r="Q72" s="2"/>
      <c r="R72" s="2"/>
      <c r="S72" s="9"/>
      <c r="T72" s="9"/>
      <c r="U72" s="9"/>
      <c r="V72" s="9"/>
      <c r="W72" s="9"/>
      <c r="X72" s="9"/>
      <c r="Y72" s="9"/>
      <c r="Z72" s="9"/>
    </row>
    <row r="73" spans="1:26" s="20" customFormat="1" ht="14.25" customHeight="1">
      <c r="A73" s="39"/>
      <c r="B73" s="664"/>
      <c r="C73" s="700"/>
      <c r="D73" s="701"/>
      <c r="E73" s="701"/>
      <c r="F73" s="701"/>
      <c r="G73" s="702"/>
      <c r="H73" s="142"/>
      <c r="I73" s="176" t="s">
        <v>31</v>
      </c>
      <c r="J73" s="417"/>
      <c r="K73" s="184">
        <f>+'Xi Data'!D14</f>
        <v>0</v>
      </c>
      <c r="L73" s="182" t="e">
        <f t="shared" ref="L73:L85" si="0">K73*$L$46</f>
        <v>#VALUE!</v>
      </c>
      <c r="M73" s="178" t="e">
        <f t="shared" ref="M73:M85" si="1">L73/J73</f>
        <v>#VALUE!</v>
      </c>
      <c r="N73" s="169"/>
      <c r="O73" s="39"/>
      <c r="P73" s="39"/>
      <c r="Q73" s="2"/>
      <c r="R73" s="2"/>
      <c r="S73" s="9"/>
      <c r="T73" s="9"/>
      <c r="U73" s="9"/>
      <c r="V73" s="9"/>
      <c r="W73" s="9"/>
      <c r="X73" s="9"/>
      <c r="Y73" s="9"/>
      <c r="Z73" s="9"/>
    </row>
    <row r="74" spans="1:26" s="20" customFormat="1" ht="15.75" customHeight="1">
      <c r="A74" s="39"/>
      <c r="B74" s="664"/>
      <c r="C74" s="700"/>
      <c r="D74" s="701"/>
      <c r="E74" s="701"/>
      <c r="F74" s="701"/>
      <c r="G74" s="702"/>
      <c r="H74" s="142"/>
      <c r="I74" s="176" t="s">
        <v>31</v>
      </c>
      <c r="J74" s="417"/>
      <c r="K74" s="184">
        <f>+'Xi Data'!D15</f>
        <v>0</v>
      </c>
      <c r="L74" s="182" t="e">
        <f t="shared" si="0"/>
        <v>#VALUE!</v>
      </c>
      <c r="M74" s="178" t="e">
        <f t="shared" si="1"/>
        <v>#VALUE!</v>
      </c>
      <c r="N74" s="41"/>
      <c r="O74" s="39"/>
      <c r="P74" s="39"/>
      <c r="Q74" s="2"/>
      <c r="R74" s="2"/>
      <c r="S74" s="9"/>
      <c r="T74" s="9"/>
      <c r="U74" s="9"/>
      <c r="V74" s="9"/>
      <c r="W74" s="9"/>
      <c r="X74" s="9"/>
      <c r="Y74" s="9"/>
      <c r="Z74" s="9"/>
    </row>
    <row r="75" spans="1:26" s="20" customFormat="1" ht="15.75" customHeight="1">
      <c r="A75" s="39"/>
      <c r="B75" s="664"/>
      <c r="C75" s="700"/>
      <c r="D75" s="701"/>
      <c r="E75" s="701"/>
      <c r="F75" s="701"/>
      <c r="G75" s="702"/>
      <c r="H75" s="142"/>
      <c r="I75" s="176" t="s">
        <v>31</v>
      </c>
      <c r="J75" s="417"/>
      <c r="K75" s="184">
        <f>+'Xi Data'!D16</f>
        <v>0</v>
      </c>
      <c r="L75" s="182" t="e">
        <f t="shared" si="0"/>
        <v>#VALUE!</v>
      </c>
      <c r="M75" s="178" t="e">
        <f t="shared" si="1"/>
        <v>#VALUE!</v>
      </c>
      <c r="N75" s="169"/>
      <c r="O75" s="39"/>
      <c r="P75" s="39"/>
      <c r="Q75" s="2"/>
      <c r="R75" s="2"/>
      <c r="S75" s="9"/>
      <c r="T75" s="9"/>
      <c r="U75" s="9"/>
      <c r="V75" s="9"/>
      <c r="W75" s="9"/>
      <c r="X75" s="9"/>
      <c r="Y75" s="9"/>
      <c r="Z75" s="9"/>
    </row>
    <row r="76" spans="1:26" s="20" customFormat="1" ht="15.75" customHeight="1">
      <c r="A76" s="39"/>
      <c r="B76" s="664"/>
      <c r="C76" s="700"/>
      <c r="D76" s="701"/>
      <c r="E76" s="701"/>
      <c r="F76" s="701"/>
      <c r="G76" s="702"/>
      <c r="H76" s="142"/>
      <c r="I76" s="176" t="s">
        <v>31</v>
      </c>
      <c r="J76" s="417"/>
      <c r="K76" s="184">
        <f>+'Xi Data'!D17</f>
        <v>0</v>
      </c>
      <c r="L76" s="182" t="e">
        <f t="shared" si="0"/>
        <v>#VALUE!</v>
      </c>
      <c r="M76" s="178" t="e">
        <f t="shared" si="1"/>
        <v>#VALUE!</v>
      </c>
      <c r="N76" s="41"/>
      <c r="O76" s="39"/>
      <c r="P76" s="39"/>
      <c r="Q76" s="2"/>
      <c r="R76" s="2"/>
      <c r="S76" s="9"/>
      <c r="T76" s="9"/>
      <c r="U76" s="9"/>
      <c r="V76" s="9"/>
      <c r="W76" s="9"/>
      <c r="X76" s="9"/>
      <c r="Y76" s="9"/>
      <c r="Z76" s="9"/>
    </row>
    <row r="77" spans="1:26" s="20" customFormat="1" ht="15.75" customHeight="1">
      <c r="A77" s="39"/>
      <c r="B77" s="664"/>
      <c r="C77" s="700"/>
      <c r="D77" s="701"/>
      <c r="E77" s="701"/>
      <c r="F77" s="701"/>
      <c r="G77" s="702"/>
      <c r="H77" s="142"/>
      <c r="I77" s="176" t="s">
        <v>31</v>
      </c>
      <c r="J77" s="417"/>
      <c r="K77" s="184">
        <f>+'Xi Data'!D18</f>
        <v>0</v>
      </c>
      <c r="L77" s="182" t="e">
        <f t="shared" si="0"/>
        <v>#VALUE!</v>
      </c>
      <c r="M77" s="178" t="e">
        <f t="shared" si="1"/>
        <v>#VALUE!</v>
      </c>
      <c r="N77" s="41"/>
      <c r="O77" s="39"/>
      <c r="P77" s="39"/>
      <c r="Q77" s="2"/>
      <c r="R77" s="2"/>
      <c r="S77" s="9"/>
      <c r="T77" s="9"/>
      <c r="U77" s="9"/>
      <c r="V77" s="9"/>
      <c r="W77" s="9"/>
      <c r="X77" s="9"/>
      <c r="Y77" s="9"/>
      <c r="Z77" s="9"/>
    </row>
    <row r="78" spans="1:26" s="20" customFormat="1" ht="15.75" customHeight="1" thickBot="1">
      <c r="A78" s="39"/>
      <c r="B78" s="664"/>
      <c r="C78" s="700"/>
      <c r="D78" s="701"/>
      <c r="E78" s="701"/>
      <c r="F78" s="701"/>
      <c r="G78" s="702"/>
      <c r="H78" s="142"/>
      <c r="I78" s="192" t="s">
        <v>31</v>
      </c>
      <c r="J78" s="418"/>
      <c r="K78" s="184">
        <f>+'Xi Data'!D19</f>
        <v>0</v>
      </c>
      <c r="L78" s="193" t="e">
        <f t="shared" si="0"/>
        <v>#VALUE!</v>
      </c>
      <c r="M78" s="194" t="e">
        <f t="shared" si="1"/>
        <v>#VALUE!</v>
      </c>
      <c r="N78" s="41"/>
      <c r="O78" s="39"/>
      <c r="P78" s="39"/>
      <c r="Q78" s="2"/>
      <c r="R78" s="2"/>
      <c r="S78" s="9"/>
      <c r="T78" s="9"/>
      <c r="U78" s="9"/>
      <c r="V78" s="9"/>
      <c r="W78" s="9"/>
      <c r="X78" s="9"/>
      <c r="Y78" s="9"/>
      <c r="Z78" s="9"/>
    </row>
    <row r="79" spans="1:26" s="20" customFormat="1" ht="15.75" customHeight="1" thickBot="1">
      <c r="A79" s="39"/>
      <c r="B79" s="664"/>
      <c r="C79" s="700"/>
      <c r="D79" s="701"/>
      <c r="E79" s="701"/>
      <c r="F79" s="701"/>
      <c r="G79" s="702"/>
      <c r="H79" s="142"/>
      <c r="I79" s="195" t="s">
        <v>190</v>
      </c>
      <c r="J79" s="419"/>
      <c r="K79" s="184">
        <f>+'Xi Data'!D20</f>
        <v>0</v>
      </c>
      <c r="L79" s="196" t="e">
        <f t="shared" si="0"/>
        <v>#VALUE!</v>
      </c>
      <c r="M79" s="197" t="e">
        <f t="shared" si="1"/>
        <v>#VALUE!</v>
      </c>
      <c r="N79" s="41"/>
      <c r="O79" s="39"/>
      <c r="P79" s="39"/>
      <c r="Q79" s="2"/>
      <c r="R79" s="2"/>
      <c r="S79" s="9"/>
      <c r="T79" s="9"/>
      <c r="U79" s="9"/>
      <c r="V79" s="9"/>
      <c r="W79" s="9"/>
      <c r="X79" s="9"/>
      <c r="Y79" s="9"/>
      <c r="Z79" s="9"/>
    </row>
    <row r="80" spans="1:26" s="20" customFormat="1" ht="15.75" customHeight="1">
      <c r="A80" s="39"/>
      <c r="B80" s="664"/>
      <c r="C80" s="700"/>
      <c r="D80" s="701"/>
      <c r="E80" s="701"/>
      <c r="F80" s="701"/>
      <c r="G80" s="702"/>
      <c r="H80" s="142"/>
      <c r="I80" s="176" t="s">
        <v>32</v>
      </c>
      <c r="J80" s="417"/>
      <c r="K80" s="184">
        <f>+'Xi Data'!D21</f>
        <v>0</v>
      </c>
      <c r="L80" s="182" t="e">
        <f t="shared" si="0"/>
        <v>#VALUE!</v>
      </c>
      <c r="M80" s="191" t="e">
        <f t="shared" si="1"/>
        <v>#VALUE!</v>
      </c>
      <c r="N80" s="41"/>
      <c r="O80" s="39"/>
      <c r="P80" s="39"/>
      <c r="Q80" s="2"/>
      <c r="R80" s="2"/>
      <c r="S80" s="9"/>
      <c r="T80" s="9"/>
      <c r="U80" s="9"/>
      <c r="V80" s="9"/>
      <c r="W80" s="9"/>
      <c r="X80" s="9"/>
      <c r="Y80" s="9"/>
      <c r="Z80" s="9"/>
    </row>
    <row r="81" spans="1:26" s="20" customFormat="1" ht="16.5" customHeight="1">
      <c r="A81" s="39"/>
      <c r="B81" s="664"/>
      <c r="C81" s="700"/>
      <c r="D81" s="701"/>
      <c r="E81" s="701"/>
      <c r="F81" s="701"/>
      <c r="G81" s="702"/>
      <c r="H81" s="206"/>
      <c r="I81" s="177" t="s">
        <v>32</v>
      </c>
      <c r="J81" s="417"/>
      <c r="K81" s="184">
        <f>+'Xi Data'!D22</f>
        <v>0</v>
      </c>
      <c r="L81" s="182" t="e">
        <f t="shared" si="0"/>
        <v>#VALUE!</v>
      </c>
      <c r="M81" s="178" t="e">
        <f t="shared" si="1"/>
        <v>#VALUE!</v>
      </c>
      <c r="N81" s="42"/>
      <c r="O81" s="39"/>
      <c r="P81" s="39"/>
      <c r="Q81" s="2"/>
      <c r="R81" s="2"/>
      <c r="S81" s="9"/>
      <c r="T81" s="9"/>
      <c r="U81" s="9"/>
      <c r="V81" s="9"/>
      <c r="W81" s="9"/>
      <c r="X81" s="9"/>
      <c r="Y81" s="9"/>
      <c r="Z81" s="9"/>
    </row>
    <row r="82" spans="1:26" s="20" customFormat="1" ht="18" customHeight="1">
      <c r="A82" s="39"/>
      <c r="B82" s="664"/>
      <c r="C82" s="700"/>
      <c r="D82" s="701"/>
      <c r="E82" s="701"/>
      <c r="F82" s="701"/>
      <c r="G82" s="702"/>
      <c r="H82" s="207"/>
      <c r="I82" s="177" t="s">
        <v>32</v>
      </c>
      <c r="J82" s="417"/>
      <c r="K82" s="184">
        <f>+'Xi Data'!D23</f>
        <v>0</v>
      </c>
      <c r="L82" s="182" t="e">
        <f t="shared" si="0"/>
        <v>#VALUE!</v>
      </c>
      <c r="M82" s="178" t="e">
        <f t="shared" si="1"/>
        <v>#VALUE!</v>
      </c>
      <c r="N82" s="41"/>
      <c r="O82" s="39"/>
      <c r="P82" s="39"/>
      <c r="Q82" s="2"/>
      <c r="R82" s="2"/>
      <c r="S82" s="9"/>
      <c r="T82" s="9"/>
      <c r="U82" s="9"/>
      <c r="V82" s="9"/>
      <c r="W82" s="9"/>
      <c r="X82" s="9"/>
      <c r="Y82" s="9"/>
      <c r="Z82" s="9"/>
    </row>
    <row r="83" spans="1:26" s="20" customFormat="1" ht="18" customHeight="1">
      <c r="A83" s="39"/>
      <c r="B83" s="664"/>
      <c r="C83" s="700"/>
      <c r="D83" s="701"/>
      <c r="E83" s="701"/>
      <c r="F83" s="701"/>
      <c r="G83" s="702"/>
      <c r="H83" s="207"/>
      <c r="I83" s="177" t="s">
        <v>32</v>
      </c>
      <c r="J83" s="417"/>
      <c r="K83" s="184">
        <f>+'Xi Data'!D24</f>
        <v>0</v>
      </c>
      <c r="L83" s="182" t="e">
        <f t="shared" si="0"/>
        <v>#VALUE!</v>
      </c>
      <c r="M83" s="178" t="e">
        <f t="shared" si="1"/>
        <v>#VALUE!</v>
      </c>
      <c r="N83" s="169"/>
      <c r="O83" s="39"/>
      <c r="P83" s="39"/>
      <c r="Q83" s="2"/>
      <c r="R83" s="2"/>
      <c r="S83" s="9"/>
      <c r="T83" s="9"/>
      <c r="U83" s="9"/>
      <c r="V83" s="9"/>
      <c r="W83" s="9"/>
      <c r="X83" s="9"/>
      <c r="Y83" s="9"/>
      <c r="Z83" s="9"/>
    </row>
    <row r="84" spans="1:26" s="20" customFormat="1" ht="18" customHeight="1">
      <c r="A84" s="39"/>
      <c r="B84" s="664"/>
      <c r="C84" s="700"/>
      <c r="D84" s="701"/>
      <c r="E84" s="701"/>
      <c r="F84" s="701"/>
      <c r="G84" s="702"/>
      <c r="H84" s="207"/>
      <c r="I84" s="177" t="s">
        <v>32</v>
      </c>
      <c r="J84" s="417"/>
      <c r="K84" s="184">
        <f>+'Xi Data'!D25</f>
        <v>0</v>
      </c>
      <c r="L84" s="182" t="e">
        <f t="shared" si="0"/>
        <v>#VALUE!</v>
      </c>
      <c r="M84" s="178" t="e">
        <f t="shared" si="1"/>
        <v>#VALUE!</v>
      </c>
      <c r="N84" s="41"/>
      <c r="O84" s="39"/>
      <c r="P84" s="39"/>
      <c r="Q84" s="2"/>
      <c r="R84" s="2"/>
      <c r="S84" s="9"/>
      <c r="T84" s="9"/>
      <c r="U84" s="9"/>
      <c r="V84" s="9"/>
      <c r="W84" s="9"/>
      <c r="X84" s="9"/>
      <c r="Y84" s="9"/>
      <c r="Z84" s="9"/>
    </row>
    <row r="85" spans="1:26" s="20" customFormat="1" ht="18" customHeight="1">
      <c r="A85" s="39"/>
      <c r="B85" s="664"/>
      <c r="C85" s="700"/>
      <c r="D85" s="701"/>
      <c r="E85" s="701"/>
      <c r="F85" s="701"/>
      <c r="G85" s="702"/>
      <c r="H85" s="207"/>
      <c r="I85" s="177" t="s">
        <v>32</v>
      </c>
      <c r="J85" s="417"/>
      <c r="K85" s="184">
        <f>+'Xi Data'!D26</f>
        <v>0</v>
      </c>
      <c r="L85" s="182" t="e">
        <f t="shared" si="0"/>
        <v>#VALUE!</v>
      </c>
      <c r="M85" s="178" t="e">
        <f t="shared" si="1"/>
        <v>#VALUE!</v>
      </c>
      <c r="N85" s="41"/>
      <c r="O85" s="39"/>
      <c r="P85" s="39"/>
      <c r="Q85" s="2"/>
      <c r="R85" s="2"/>
      <c r="S85" s="9"/>
      <c r="T85" s="9"/>
      <c r="U85" s="9"/>
      <c r="V85" s="9"/>
      <c r="W85" s="9"/>
      <c r="X85" s="9"/>
      <c r="Y85" s="9"/>
      <c r="Z85" s="9"/>
    </row>
    <row r="86" spans="1:26" s="20" customFormat="1" ht="17.25" customHeight="1" thickBot="1">
      <c r="A86" s="210"/>
      <c r="B86" s="665"/>
      <c r="C86" s="703"/>
      <c r="D86" s="704"/>
      <c r="E86" s="704"/>
      <c r="F86" s="704"/>
      <c r="G86" s="705"/>
      <c r="H86" s="208"/>
      <c r="I86" s="106"/>
      <c r="J86" s="198"/>
      <c r="K86" s="170"/>
      <c r="L86" s="170"/>
      <c r="M86" s="209"/>
      <c r="N86" s="41"/>
      <c r="O86" s="39"/>
      <c r="P86" s="39"/>
      <c r="Q86" s="2"/>
      <c r="R86" s="2"/>
      <c r="S86" s="9"/>
      <c r="T86" s="9"/>
      <c r="U86" s="9"/>
      <c r="V86" s="9"/>
      <c r="W86" s="9"/>
      <c r="X86" s="9"/>
      <c r="Y86" s="9"/>
      <c r="Z86" s="9"/>
    </row>
    <row r="87" spans="1:26" s="20" customFormat="1" ht="18" customHeight="1">
      <c r="A87" s="2"/>
      <c r="B87" s="706" t="s">
        <v>429</v>
      </c>
      <c r="C87" s="707"/>
      <c r="D87" s="707"/>
      <c r="E87" s="707"/>
      <c r="F87" s="707"/>
      <c r="G87" s="707"/>
      <c r="H87" s="707"/>
      <c r="I87" s="707"/>
      <c r="J87" s="707"/>
      <c r="K87" s="707"/>
      <c r="L87" s="707"/>
      <c r="M87" s="708"/>
      <c r="N87" s="187"/>
      <c r="O87" s="2"/>
      <c r="P87" s="2"/>
      <c r="Q87" s="2"/>
      <c r="R87" s="2"/>
      <c r="S87" s="9"/>
      <c r="T87" s="9"/>
      <c r="U87" s="9"/>
      <c r="V87" s="9"/>
      <c r="W87" s="9"/>
      <c r="X87" s="9"/>
      <c r="Y87" s="9"/>
      <c r="Z87" s="9"/>
    </row>
    <row r="88" spans="1:26" s="32" customFormat="1" ht="15.75" customHeight="1">
      <c r="A88" s="44"/>
      <c r="B88" s="709">
        <v>8</v>
      </c>
      <c r="C88" s="710" t="s">
        <v>70</v>
      </c>
      <c r="D88" s="670"/>
      <c r="E88" s="670"/>
      <c r="F88" s="670"/>
      <c r="G88" s="671"/>
      <c r="H88" s="685"/>
      <c r="I88" s="686"/>
      <c r="J88" s="686"/>
      <c r="K88" s="686"/>
      <c r="L88" s="167"/>
      <c r="M88" s="199"/>
      <c r="N88" s="42"/>
      <c r="O88" s="46"/>
      <c r="P88" s="44"/>
      <c r="Q88" s="44"/>
      <c r="R88" s="44"/>
      <c r="S88" s="29"/>
      <c r="T88" s="29"/>
      <c r="U88" s="29"/>
      <c r="V88" s="29"/>
      <c r="W88" s="29"/>
      <c r="X88" s="29"/>
      <c r="Y88" s="29"/>
      <c r="Z88" s="29"/>
    </row>
    <row r="89" spans="1:26" s="32" customFormat="1" ht="15.75" customHeight="1">
      <c r="A89" s="44"/>
      <c r="B89" s="709"/>
      <c r="C89" s="710"/>
      <c r="D89" s="670"/>
      <c r="E89" s="670"/>
      <c r="F89" s="670"/>
      <c r="G89" s="671"/>
      <c r="H89" s="685"/>
      <c r="I89" s="686"/>
      <c r="J89" s="686"/>
      <c r="K89" s="686"/>
      <c r="L89" s="167"/>
      <c r="M89" s="687"/>
      <c r="N89" s="42"/>
      <c r="O89" s="46"/>
      <c r="P89" s="44"/>
      <c r="Q89" s="44"/>
      <c r="R89" s="44"/>
      <c r="S89" s="29"/>
      <c r="T89" s="29"/>
      <c r="U89" s="29"/>
      <c r="V89" s="29"/>
      <c r="W89" s="29"/>
      <c r="X89" s="29"/>
      <c r="Y89" s="29"/>
      <c r="Z89" s="29"/>
    </row>
    <row r="90" spans="1:26" s="32" customFormat="1" ht="27.75" customHeight="1">
      <c r="A90" s="44"/>
      <c r="B90" s="709"/>
      <c r="C90" s="710"/>
      <c r="D90" s="670"/>
      <c r="E90" s="670"/>
      <c r="F90" s="670"/>
      <c r="G90" s="670"/>
      <c r="H90" s="142"/>
      <c r="I90" s="43"/>
      <c r="J90" s="43"/>
      <c r="K90" s="43"/>
      <c r="L90" s="168" t="s">
        <v>71</v>
      </c>
      <c r="M90" s="687"/>
      <c r="N90" s="42"/>
      <c r="O90" s="46"/>
      <c r="P90" s="44"/>
      <c r="Q90" s="44"/>
      <c r="R90" s="44"/>
      <c r="S90" s="29"/>
      <c r="T90" s="29"/>
      <c r="U90" s="29"/>
      <c r="V90" s="29"/>
      <c r="W90" s="29"/>
      <c r="X90" s="29"/>
      <c r="Y90" s="29"/>
      <c r="Z90" s="29"/>
    </row>
    <row r="91" spans="1:26" s="32" customFormat="1" ht="14.25" customHeight="1">
      <c r="A91" s="44"/>
      <c r="B91" s="664"/>
      <c r="C91" s="669"/>
      <c r="D91" s="711"/>
      <c r="E91" s="711"/>
      <c r="F91" s="711"/>
      <c r="G91" s="670"/>
      <c r="H91" s="142"/>
      <c r="I91" s="168"/>
      <c r="J91" s="168"/>
      <c r="K91" s="110" t="s">
        <v>72</v>
      </c>
      <c r="L91" s="421"/>
      <c r="M91" s="200"/>
      <c r="N91" s="42"/>
      <c r="O91" s="46"/>
      <c r="P91" s="44"/>
      <c r="Q91" s="44"/>
      <c r="R91" s="44"/>
      <c r="S91" s="29"/>
      <c r="T91" s="29"/>
      <c r="U91" s="29"/>
      <c r="V91" s="29"/>
      <c r="W91" s="29"/>
      <c r="X91" s="29"/>
      <c r="Y91" s="29"/>
      <c r="Z91" s="29"/>
    </row>
    <row r="92" spans="1:26" s="32" customFormat="1">
      <c r="A92" s="44"/>
      <c r="B92" s="664"/>
      <c r="C92" s="669"/>
      <c r="D92" s="711"/>
      <c r="E92" s="711"/>
      <c r="F92" s="711"/>
      <c r="G92" s="670"/>
      <c r="H92" s="142"/>
      <c r="I92" s="168"/>
      <c r="J92" s="168"/>
      <c r="K92" s="110" t="s">
        <v>73</v>
      </c>
      <c r="L92" s="421"/>
      <c r="M92" s="200"/>
      <c r="N92" s="41"/>
      <c r="O92" s="46"/>
      <c r="P92" s="44"/>
      <c r="Q92" s="44"/>
      <c r="R92" s="44"/>
      <c r="S92" s="29"/>
      <c r="T92" s="29"/>
      <c r="U92" s="29"/>
      <c r="V92" s="29"/>
      <c r="W92" s="29"/>
      <c r="X92" s="29"/>
      <c r="Y92" s="29"/>
      <c r="Z92" s="29"/>
    </row>
    <row r="93" spans="1:26" s="32" customFormat="1">
      <c r="A93" s="44"/>
      <c r="B93" s="664"/>
      <c r="C93" s="669"/>
      <c r="D93" s="711"/>
      <c r="E93" s="711"/>
      <c r="F93" s="711"/>
      <c r="G93" s="670"/>
      <c r="H93" s="142"/>
      <c r="I93" s="168"/>
      <c r="J93" s="168"/>
      <c r="K93" s="110" t="s">
        <v>74</v>
      </c>
      <c r="L93" s="421"/>
      <c r="M93" s="200"/>
      <c r="N93" s="169"/>
      <c r="O93" s="46"/>
      <c r="P93" s="44"/>
      <c r="Q93" s="44"/>
      <c r="R93" s="44"/>
      <c r="S93" s="29"/>
      <c r="T93" s="29"/>
      <c r="U93" s="29"/>
      <c r="V93" s="29"/>
      <c r="W93" s="29"/>
      <c r="X93" s="29"/>
      <c r="Y93" s="29"/>
      <c r="Z93" s="29"/>
    </row>
    <row r="94" spans="1:26" s="32" customFormat="1">
      <c r="A94" s="44"/>
      <c r="B94" s="664"/>
      <c r="C94" s="669"/>
      <c r="D94" s="711"/>
      <c r="E94" s="711"/>
      <c r="F94" s="711"/>
      <c r="G94" s="670"/>
      <c r="H94" s="142"/>
      <c r="I94" s="168"/>
      <c r="J94" s="168"/>
      <c r="K94" s="110" t="s">
        <v>75</v>
      </c>
      <c r="L94" s="421"/>
      <c r="M94" s="200"/>
      <c r="N94" s="41"/>
      <c r="O94" s="46"/>
      <c r="P94" s="44"/>
      <c r="Q94" s="44"/>
      <c r="R94" s="44"/>
      <c r="S94" s="29"/>
      <c r="T94" s="29"/>
      <c r="U94" s="29"/>
      <c r="V94" s="29"/>
      <c r="W94" s="29"/>
      <c r="X94" s="29"/>
      <c r="Y94" s="29"/>
      <c r="Z94" s="29"/>
    </row>
    <row r="95" spans="1:26" s="32" customFormat="1">
      <c r="A95" s="44"/>
      <c r="B95" s="664"/>
      <c r="C95" s="669"/>
      <c r="D95" s="711"/>
      <c r="E95" s="711"/>
      <c r="F95" s="711"/>
      <c r="G95" s="670"/>
      <c r="H95" s="142"/>
      <c r="I95" s="168"/>
      <c r="J95" s="168"/>
      <c r="K95" s="110" t="s">
        <v>76</v>
      </c>
      <c r="L95" s="421"/>
      <c r="M95" s="200"/>
      <c r="N95" s="169"/>
      <c r="O95" s="46"/>
      <c r="P95" s="44"/>
      <c r="Q95" s="44"/>
      <c r="R95" s="44"/>
      <c r="S95" s="29"/>
      <c r="T95" s="29"/>
      <c r="U95" s="29"/>
      <c r="V95" s="29"/>
      <c r="W95" s="29"/>
      <c r="X95" s="29"/>
      <c r="Y95" s="29"/>
      <c r="Z95" s="29"/>
    </row>
    <row r="96" spans="1:26" s="32" customFormat="1" ht="13.5" thickBot="1">
      <c r="A96" s="44"/>
      <c r="B96" s="665"/>
      <c r="C96" s="672"/>
      <c r="D96" s="673"/>
      <c r="E96" s="673"/>
      <c r="F96" s="673"/>
      <c r="G96" s="674"/>
      <c r="H96" s="108"/>
      <c r="I96" s="104"/>
      <c r="J96" s="104"/>
      <c r="K96" s="170"/>
      <c r="L96" s="170"/>
      <c r="M96" s="201"/>
      <c r="N96" s="181"/>
      <c r="O96" s="46"/>
      <c r="P96" s="44"/>
      <c r="Q96" s="44"/>
      <c r="R96" s="44"/>
      <c r="S96" s="29"/>
      <c r="T96" s="29"/>
      <c r="U96" s="29"/>
      <c r="V96" s="29"/>
      <c r="W96" s="29"/>
      <c r="X96" s="29"/>
      <c r="Y96" s="29"/>
      <c r="Z96" s="29"/>
    </row>
    <row r="97" spans="1:26" s="20" customFormat="1" ht="15.75" customHeight="1">
      <c r="A97" s="2"/>
      <c r="B97" s="663">
        <v>9</v>
      </c>
      <c r="C97" s="666" t="s">
        <v>400</v>
      </c>
      <c r="D97" s="667"/>
      <c r="E97" s="667"/>
      <c r="F97" s="667"/>
      <c r="G97" s="668"/>
      <c r="H97" s="675"/>
      <c r="I97" s="105"/>
      <c r="J97" s="105"/>
      <c r="K97" s="171"/>
      <c r="L97" s="188"/>
      <c r="M97" s="204"/>
      <c r="N97" s="186"/>
      <c r="O97" s="39"/>
      <c r="P97" s="2"/>
      <c r="Q97" s="2"/>
      <c r="R97" s="2"/>
      <c r="S97" s="9"/>
      <c r="T97" s="9"/>
      <c r="U97" s="9"/>
      <c r="V97" s="9"/>
      <c r="W97" s="9"/>
      <c r="X97" s="9"/>
      <c r="Y97" s="9"/>
      <c r="Z97" s="9"/>
    </row>
    <row r="98" spans="1:26" s="20" customFormat="1" ht="48" customHeight="1">
      <c r="A98" s="2"/>
      <c r="B98" s="664"/>
      <c r="C98" s="669"/>
      <c r="D98" s="670"/>
      <c r="E98" s="670"/>
      <c r="F98" s="670"/>
      <c r="G98" s="671"/>
      <c r="H98" s="676"/>
      <c r="I98" s="183" t="s">
        <v>30</v>
      </c>
      <c r="J98" s="183" t="s">
        <v>33</v>
      </c>
      <c r="K98" s="183" t="s">
        <v>78</v>
      </c>
      <c r="L98" s="148" t="s">
        <v>79</v>
      </c>
      <c r="M98" s="179" t="s">
        <v>113</v>
      </c>
      <c r="N98" s="185"/>
      <c r="O98" s="39"/>
      <c r="P98" s="2"/>
      <c r="Q98" s="2"/>
      <c r="R98" s="2"/>
      <c r="S98" s="9"/>
      <c r="T98" s="9"/>
      <c r="U98" s="9"/>
      <c r="V98" s="9"/>
      <c r="W98" s="9"/>
      <c r="X98" s="9"/>
      <c r="Y98" s="9"/>
      <c r="Z98" s="9"/>
    </row>
    <row r="99" spans="1:26" s="20" customFormat="1" ht="14.25" customHeight="1">
      <c r="A99" s="2"/>
      <c r="B99" s="664"/>
      <c r="C99" s="669"/>
      <c r="D99" s="670"/>
      <c r="E99" s="670"/>
      <c r="F99" s="670"/>
      <c r="G99" s="671"/>
      <c r="H99" s="142"/>
      <c r="I99" s="176" t="s">
        <v>31</v>
      </c>
      <c r="J99" s="417"/>
      <c r="K99" s="184">
        <f>+'Xi Data'!D27</f>
        <v>0</v>
      </c>
      <c r="L99" s="182" t="e">
        <f>K99*$L$46</f>
        <v>#VALUE!</v>
      </c>
      <c r="M99" s="178" t="e">
        <f>L99/J99</f>
        <v>#VALUE!</v>
      </c>
      <c r="N99" s="41"/>
      <c r="O99" s="39"/>
      <c r="P99" s="2"/>
      <c r="Q99" s="2"/>
      <c r="R99" s="2"/>
      <c r="S99" s="9"/>
      <c r="T99" s="9"/>
      <c r="U99" s="9"/>
      <c r="V99" s="9"/>
      <c r="W99" s="9"/>
      <c r="X99" s="9"/>
      <c r="Y99" s="9"/>
      <c r="Z99" s="9"/>
    </row>
    <row r="100" spans="1:26" s="20" customFormat="1" ht="14.25" customHeight="1">
      <c r="A100" s="2"/>
      <c r="B100" s="664"/>
      <c r="C100" s="669"/>
      <c r="D100" s="670"/>
      <c r="E100" s="670"/>
      <c r="F100" s="670"/>
      <c r="G100" s="671"/>
      <c r="H100" s="142"/>
      <c r="I100" s="177" t="s">
        <v>190</v>
      </c>
      <c r="J100" s="417"/>
      <c r="K100" s="184">
        <f>+'Xi Data'!D28</f>
        <v>0</v>
      </c>
      <c r="L100" s="182" t="e">
        <f>K100*$L$46</f>
        <v>#VALUE!</v>
      </c>
      <c r="M100" s="178" t="e">
        <f>L100/J100</f>
        <v>#VALUE!</v>
      </c>
      <c r="N100" s="41"/>
      <c r="O100" s="39"/>
      <c r="P100" s="2"/>
      <c r="Q100" s="2"/>
      <c r="R100" s="2"/>
      <c r="S100" s="9"/>
      <c r="T100" s="9"/>
      <c r="U100" s="9"/>
      <c r="V100" s="9"/>
      <c r="W100" s="9"/>
      <c r="X100" s="9"/>
      <c r="Y100" s="9"/>
      <c r="Z100" s="9"/>
    </row>
    <row r="101" spans="1:26" s="20" customFormat="1" ht="15.75" customHeight="1">
      <c r="A101" s="2"/>
      <c r="B101" s="664"/>
      <c r="C101" s="669"/>
      <c r="D101" s="670"/>
      <c r="E101" s="670"/>
      <c r="F101" s="670"/>
      <c r="G101" s="671"/>
      <c r="H101" s="142"/>
      <c r="I101" s="177" t="s">
        <v>32</v>
      </c>
      <c r="J101" s="417"/>
      <c r="K101" s="184">
        <f>+'Xi Data'!D29</f>
        <v>0</v>
      </c>
      <c r="L101" s="182" t="e">
        <f>K101*$L$46</f>
        <v>#VALUE!</v>
      </c>
      <c r="M101" s="178" t="e">
        <f>L101/J101</f>
        <v>#VALUE!</v>
      </c>
      <c r="N101" s="169"/>
      <c r="O101" s="39"/>
      <c r="P101" s="2"/>
      <c r="Q101" s="2"/>
      <c r="R101" s="2"/>
      <c r="S101" s="9"/>
      <c r="T101" s="9"/>
      <c r="U101" s="9"/>
      <c r="V101" s="9"/>
      <c r="W101" s="9"/>
      <c r="X101" s="9"/>
      <c r="Y101" s="9"/>
      <c r="Z101" s="9"/>
    </row>
    <row r="102" spans="1:26" s="20" customFormat="1" ht="14.25" customHeight="1" thickBot="1">
      <c r="A102" s="2"/>
      <c r="B102" s="665"/>
      <c r="C102" s="672"/>
      <c r="D102" s="673"/>
      <c r="E102" s="673"/>
      <c r="F102" s="673"/>
      <c r="G102" s="674"/>
      <c r="H102" s="108"/>
      <c r="I102" s="104"/>
      <c r="J102" s="172"/>
      <c r="K102" s="173"/>
      <c r="L102" s="173"/>
      <c r="M102" s="205"/>
      <c r="N102" s="169"/>
      <c r="O102" s="2"/>
      <c r="P102" s="2"/>
      <c r="Q102" s="2"/>
      <c r="R102" s="2"/>
      <c r="S102" s="9"/>
      <c r="T102" s="9"/>
      <c r="U102" s="9"/>
      <c r="V102" s="9"/>
      <c r="W102" s="9"/>
      <c r="X102" s="9"/>
      <c r="Y102" s="9"/>
      <c r="Z102" s="9"/>
    </row>
    <row r="103" spans="1:26" s="20" customFormat="1" ht="21" customHeight="1">
      <c r="A103" s="2"/>
      <c r="B103" s="663">
        <v>10</v>
      </c>
      <c r="C103" s="666" t="s">
        <v>401</v>
      </c>
      <c r="D103" s="667"/>
      <c r="E103" s="667"/>
      <c r="F103" s="667"/>
      <c r="G103" s="668"/>
      <c r="H103" s="675"/>
      <c r="I103" s="105"/>
      <c r="J103" s="105"/>
      <c r="K103" s="171"/>
      <c r="L103" s="188"/>
      <c r="M103" s="204"/>
      <c r="N103" s="186"/>
      <c r="O103" s="39"/>
      <c r="P103" s="2"/>
      <c r="Q103" s="2"/>
      <c r="R103" s="2"/>
      <c r="S103" s="9"/>
      <c r="T103" s="9"/>
      <c r="U103" s="9"/>
      <c r="V103" s="9"/>
      <c r="W103" s="9"/>
      <c r="X103" s="9"/>
      <c r="Y103" s="9"/>
      <c r="Z103" s="9"/>
    </row>
    <row r="104" spans="1:26" s="20" customFormat="1" ht="48" customHeight="1">
      <c r="A104" s="2"/>
      <c r="B104" s="664"/>
      <c r="C104" s="669"/>
      <c r="D104" s="670"/>
      <c r="E104" s="670"/>
      <c r="F104" s="670"/>
      <c r="G104" s="671"/>
      <c r="H104" s="676"/>
      <c r="I104" s="183" t="s">
        <v>30</v>
      </c>
      <c r="J104" s="183" t="s">
        <v>33</v>
      </c>
      <c r="K104" s="183" t="s">
        <v>78</v>
      </c>
      <c r="L104" s="148" t="s">
        <v>79</v>
      </c>
      <c r="M104" s="179" t="s">
        <v>113</v>
      </c>
      <c r="N104" s="185"/>
      <c r="O104" s="39"/>
      <c r="P104" s="2"/>
      <c r="Q104" s="2"/>
      <c r="R104" s="2"/>
      <c r="S104" s="9"/>
      <c r="T104" s="9"/>
      <c r="U104" s="9"/>
      <c r="V104" s="9"/>
      <c r="W104" s="9"/>
      <c r="X104" s="9"/>
      <c r="Y104" s="9"/>
      <c r="Z104" s="9"/>
    </row>
    <row r="105" spans="1:26" s="20" customFormat="1" ht="14.25" customHeight="1">
      <c r="A105" s="2"/>
      <c r="B105" s="664"/>
      <c r="C105" s="669"/>
      <c r="D105" s="670"/>
      <c r="E105" s="670"/>
      <c r="F105" s="670"/>
      <c r="G105" s="671"/>
      <c r="H105" s="142"/>
      <c r="I105" s="176" t="s">
        <v>31</v>
      </c>
      <c r="J105" s="417"/>
      <c r="K105" s="184">
        <f>+'Xi Data'!D30</f>
        <v>0</v>
      </c>
      <c r="L105" s="182" t="e">
        <f>K105*$L$46</f>
        <v>#VALUE!</v>
      </c>
      <c r="M105" s="178" t="e">
        <f>L105/J105</f>
        <v>#VALUE!</v>
      </c>
      <c r="N105" s="41"/>
      <c r="O105" s="39"/>
      <c r="P105" s="2"/>
      <c r="Q105" s="2"/>
      <c r="R105" s="2"/>
      <c r="S105" s="9"/>
      <c r="T105" s="9"/>
      <c r="U105" s="9"/>
      <c r="V105" s="9"/>
      <c r="W105" s="9"/>
      <c r="X105" s="9"/>
      <c r="Y105" s="9"/>
      <c r="Z105" s="9"/>
    </row>
    <row r="106" spans="1:26" s="20" customFormat="1" ht="14.25" customHeight="1">
      <c r="A106" s="2"/>
      <c r="B106" s="664"/>
      <c r="C106" s="669"/>
      <c r="D106" s="670"/>
      <c r="E106" s="670"/>
      <c r="F106" s="670"/>
      <c r="G106" s="671"/>
      <c r="H106" s="142"/>
      <c r="I106" s="177" t="s">
        <v>190</v>
      </c>
      <c r="J106" s="417"/>
      <c r="K106" s="184">
        <f>+'Xi Data'!D31</f>
        <v>0</v>
      </c>
      <c r="L106" s="182" t="e">
        <f>K106*$L$46</f>
        <v>#VALUE!</v>
      </c>
      <c r="M106" s="178" t="e">
        <f>L106/J106</f>
        <v>#VALUE!</v>
      </c>
      <c r="N106" s="41"/>
      <c r="O106" s="39"/>
      <c r="P106" s="2"/>
      <c r="Q106" s="2"/>
      <c r="R106" s="2"/>
      <c r="S106" s="9"/>
      <c r="T106" s="9"/>
      <c r="U106" s="9"/>
      <c r="V106" s="9"/>
      <c r="W106" s="9"/>
      <c r="X106" s="9"/>
      <c r="Y106" s="9"/>
      <c r="Z106" s="9"/>
    </row>
    <row r="107" spans="1:26" s="20" customFormat="1" ht="15.75" customHeight="1">
      <c r="A107" s="2"/>
      <c r="B107" s="664"/>
      <c r="C107" s="669"/>
      <c r="D107" s="670"/>
      <c r="E107" s="670"/>
      <c r="F107" s="670"/>
      <c r="G107" s="671"/>
      <c r="H107" s="142"/>
      <c r="I107" s="177" t="s">
        <v>32</v>
      </c>
      <c r="J107" s="417"/>
      <c r="K107" s="184">
        <f>+'Xi Data'!D32</f>
        <v>0</v>
      </c>
      <c r="L107" s="182" t="e">
        <f>K107*$L$46</f>
        <v>#VALUE!</v>
      </c>
      <c r="M107" s="178" t="e">
        <f>L107/J107</f>
        <v>#VALUE!</v>
      </c>
      <c r="N107" s="169"/>
      <c r="O107" s="39"/>
      <c r="P107" s="2"/>
      <c r="Q107" s="2"/>
      <c r="R107" s="2"/>
      <c r="S107" s="9"/>
      <c r="T107" s="9"/>
      <c r="U107" s="9"/>
      <c r="V107" s="9"/>
      <c r="W107" s="9"/>
      <c r="X107" s="9"/>
      <c r="Y107" s="9"/>
      <c r="Z107" s="9"/>
    </row>
    <row r="108" spans="1:26" s="20" customFormat="1" ht="14.25" customHeight="1" thickBot="1">
      <c r="A108" s="2"/>
      <c r="B108" s="665"/>
      <c r="C108" s="672"/>
      <c r="D108" s="673"/>
      <c r="E108" s="673"/>
      <c r="F108" s="673"/>
      <c r="G108" s="674"/>
      <c r="H108" s="108"/>
      <c r="I108" s="104"/>
      <c r="J108" s="172"/>
      <c r="K108" s="173"/>
      <c r="L108" s="173"/>
      <c r="M108" s="205"/>
      <c r="N108" s="169"/>
      <c r="O108" s="2"/>
      <c r="P108" s="2"/>
      <c r="Q108" s="2"/>
      <c r="R108" s="2"/>
      <c r="S108" s="9"/>
      <c r="T108" s="9"/>
      <c r="U108" s="9"/>
      <c r="V108" s="9"/>
      <c r="W108" s="9"/>
      <c r="X108" s="9"/>
      <c r="Y108" s="9"/>
      <c r="Z108" s="9"/>
    </row>
    <row r="109" spans="1:26" s="20" customFormat="1" ht="21" customHeight="1">
      <c r="A109" s="2"/>
      <c r="B109" s="663">
        <v>11</v>
      </c>
      <c r="C109" s="666" t="s">
        <v>433</v>
      </c>
      <c r="D109" s="667"/>
      <c r="E109" s="667"/>
      <c r="F109" s="667"/>
      <c r="G109" s="668"/>
      <c r="H109" s="675"/>
      <c r="I109" s="105"/>
      <c r="J109" s="105"/>
      <c r="K109" s="171"/>
      <c r="L109" s="188"/>
      <c r="M109" s="204"/>
      <c r="N109" s="186"/>
      <c r="O109" s="39"/>
      <c r="P109" s="2"/>
      <c r="Q109" s="2"/>
      <c r="R109" s="2"/>
      <c r="S109" s="9"/>
      <c r="T109" s="9"/>
      <c r="U109" s="9"/>
      <c r="V109" s="9"/>
      <c r="W109" s="9"/>
      <c r="X109" s="9"/>
      <c r="Y109" s="9"/>
      <c r="Z109" s="9"/>
    </row>
    <row r="110" spans="1:26" s="20" customFormat="1" ht="48" customHeight="1">
      <c r="A110" s="2"/>
      <c r="B110" s="664"/>
      <c r="C110" s="669"/>
      <c r="D110" s="670"/>
      <c r="E110" s="670"/>
      <c r="F110" s="670"/>
      <c r="G110" s="671"/>
      <c r="H110" s="676"/>
      <c r="I110" s="183" t="s">
        <v>30</v>
      </c>
      <c r="J110" s="183" t="s">
        <v>33</v>
      </c>
      <c r="K110" s="183" t="s">
        <v>78</v>
      </c>
      <c r="L110" s="148" t="s">
        <v>79</v>
      </c>
      <c r="M110" s="179" t="s">
        <v>113</v>
      </c>
      <c r="N110" s="185"/>
      <c r="O110" s="39"/>
      <c r="P110" s="2"/>
      <c r="Q110" s="2"/>
      <c r="R110" s="2"/>
      <c r="S110" s="9"/>
      <c r="T110" s="9"/>
      <c r="U110" s="9"/>
      <c r="V110" s="9"/>
      <c r="W110" s="9"/>
      <c r="X110" s="9"/>
      <c r="Y110" s="9"/>
      <c r="Z110" s="9"/>
    </row>
    <row r="111" spans="1:26" s="20" customFormat="1" ht="14.25" customHeight="1">
      <c r="A111" s="2"/>
      <c r="B111" s="664"/>
      <c r="C111" s="669"/>
      <c r="D111" s="670"/>
      <c r="E111" s="670"/>
      <c r="F111" s="670"/>
      <c r="G111" s="671"/>
      <c r="H111" s="142"/>
      <c r="I111" s="176" t="s">
        <v>31</v>
      </c>
      <c r="J111" s="417"/>
      <c r="K111" s="184">
        <f>+'Xi Data'!D33</f>
        <v>0</v>
      </c>
      <c r="L111" s="182" t="e">
        <f>K111*$L$46</f>
        <v>#VALUE!</v>
      </c>
      <c r="M111" s="178" t="e">
        <f>L111/J111</f>
        <v>#VALUE!</v>
      </c>
      <c r="N111" s="41"/>
      <c r="O111" s="39"/>
      <c r="P111" s="2"/>
      <c r="Q111" s="2"/>
      <c r="R111" s="2"/>
      <c r="S111" s="9"/>
      <c r="T111" s="9"/>
      <c r="U111" s="9"/>
      <c r="V111" s="9"/>
      <c r="W111" s="9"/>
      <c r="X111" s="9"/>
      <c r="Y111" s="9"/>
      <c r="Z111" s="9"/>
    </row>
    <row r="112" spans="1:26" s="20" customFormat="1" ht="14.25" customHeight="1">
      <c r="A112" s="2"/>
      <c r="B112" s="664"/>
      <c r="C112" s="669"/>
      <c r="D112" s="670"/>
      <c r="E112" s="670"/>
      <c r="F112" s="670"/>
      <c r="G112" s="671"/>
      <c r="H112" s="142"/>
      <c r="I112" s="177" t="s">
        <v>190</v>
      </c>
      <c r="J112" s="417"/>
      <c r="K112" s="184">
        <f>+'Xi Data'!D34</f>
        <v>0</v>
      </c>
      <c r="L112" s="182" t="e">
        <f>K112*$L$46</f>
        <v>#VALUE!</v>
      </c>
      <c r="M112" s="178" t="e">
        <f>L112/J112</f>
        <v>#VALUE!</v>
      </c>
      <c r="N112" s="41"/>
      <c r="O112" s="39"/>
      <c r="P112" s="2"/>
      <c r="Q112" s="2"/>
      <c r="R112" s="2"/>
      <c r="S112" s="9"/>
      <c r="T112" s="9"/>
      <c r="U112" s="9"/>
      <c r="V112" s="9"/>
      <c r="W112" s="9"/>
      <c r="X112" s="9"/>
      <c r="Y112" s="9"/>
      <c r="Z112" s="9"/>
    </row>
    <row r="113" spans="1:26" s="20" customFormat="1" ht="15.75" customHeight="1">
      <c r="A113" s="2"/>
      <c r="B113" s="664"/>
      <c r="C113" s="669"/>
      <c r="D113" s="670"/>
      <c r="E113" s="670"/>
      <c r="F113" s="670"/>
      <c r="G113" s="671"/>
      <c r="H113" s="142"/>
      <c r="I113" s="177" t="s">
        <v>32</v>
      </c>
      <c r="J113" s="417"/>
      <c r="K113" s="184">
        <f>+'Xi Data'!D35</f>
        <v>0</v>
      </c>
      <c r="L113" s="182" t="e">
        <f>K113*$L$46</f>
        <v>#VALUE!</v>
      </c>
      <c r="M113" s="178" t="e">
        <f>L113/J113</f>
        <v>#VALUE!</v>
      </c>
      <c r="N113" s="169"/>
      <c r="O113" s="39"/>
      <c r="P113" s="2"/>
      <c r="Q113" s="2"/>
      <c r="R113" s="2"/>
      <c r="S113" s="9"/>
      <c r="T113" s="9"/>
      <c r="U113" s="9"/>
      <c r="V113" s="9"/>
      <c r="W113" s="9"/>
      <c r="X113" s="9"/>
      <c r="Y113" s="9"/>
      <c r="Z113" s="9"/>
    </row>
    <row r="114" spans="1:26" s="20" customFormat="1" ht="14.25" customHeight="1" thickBot="1">
      <c r="A114" s="2"/>
      <c r="B114" s="665"/>
      <c r="C114" s="672"/>
      <c r="D114" s="673"/>
      <c r="E114" s="673"/>
      <c r="F114" s="673"/>
      <c r="G114" s="674"/>
      <c r="H114" s="108"/>
      <c r="I114" s="104"/>
      <c r="J114" s="172"/>
      <c r="K114" s="173"/>
      <c r="L114" s="173"/>
      <c r="M114" s="205"/>
      <c r="N114" s="169"/>
      <c r="O114" s="2"/>
      <c r="P114" s="2"/>
      <c r="Q114" s="2"/>
      <c r="R114" s="2"/>
      <c r="S114" s="9"/>
      <c r="T114" s="9"/>
      <c r="U114" s="9"/>
      <c r="V114" s="9"/>
      <c r="W114" s="9"/>
      <c r="X114" s="9"/>
      <c r="Y114" s="9"/>
      <c r="Z114" s="9"/>
    </row>
    <row r="115" spans="1:26" s="20" customFormat="1" ht="15.75" customHeight="1">
      <c r="A115" s="2"/>
      <c r="B115" s="663">
        <v>12</v>
      </c>
      <c r="C115" s="666" t="s">
        <v>402</v>
      </c>
      <c r="D115" s="667"/>
      <c r="E115" s="667"/>
      <c r="F115" s="667"/>
      <c r="G115" s="668"/>
      <c r="H115" s="675"/>
      <c r="I115" s="105"/>
      <c r="J115" s="105"/>
      <c r="K115" s="171"/>
      <c r="L115" s="188"/>
      <c r="M115" s="204"/>
      <c r="N115" s="186"/>
      <c r="O115" s="39"/>
      <c r="P115" s="2"/>
      <c r="Q115" s="2"/>
      <c r="R115" s="2"/>
      <c r="S115" s="9"/>
      <c r="T115" s="9"/>
      <c r="U115" s="9"/>
      <c r="V115" s="9"/>
      <c r="W115" s="9"/>
      <c r="X115" s="9"/>
      <c r="Y115" s="9"/>
      <c r="Z115" s="9"/>
    </row>
    <row r="116" spans="1:26" s="20" customFormat="1" ht="48" customHeight="1">
      <c r="A116" s="2"/>
      <c r="B116" s="664"/>
      <c r="C116" s="669"/>
      <c r="D116" s="670"/>
      <c r="E116" s="670"/>
      <c r="F116" s="670"/>
      <c r="G116" s="671"/>
      <c r="H116" s="676"/>
      <c r="I116" s="183" t="s">
        <v>30</v>
      </c>
      <c r="J116" s="183" t="s">
        <v>33</v>
      </c>
      <c r="K116" s="183" t="s">
        <v>78</v>
      </c>
      <c r="L116" s="148" t="s">
        <v>79</v>
      </c>
      <c r="M116" s="179" t="s">
        <v>113</v>
      </c>
      <c r="N116" s="185"/>
      <c r="O116" s="39"/>
      <c r="P116" s="2"/>
      <c r="Q116" s="2"/>
      <c r="R116" s="2"/>
      <c r="S116" s="9"/>
      <c r="T116" s="9"/>
      <c r="U116" s="9"/>
      <c r="V116" s="9"/>
      <c r="W116" s="9"/>
      <c r="X116" s="9"/>
      <c r="Y116" s="9"/>
      <c r="Z116" s="9"/>
    </row>
    <row r="117" spans="1:26" s="20" customFormat="1" ht="14.25" customHeight="1">
      <c r="A117" s="2"/>
      <c r="B117" s="664"/>
      <c r="C117" s="669"/>
      <c r="D117" s="670"/>
      <c r="E117" s="670"/>
      <c r="F117" s="670"/>
      <c r="G117" s="671"/>
      <c r="H117" s="142"/>
      <c r="I117" s="176" t="s">
        <v>31</v>
      </c>
      <c r="J117" s="417"/>
      <c r="K117" s="184">
        <f>+'Xi Data'!D36</f>
        <v>0</v>
      </c>
      <c r="L117" s="182" t="e">
        <f>K117*$L$46</f>
        <v>#VALUE!</v>
      </c>
      <c r="M117" s="178" t="e">
        <f>L117/J117</f>
        <v>#VALUE!</v>
      </c>
      <c r="N117" s="41"/>
      <c r="O117" s="39"/>
      <c r="P117" s="2"/>
      <c r="Q117" s="2"/>
      <c r="R117" s="2"/>
      <c r="S117" s="9"/>
      <c r="T117" s="9"/>
      <c r="U117" s="9"/>
      <c r="V117" s="9"/>
      <c r="W117" s="9"/>
      <c r="X117" s="9"/>
      <c r="Y117" s="9"/>
      <c r="Z117" s="9"/>
    </row>
    <row r="118" spans="1:26" s="20" customFormat="1" ht="14.25" customHeight="1">
      <c r="A118" s="2"/>
      <c r="B118" s="664"/>
      <c r="C118" s="669"/>
      <c r="D118" s="670"/>
      <c r="E118" s="670"/>
      <c r="F118" s="670"/>
      <c r="G118" s="671"/>
      <c r="H118" s="142"/>
      <c r="I118" s="177" t="s">
        <v>190</v>
      </c>
      <c r="J118" s="417"/>
      <c r="K118" s="184">
        <f>+'Xi Data'!D37</f>
        <v>0</v>
      </c>
      <c r="L118" s="182" t="e">
        <f>K118*$L$46</f>
        <v>#VALUE!</v>
      </c>
      <c r="M118" s="178" t="e">
        <f>L118/J118</f>
        <v>#VALUE!</v>
      </c>
      <c r="N118" s="41"/>
      <c r="O118" s="39"/>
      <c r="P118" s="2"/>
      <c r="Q118" s="2"/>
      <c r="R118" s="2"/>
      <c r="S118" s="9"/>
      <c r="T118" s="9"/>
      <c r="U118" s="9"/>
      <c r="V118" s="9"/>
      <c r="W118" s="9"/>
      <c r="X118" s="9"/>
      <c r="Y118" s="9"/>
      <c r="Z118" s="9"/>
    </row>
    <row r="119" spans="1:26" s="20" customFormat="1" ht="15.75" customHeight="1">
      <c r="A119" s="2"/>
      <c r="B119" s="664"/>
      <c r="C119" s="669"/>
      <c r="D119" s="670"/>
      <c r="E119" s="670"/>
      <c r="F119" s="670"/>
      <c r="G119" s="671"/>
      <c r="H119" s="142"/>
      <c r="I119" s="177" t="s">
        <v>32</v>
      </c>
      <c r="J119" s="417"/>
      <c r="K119" s="184">
        <f>+'Xi Data'!D38</f>
        <v>0</v>
      </c>
      <c r="L119" s="182" t="e">
        <f>K119*$L$46</f>
        <v>#VALUE!</v>
      </c>
      <c r="M119" s="178" t="e">
        <f>L119/J119</f>
        <v>#VALUE!</v>
      </c>
      <c r="N119" s="169"/>
      <c r="O119" s="39"/>
      <c r="P119" s="2"/>
      <c r="Q119" s="2"/>
      <c r="R119" s="2"/>
      <c r="S119" s="9"/>
      <c r="T119" s="9"/>
      <c r="U119" s="9"/>
      <c r="V119" s="9"/>
      <c r="W119" s="9"/>
      <c r="X119" s="9"/>
      <c r="Y119" s="9"/>
      <c r="Z119" s="9"/>
    </row>
    <row r="120" spans="1:26" s="20" customFormat="1" ht="14.25" customHeight="1" thickBot="1">
      <c r="A120" s="2"/>
      <c r="B120" s="665"/>
      <c r="C120" s="672"/>
      <c r="D120" s="673"/>
      <c r="E120" s="673"/>
      <c r="F120" s="673"/>
      <c r="G120" s="674"/>
      <c r="H120" s="108"/>
      <c r="I120" s="104"/>
      <c r="J120" s="172"/>
      <c r="K120" s="173"/>
      <c r="L120" s="173"/>
      <c r="M120" s="205"/>
      <c r="N120" s="169"/>
      <c r="O120" s="2"/>
      <c r="P120" s="2"/>
      <c r="Q120" s="2"/>
      <c r="R120" s="2"/>
      <c r="S120" s="9"/>
      <c r="T120" s="9"/>
      <c r="U120" s="9"/>
      <c r="V120" s="9"/>
      <c r="W120" s="9"/>
      <c r="X120" s="9"/>
      <c r="Y120" s="9"/>
      <c r="Z120" s="9"/>
    </row>
    <row r="121" spans="1:26" s="20" customFormat="1" ht="15.75" customHeight="1">
      <c r="A121" s="2"/>
      <c r="B121" s="663">
        <v>13</v>
      </c>
      <c r="C121" s="666" t="s">
        <v>191</v>
      </c>
      <c r="D121" s="667"/>
      <c r="E121" s="667"/>
      <c r="F121" s="667"/>
      <c r="G121" s="668"/>
      <c r="H121" s="675"/>
      <c r="I121" s="105"/>
      <c r="J121" s="105"/>
      <c r="K121" s="171"/>
      <c r="L121" s="188"/>
      <c r="M121" s="204"/>
      <c r="N121" s="186"/>
      <c r="O121" s="39"/>
      <c r="P121" s="2"/>
      <c r="Q121" s="2"/>
      <c r="R121" s="2"/>
      <c r="S121" s="9"/>
      <c r="T121" s="9"/>
      <c r="U121" s="9"/>
      <c r="V121" s="9"/>
      <c r="W121" s="9"/>
      <c r="X121" s="9"/>
      <c r="Y121" s="9"/>
      <c r="Z121" s="9"/>
    </row>
    <row r="122" spans="1:26" s="20" customFormat="1" ht="48" customHeight="1">
      <c r="A122" s="2"/>
      <c r="B122" s="664"/>
      <c r="C122" s="669"/>
      <c r="D122" s="670"/>
      <c r="E122" s="670"/>
      <c r="F122" s="670"/>
      <c r="G122" s="671"/>
      <c r="H122" s="676"/>
      <c r="I122" s="183" t="s">
        <v>30</v>
      </c>
      <c r="J122" s="183" t="s">
        <v>33</v>
      </c>
      <c r="K122" s="183" t="s">
        <v>78</v>
      </c>
      <c r="L122" s="148" t="s">
        <v>79</v>
      </c>
      <c r="M122" s="179" t="s">
        <v>113</v>
      </c>
      <c r="N122" s="185"/>
      <c r="O122" s="39"/>
      <c r="P122" s="2"/>
      <c r="Q122" s="2"/>
      <c r="R122" s="2"/>
      <c r="S122" s="9"/>
      <c r="T122" s="9"/>
      <c r="U122" s="9"/>
      <c r="V122" s="9"/>
      <c r="W122" s="9"/>
      <c r="X122" s="9"/>
      <c r="Y122" s="9"/>
      <c r="Z122" s="9"/>
    </row>
    <row r="123" spans="1:26" s="20" customFormat="1" ht="14.25" customHeight="1">
      <c r="A123" s="2"/>
      <c r="B123" s="664"/>
      <c r="C123" s="669"/>
      <c r="D123" s="670"/>
      <c r="E123" s="670"/>
      <c r="F123" s="670"/>
      <c r="G123" s="671"/>
      <c r="H123" s="142"/>
      <c r="I123" s="176" t="s">
        <v>31</v>
      </c>
      <c r="J123" s="417"/>
      <c r="K123" s="184">
        <f>+'Xi Data'!D39</f>
        <v>0</v>
      </c>
      <c r="L123" s="182" t="e">
        <f>K123*$L$46</f>
        <v>#VALUE!</v>
      </c>
      <c r="M123" s="178" t="e">
        <f>L123/J123</f>
        <v>#VALUE!</v>
      </c>
      <c r="N123" s="41"/>
      <c r="O123" s="39"/>
      <c r="P123" s="2"/>
      <c r="Q123" s="2"/>
      <c r="R123" s="2"/>
      <c r="S123" s="9"/>
      <c r="T123" s="9"/>
      <c r="U123" s="9"/>
      <c r="V123" s="9"/>
      <c r="W123" s="9"/>
      <c r="X123" s="9"/>
      <c r="Y123" s="9"/>
      <c r="Z123" s="9"/>
    </row>
    <row r="124" spans="1:26" s="20" customFormat="1" ht="14.25" customHeight="1">
      <c r="A124" s="2"/>
      <c r="B124" s="664"/>
      <c r="C124" s="669"/>
      <c r="D124" s="670"/>
      <c r="E124" s="670"/>
      <c r="F124" s="670"/>
      <c r="G124" s="671"/>
      <c r="H124" s="142"/>
      <c r="I124" s="177" t="s">
        <v>190</v>
      </c>
      <c r="J124" s="417"/>
      <c r="K124" s="184">
        <f>+'Xi Data'!D40</f>
        <v>0</v>
      </c>
      <c r="L124" s="182" t="e">
        <f>K124*$L$46</f>
        <v>#VALUE!</v>
      </c>
      <c r="M124" s="178" t="e">
        <f>L124/J124</f>
        <v>#VALUE!</v>
      </c>
      <c r="N124" s="41"/>
      <c r="O124" s="39"/>
      <c r="P124" s="2"/>
      <c r="Q124" s="2"/>
      <c r="R124" s="2"/>
      <c r="S124" s="9"/>
      <c r="T124" s="9"/>
      <c r="U124" s="9"/>
      <c r="V124" s="9"/>
      <c r="W124" s="9"/>
      <c r="X124" s="9"/>
      <c r="Y124" s="9"/>
      <c r="Z124" s="9"/>
    </row>
    <row r="125" spans="1:26" s="20" customFormat="1" ht="15.75" customHeight="1">
      <c r="A125" s="2"/>
      <c r="B125" s="664"/>
      <c r="C125" s="669"/>
      <c r="D125" s="670"/>
      <c r="E125" s="670"/>
      <c r="F125" s="670"/>
      <c r="G125" s="671"/>
      <c r="H125" s="142"/>
      <c r="I125" s="177" t="s">
        <v>32</v>
      </c>
      <c r="J125" s="417"/>
      <c r="K125" s="184">
        <f>+'Xi Data'!D41</f>
        <v>0</v>
      </c>
      <c r="L125" s="182" t="e">
        <f>K125*$L$46</f>
        <v>#VALUE!</v>
      </c>
      <c r="M125" s="178" t="e">
        <f>L125/J125</f>
        <v>#VALUE!</v>
      </c>
      <c r="N125" s="169"/>
      <c r="O125" s="39"/>
      <c r="P125" s="2"/>
      <c r="Q125" s="2"/>
      <c r="R125" s="2"/>
      <c r="S125" s="9"/>
      <c r="T125" s="9"/>
      <c r="U125" s="9"/>
      <c r="V125" s="9"/>
      <c r="W125" s="9"/>
      <c r="X125" s="9"/>
      <c r="Y125" s="9"/>
      <c r="Z125" s="9"/>
    </row>
    <row r="126" spans="1:26" s="20" customFormat="1" ht="14.25" customHeight="1" thickBot="1">
      <c r="A126" s="2"/>
      <c r="B126" s="665"/>
      <c r="C126" s="672"/>
      <c r="D126" s="673"/>
      <c r="E126" s="673"/>
      <c r="F126" s="673"/>
      <c r="G126" s="674"/>
      <c r="H126" s="108"/>
      <c r="I126" s="104"/>
      <c r="J126" s="172"/>
      <c r="K126" s="173"/>
      <c r="L126" s="173"/>
      <c r="M126" s="205"/>
      <c r="N126" s="169"/>
      <c r="O126" s="2"/>
      <c r="P126" s="2"/>
      <c r="Q126" s="2"/>
      <c r="R126" s="2"/>
      <c r="S126" s="9"/>
      <c r="T126" s="9"/>
      <c r="U126" s="9"/>
      <c r="V126" s="9"/>
      <c r="W126" s="9"/>
      <c r="X126" s="9"/>
      <c r="Y126" s="9"/>
      <c r="Z126" s="9"/>
    </row>
    <row r="127" spans="1:26" ht="69.75" customHeight="1" thickBot="1">
      <c r="A127" s="1"/>
      <c r="B127" s="211">
        <v>14</v>
      </c>
      <c r="C127" s="693" t="s">
        <v>193</v>
      </c>
      <c r="D127" s="693"/>
      <c r="E127" s="693"/>
      <c r="F127" s="693"/>
      <c r="G127" s="694"/>
      <c r="H127" s="212"/>
      <c r="I127" s="555" t="s">
        <v>393</v>
      </c>
      <c r="J127" s="213"/>
      <c r="K127" s="213"/>
      <c r="L127" s="213"/>
      <c r="M127" s="214"/>
      <c r="N127" s="1"/>
      <c r="O127" s="46"/>
      <c r="P127" s="1"/>
      <c r="Q127" s="1"/>
      <c r="R127" s="1"/>
    </row>
    <row r="128" spans="1:26" s="1" customFormat="1">
      <c r="A128" s="5"/>
      <c r="B128" s="5"/>
      <c r="C128" s="5"/>
      <c r="D128" s="5"/>
      <c r="E128" s="128"/>
      <c r="F128" s="129"/>
      <c r="G128" s="124"/>
      <c r="H128" s="5"/>
      <c r="I128" s="5"/>
      <c r="J128" s="5"/>
      <c r="K128" s="5"/>
      <c r="L128" s="5"/>
      <c r="M128" s="5"/>
      <c r="N128" s="5"/>
      <c r="S128" s="4"/>
      <c r="T128" s="4"/>
      <c r="U128" s="4"/>
      <c r="V128" s="4"/>
      <c r="W128" s="4"/>
      <c r="X128" s="4"/>
      <c r="Y128" s="4"/>
      <c r="Z128" s="4"/>
    </row>
    <row r="129" spans="1:26" s="1" customFormat="1" ht="14.25">
      <c r="A129" s="123" t="s">
        <v>146</v>
      </c>
      <c r="E129" s="72"/>
      <c r="F129" s="130"/>
      <c r="S129" s="4"/>
      <c r="T129" s="4"/>
      <c r="U129" s="4"/>
      <c r="V129" s="4"/>
      <c r="W129" s="4"/>
      <c r="X129" s="4"/>
      <c r="Y129" s="4"/>
      <c r="Z129" s="4"/>
    </row>
    <row r="130" spans="1:26" s="1" customFormat="1" ht="15.75">
      <c r="A130" s="123"/>
      <c r="D130" s="678" t="s">
        <v>412</v>
      </c>
      <c r="E130" s="679"/>
      <c r="F130" s="679"/>
      <c r="G130" s="679"/>
      <c r="I130" s="678" t="s">
        <v>413</v>
      </c>
      <c r="J130" s="679"/>
      <c r="K130" s="679"/>
      <c r="L130" s="679"/>
      <c r="S130" s="4"/>
      <c r="T130" s="4"/>
      <c r="U130" s="4"/>
      <c r="V130" s="4"/>
      <c r="W130" s="4"/>
      <c r="X130" s="4"/>
      <c r="Y130" s="4"/>
      <c r="Z130" s="4"/>
    </row>
    <row r="131" spans="1:26" s="1" customFormat="1" ht="39" customHeight="1">
      <c r="B131" s="2"/>
      <c r="C131" s="89" t="s">
        <v>80</v>
      </c>
      <c r="D131" s="695" t="s">
        <v>194</v>
      </c>
      <c r="E131" s="696"/>
      <c r="F131" s="695" t="s">
        <v>195</v>
      </c>
      <c r="G131" s="696"/>
      <c r="I131" s="89" t="s">
        <v>80</v>
      </c>
      <c r="J131" s="581" t="s">
        <v>432</v>
      </c>
      <c r="K131" s="582" t="s">
        <v>195</v>
      </c>
      <c r="S131" s="4"/>
      <c r="T131" s="4"/>
      <c r="U131" s="4"/>
      <c r="V131" s="4"/>
      <c r="W131" s="4"/>
      <c r="X131" s="4"/>
      <c r="Y131" s="4"/>
      <c r="Z131" s="4"/>
    </row>
    <row r="132" spans="1:26" s="1" customFormat="1" ht="15">
      <c r="C132" s="215" t="s">
        <v>72</v>
      </c>
      <c r="D132" s="682" t="e">
        <f>AVERAGE(M49:M51)</f>
        <v>#VALUE!</v>
      </c>
      <c r="E132" s="683"/>
      <c r="F132" s="684" t="e">
        <f>(D132-L38)/L38</f>
        <v>#VALUE!</v>
      </c>
      <c r="G132" s="684"/>
      <c r="I132" s="215" t="s">
        <v>72</v>
      </c>
      <c r="J132" s="579" t="e">
        <f>AVERAGE(M99:M101)</f>
        <v>#VALUE!</v>
      </c>
      <c r="K132" s="580" t="e">
        <f>(J132-L91)/L91</f>
        <v>#VALUE!</v>
      </c>
      <c r="S132" s="4"/>
      <c r="T132" s="4"/>
      <c r="U132" s="4"/>
      <c r="V132" s="4"/>
      <c r="W132" s="4"/>
      <c r="X132" s="4"/>
      <c r="Y132" s="4"/>
      <c r="Z132" s="4"/>
    </row>
    <row r="133" spans="1:26" s="1" customFormat="1" ht="15">
      <c r="C133" s="215" t="s">
        <v>73</v>
      </c>
      <c r="D133" s="682" t="e">
        <f>AVERAGE(M55:M57)</f>
        <v>#VALUE!</v>
      </c>
      <c r="E133" s="683"/>
      <c r="F133" s="684" t="e">
        <f>(D133-L39)/L39</f>
        <v>#VALUE!</v>
      </c>
      <c r="G133" s="684"/>
      <c r="I133" s="215" t="s">
        <v>73</v>
      </c>
      <c r="J133" s="579" t="e">
        <f>AVERAGE(M105:M107)</f>
        <v>#VALUE!</v>
      </c>
      <c r="K133" s="580" t="e">
        <f>(J133-L92)/L92</f>
        <v>#VALUE!</v>
      </c>
      <c r="S133" s="4"/>
      <c r="T133" s="4"/>
      <c r="U133" s="4"/>
      <c r="V133" s="4"/>
      <c r="W133" s="4"/>
      <c r="X133" s="4"/>
      <c r="Y133" s="4"/>
      <c r="Z133" s="4"/>
    </row>
    <row r="134" spans="1:26" s="1" customFormat="1" ht="15">
      <c r="C134" s="215" t="s">
        <v>74</v>
      </c>
      <c r="D134" s="682" t="e">
        <f>AVERAGE(AVERAGE(M73:M78),M79,AVERAGE(M80:M85))</f>
        <v>#VALUE!</v>
      </c>
      <c r="E134" s="683"/>
      <c r="F134" s="684" t="e">
        <f>(D134-L40)/L40</f>
        <v>#VALUE!</v>
      </c>
      <c r="G134" s="684"/>
      <c r="I134" s="215" t="s">
        <v>74</v>
      </c>
      <c r="J134" s="579" t="e">
        <f>AVERAGE(M111:M113)</f>
        <v>#VALUE!</v>
      </c>
      <c r="K134" s="580" t="e">
        <f>(J134-L93)/L93</f>
        <v>#VALUE!</v>
      </c>
      <c r="S134" s="4"/>
      <c r="T134" s="4"/>
      <c r="U134" s="4"/>
      <c r="V134" s="4"/>
      <c r="W134" s="4"/>
      <c r="X134" s="4"/>
      <c r="Y134" s="4"/>
      <c r="Z134" s="4"/>
    </row>
    <row r="135" spans="1:26" s="1" customFormat="1" ht="15">
      <c r="C135" s="215" t="s">
        <v>75</v>
      </c>
      <c r="D135" s="682" t="e">
        <f>AVERAGE(M61:M63)</f>
        <v>#VALUE!</v>
      </c>
      <c r="E135" s="683"/>
      <c r="F135" s="684" t="e">
        <f>(D135-L41)/L41</f>
        <v>#VALUE!</v>
      </c>
      <c r="G135" s="684"/>
      <c r="I135" s="215" t="s">
        <v>75</v>
      </c>
      <c r="J135" s="579" t="e">
        <f>AVERAGE(M117:M119)</f>
        <v>#VALUE!</v>
      </c>
      <c r="K135" s="580" t="e">
        <f>(J135-L94)/L94</f>
        <v>#VALUE!</v>
      </c>
      <c r="S135" s="4"/>
      <c r="T135" s="4"/>
      <c r="U135" s="4"/>
      <c r="V135" s="4"/>
      <c r="W135" s="4"/>
      <c r="X135" s="4"/>
      <c r="Y135" s="4"/>
      <c r="Z135" s="4"/>
    </row>
    <row r="136" spans="1:26" s="1" customFormat="1" ht="15">
      <c r="C136" s="215" t="s">
        <v>76</v>
      </c>
      <c r="D136" s="682" t="e">
        <f>AVERAGE(M67:M69)</f>
        <v>#VALUE!</v>
      </c>
      <c r="E136" s="683"/>
      <c r="F136" s="684" t="e">
        <f>(D136-L42)/L42</f>
        <v>#VALUE!</v>
      </c>
      <c r="G136" s="684"/>
      <c r="I136" s="215" t="s">
        <v>76</v>
      </c>
      <c r="J136" s="579" t="e">
        <f>AVERAGE(M123:M125)</f>
        <v>#VALUE!</v>
      </c>
      <c r="K136" s="580" t="e">
        <f>(J136-L95)/L95</f>
        <v>#VALUE!</v>
      </c>
      <c r="S136" s="4"/>
      <c r="T136" s="4"/>
      <c r="U136" s="4"/>
      <c r="V136" s="4"/>
      <c r="W136" s="4"/>
      <c r="X136" s="4"/>
      <c r="Y136" s="4"/>
      <c r="Z136" s="4"/>
    </row>
    <row r="137" spans="1:26" s="1" customFormat="1">
      <c r="S137" s="4"/>
      <c r="T137" s="4"/>
      <c r="U137" s="4"/>
      <c r="V137" s="4"/>
      <c r="W137" s="4"/>
      <c r="X137" s="4"/>
      <c r="Y137" s="4"/>
      <c r="Z137" s="4"/>
    </row>
    <row r="138" spans="1:26" s="1" customFormat="1" ht="18" customHeight="1">
      <c r="E138" s="215"/>
      <c r="G138" s="215" t="s">
        <v>196</v>
      </c>
      <c r="H138" s="680" t="e">
        <f>MAX(ABS(F132),ABS(F133),ABS(F134),ABS(F135),ABS(F136),ABS(K132),ABS(K133),ABS(K134),ABS(K135),ABS(K136))</f>
        <v>#VALUE!</v>
      </c>
      <c r="I138" s="681"/>
      <c r="S138" s="4"/>
      <c r="T138" s="4"/>
      <c r="U138" s="4"/>
      <c r="V138" s="4"/>
      <c r="W138" s="4"/>
      <c r="X138" s="4"/>
      <c r="Y138" s="4"/>
      <c r="Z138" s="4"/>
    </row>
    <row r="139" spans="1:26" s="1" customFormat="1">
      <c r="A139" s="5"/>
      <c r="B139" s="5"/>
      <c r="C139" s="5"/>
      <c r="D139" s="5"/>
      <c r="E139" s="5"/>
      <c r="F139" s="5"/>
      <c r="G139" s="5"/>
      <c r="H139" s="5"/>
      <c r="I139" s="5"/>
      <c r="J139" s="5"/>
      <c r="K139" s="5"/>
      <c r="L139" s="5"/>
      <c r="M139" s="5"/>
      <c r="N139" s="5"/>
      <c r="S139" s="4"/>
      <c r="T139" s="4"/>
      <c r="U139" s="4"/>
      <c r="V139" s="4"/>
      <c r="W139" s="4"/>
      <c r="X139" s="4"/>
      <c r="Y139" s="4"/>
      <c r="Z139" s="4"/>
    </row>
    <row r="140" spans="1:26" s="1" customFormat="1" ht="14.25">
      <c r="A140" s="123" t="s">
        <v>148</v>
      </c>
      <c r="S140" s="4"/>
      <c r="T140" s="4"/>
      <c r="U140" s="4"/>
      <c r="V140" s="4"/>
      <c r="W140" s="4"/>
      <c r="X140" s="4"/>
      <c r="Y140" s="4"/>
      <c r="Z140" s="4"/>
    </row>
    <row r="141" spans="1:26" s="1" customFormat="1" ht="15" customHeight="1">
      <c r="C141" s="677" t="s">
        <v>431</v>
      </c>
      <c r="D141" s="642"/>
      <c r="E141" s="642"/>
      <c r="F141" s="642"/>
      <c r="G141" s="642"/>
      <c r="H141" s="642"/>
      <c r="I141" s="642"/>
      <c r="J141" s="642"/>
      <c r="K141" s="642"/>
      <c r="L141" s="642"/>
      <c r="M141" s="642"/>
      <c r="S141" s="4"/>
      <c r="T141" s="4"/>
      <c r="U141" s="4"/>
      <c r="V141" s="4"/>
      <c r="W141" s="4"/>
      <c r="X141" s="4"/>
      <c r="Y141" s="4"/>
      <c r="Z141" s="4"/>
    </row>
    <row r="142" spans="1:26" s="1" customFormat="1">
      <c r="B142" s="44"/>
      <c r="C142" s="44" t="s">
        <v>430</v>
      </c>
      <c r="S142" s="4"/>
      <c r="T142" s="4"/>
      <c r="U142" s="4"/>
      <c r="V142" s="4"/>
      <c r="W142" s="4"/>
      <c r="X142" s="4"/>
      <c r="Y142" s="4"/>
      <c r="Z142" s="4"/>
    </row>
    <row r="143" spans="1:26" s="1" customFormat="1">
      <c r="A143" s="5"/>
      <c r="B143" s="5"/>
      <c r="C143" s="5"/>
      <c r="D143" s="5"/>
      <c r="E143" s="5"/>
      <c r="F143" s="5"/>
      <c r="G143" s="5"/>
      <c r="H143" s="5"/>
      <c r="I143" s="5"/>
      <c r="J143" s="5"/>
      <c r="K143" s="5"/>
      <c r="L143" s="5"/>
      <c r="M143" s="5"/>
      <c r="N143" s="5"/>
      <c r="S143" s="4"/>
      <c r="T143" s="4"/>
      <c r="U143" s="4"/>
      <c r="V143" s="4"/>
      <c r="W143" s="4"/>
      <c r="X143" s="4"/>
      <c r="Y143" s="4"/>
      <c r="Z143" s="4"/>
    </row>
    <row r="144" spans="1:26" s="1" customFormat="1" ht="15" thickBot="1">
      <c r="A144" s="131" t="s">
        <v>160</v>
      </c>
      <c r="B144" s="132"/>
      <c r="C144" s="132"/>
      <c r="S144" s="4"/>
      <c r="T144" s="4"/>
      <c r="U144" s="4"/>
      <c r="V144" s="4"/>
      <c r="W144" s="4"/>
      <c r="X144" s="4"/>
      <c r="Y144" s="4"/>
      <c r="Z144" s="4"/>
    </row>
    <row r="145" spans="1:26" s="1" customFormat="1" ht="16.5" thickBot="1">
      <c r="E145" s="122" t="str">
        <f>IF(ISNUMBER(H138),IF(AND(H138&lt;0.15,D134&gt;=0.11,J134&gt;=0.11),"PASS","FAIL"),"---")</f>
        <v>---</v>
      </c>
      <c r="S145" s="4"/>
      <c r="T145" s="4"/>
      <c r="U145" s="4"/>
      <c r="V145" s="4"/>
      <c r="W145" s="4"/>
      <c r="X145" s="4"/>
      <c r="Y145" s="4"/>
      <c r="Z145" s="4"/>
    </row>
    <row r="146" spans="1:26" s="1" customFormat="1">
      <c r="A146" s="5"/>
      <c r="B146" s="5"/>
      <c r="C146" s="5"/>
      <c r="D146" s="5"/>
      <c r="E146" s="5"/>
      <c r="F146" s="5"/>
      <c r="G146" s="5"/>
      <c r="H146" s="5"/>
      <c r="I146" s="5"/>
      <c r="J146" s="5"/>
      <c r="K146" s="5"/>
      <c r="L146" s="5"/>
      <c r="M146" s="5"/>
      <c r="N146" s="5"/>
      <c r="S146" s="4"/>
      <c r="T146" s="4"/>
      <c r="U146" s="4"/>
      <c r="V146" s="4"/>
      <c r="W146" s="4"/>
      <c r="X146" s="4"/>
      <c r="Y146" s="4"/>
      <c r="Z146" s="4"/>
    </row>
    <row r="147" spans="1:26" s="1" customFormat="1" ht="14.25">
      <c r="A147" s="123" t="s">
        <v>158</v>
      </c>
      <c r="S147" s="4"/>
      <c r="T147" s="4"/>
      <c r="U147" s="4"/>
      <c r="V147" s="4"/>
      <c r="W147" s="4"/>
      <c r="X147" s="4"/>
      <c r="Y147" s="4"/>
      <c r="Z147" s="4"/>
    </row>
    <row r="148" spans="1:26" s="1" customFormat="1">
      <c r="A148" s="568"/>
      <c r="B148" s="568"/>
      <c r="C148" s="568"/>
      <c r="D148" s="568"/>
      <c r="E148" s="568"/>
      <c r="F148" s="568"/>
      <c r="G148" s="568"/>
      <c r="H148" s="568"/>
      <c r="I148" s="568"/>
      <c r="J148" s="568"/>
      <c r="K148" s="568"/>
      <c r="L148" s="568"/>
      <c r="M148" s="568"/>
      <c r="N148" s="568"/>
      <c r="S148" s="4"/>
      <c r="T148" s="4"/>
      <c r="U148" s="4"/>
      <c r="V148" s="4"/>
      <c r="W148" s="4"/>
      <c r="X148" s="4"/>
      <c r="Y148" s="4"/>
      <c r="Z148" s="4"/>
    </row>
    <row r="149" spans="1:26">
      <c r="A149" s="564"/>
      <c r="B149" s="564"/>
      <c r="C149" s="564"/>
      <c r="D149" s="564"/>
      <c r="E149" s="564"/>
      <c r="F149" s="564"/>
      <c r="G149" s="564"/>
      <c r="H149" s="564"/>
      <c r="I149" s="564"/>
      <c r="J149" s="564"/>
      <c r="K149" s="564"/>
      <c r="L149" s="564"/>
      <c r="M149" s="564"/>
      <c r="N149" s="564"/>
    </row>
    <row r="150" spans="1:26">
      <c r="A150" s="564"/>
      <c r="B150" s="564"/>
      <c r="C150" s="564"/>
      <c r="D150" s="564"/>
      <c r="E150" s="564"/>
      <c r="F150" s="564"/>
      <c r="G150" s="564"/>
      <c r="H150" s="564"/>
      <c r="I150" s="564"/>
      <c r="J150" s="564"/>
      <c r="K150" s="564"/>
      <c r="L150" s="564"/>
      <c r="M150" s="564"/>
      <c r="N150" s="564"/>
    </row>
    <row r="151" spans="1:26">
      <c r="A151" s="564"/>
      <c r="B151" s="564"/>
      <c r="C151" s="564"/>
      <c r="D151" s="564"/>
      <c r="E151" s="564"/>
      <c r="F151" s="564"/>
      <c r="G151" s="564"/>
      <c r="H151" s="564"/>
      <c r="I151" s="564"/>
      <c r="J151" s="564"/>
      <c r="K151" s="564"/>
      <c r="L151" s="564"/>
      <c r="M151" s="564"/>
      <c r="N151" s="564"/>
    </row>
    <row r="152" spans="1:26">
      <c r="A152" s="564"/>
      <c r="B152" s="564"/>
      <c r="C152" s="564"/>
      <c r="D152" s="564"/>
      <c r="E152" s="564"/>
      <c r="F152" s="564"/>
      <c r="G152" s="564"/>
      <c r="H152" s="564"/>
      <c r="I152" s="564"/>
      <c r="J152" s="564"/>
      <c r="K152" s="564"/>
      <c r="L152" s="564"/>
      <c r="M152" s="564"/>
      <c r="N152" s="564"/>
    </row>
    <row r="153" spans="1:26">
      <c r="A153" s="564"/>
      <c r="B153" s="564"/>
      <c r="C153" s="564"/>
      <c r="D153" s="564"/>
      <c r="E153" s="564"/>
      <c r="F153" s="564"/>
      <c r="G153" s="564"/>
      <c r="H153" s="564"/>
      <c r="I153" s="564"/>
      <c r="J153" s="564"/>
      <c r="K153" s="564"/>
      <c r="L153" s="564"/>
      <c r="M153" s="564"/>
      <c r="N153" s="564"/>
    </row>
    <row r="154" spans="1:26">
      <c r="A154" s="564"/>
      <c r="B154" s="564"/>
      <c r="C154" s="564"/>
      <c r="D154" s="564"/>
      <c r="E154" s="564"/>
      <c r="F154" s="564"/>
      <c r="G154" s="564"/>
      <c r="H154" s="564"/>
      <c r="I154" s="564"/>
      <c r="J154" s="564"/>
      <c r="K154" s="564"/>
      <c r="L154" s="564"/>
      <c r="M154" s="564"/>
      <c r="N154" s="564"/>
    </row>
    <row r="155" spans="1:26">
      <c r="A155" s="564"/>
      <c r="B155" s="564"/>
      <c r="C155" s="564"/>
      <c r="D155" s="564"/>
      <c r="E155" s="564"/>
      <c r="F155" s="564"/>
      <c r="G155" s="564"/>
      <c r="H155" s="564"/>
      <c r="I155" s="564"/>
      <c r="J155" s="564"/>
      <c r="K155" s="564"/>
      <c r="L155" s="564"/>
      <c r="M155" s="564"/>
      <c r="N155" s="564"/>
    </row>
    <row r="156" spans="1:26">
      <c r="A156" s="564"/>
      <c r="B156" s="564"/>
      <c r="C156" s="564"/>
      <c r="D156" s="564"/>
      <c r="E156" s="564"/>
      <c r="F156" s="564"/>
      <c r="G156" s="564"/>
      <c r="H156" s="564"/>
      <c r="I156" s="564"/>
      <c r="J156" s="564"/>
      <c r="K156" s="564"/>
      <c r="L156" s="564"/>
      <c r="M156" s="564"/>
      <c r="N156" s="564"/>
    </row>
    <row r="157" spans="1:26">
      <c r="A157" s="564"/>
      <c r="B157" s="564"/>
      <c r="C157" s="564"/>
      <c r="D157" s="564"/>
      <c r="E157" s="564"/>
      <c r="F157" s="564"/>
      <c r="G157" s="564"/>
      <c r="H157" s="564"/>
      <c r="I157" s="564"/>
      <c r="J157" s="564"/>
      <c r="K157" s="564"/>
      <c r="L157" s="564"/>
      <c r="M157" s="564"/>
      <c r="N157" s="564"/>
    </row>
    <row r="158" spans="1:26">
      <c r="A158" s="564"/>
      <c r="B158" s="564"/>
      <c r="C158" s="564"/>
      <c r="D158" s="564"/>
      <c r="E158" s="564"/>
      <c r="F158" s="564"/>
      <c r="G158" s="564"/>
      <c r="H158" s="564"/>
      <c r="I158" s="564"/>
      <c r="J158" s="564"/>
      <c r="K158" s="564"/>
      <c r="L158" s="564"/>
      <c r="M158" s="564"/>
      <c r="N158" s="564"/>
    </row>
    <row r="159" spans="1:26">
      <c r="A159" s="564"/>
      <c r="B159" s="564"/>
      <c r="C159" s="564"/>
      <c r="D159" s="564"/>
      <c r="E159" s="564"/>
      <c r="F159" s="564"/>
      <c r="G159" s="564"/>
      <c r="H159" s="564"/>
      <c r="I159" s="564"/>
      <c r="J159" s="564"/>
      <c r="K159" s="564"/>
      <c r="L159" s="564"/>
      <c r="M159" s="564"/>
      <c r="N159" s="564"/>
    </row>
    <row r="160" spans="1:26">
      <c r="A160" s="564"/>
      <c r="B160" s="564"/>
      <c r="C160" s="564"/>
      <c r="D160" s="564"/>
      <c r="E160" s="564"/>
      <c r="F160" s="564"/>
      <c r="G160" s="564"/>
      <c r="H160" s="564"/>
      <c r="I160" s="564"/>
      <c r="J160" s="564"/>
      <c r="K160" s="564"/>
      <c r="L160" s="564"/>
      <c r="M160" s="564"/>
      <c r="N160" s="564"/>
    </row>
    <row r="161" spans="1:14">
      <c r="A161" s="564"/>
      <c r="B161" s="564"/>
      <c r="C161" s="564"/>
      <c r="D161" s="564"/>
      <c r="E161" s="564"/>
      <c r="F161" s="564"/>
      <c r="G161" s="564"/>
      <c r="H161" s="564"/>
      <c r="I161" s="564"/>
      <c r="J161" s="564"/>
      <c r="K161" s="564"/>
      <c r="L161" s="564"/>
      <c r="M161" s="564"/>
      <c r="N161" s="564"/>
    </row>
    <row r="162" spans="1:14">
      <c r="A162" s="564"/>
      <c r="B162" s="564"/>
      <c r="C162" s="564"/>
      <c r="D162" s="564"/>
      <c r="E162" s="564"/>
      <c r="F162" s="564"/>
      <c r="G162" s="564"/>
      <c r="H162" s="564"/>
      <c r="I162" s="564"/>
      <c r="J162" s="564"/>
      <c r="K162" s="564"/>
      <c r="L162" s="564"/>
      <c r="M162" s="564"/>
      <c r="N162" s="564"/>
    </row>
  </sheetData>
  <protectedRanges>
    <protectedRange sqref="K43 L47 L71 L35:L36 L39:L42 L44:L45 H83:H86 K67:K70 L53 L59 L65 K61:K64 K49:K52 K55:K58 I49:J51 I55:J57 I61:J63 I67:J69 I73:K86 I117:J119 K96 L97 L88:L89 L92:L95 I123:J125 L103 L115 L121 I99:J101 I105:J107 L109 I111:J113 K99:K102 K105:K108 K111:K114 K117:K120 K123:K126" name="Range1_1_1"/>
  </protectedRanges>
  <mergeCells count="66">
    <mergeCell ref="A1:J1"/>
    <mergeCell ref="C33:G33"/>
    <mergeCell ref="H46:K46"/>
    <mergeCell ref="H33:M33"/>
    <mergeCell ref="H53:H54"/>
    <mergeCell ref="B53:B58"/>
    <mergeCell ref="C53:G58"/>
    <mergeCell ref="A3:N3"/>
    <mergeCell ref="A4:N4"/>
    <mergeCell ref="B34:M34"/>
    <mergeCell ref="C44:G46"/>
    <mergeCell ref="B47:B52"/>
    <mergeCell ref="C47:G52"/>
    <mergeCell ref="B35:B43"/>
    <mergeCell ref="C35:G43"/>
    <mergeCell ref="B44:B46"/>
    <mergeCell ref="B59:B64"/>
    <mergeCell ref="C59:G64"/>
    <mergeCell ref="H59:H60"/>
    <mergeCell ref="D135:E135"/>
    <mergeCell ref="F135:G135"/>
    <mergeCell ref="H65:H66"/>
    <mergeCell ref="C127:G127"/>
    <mergeCell ref="D131:E131"/>
    <mergeCell ref="F131:G131"/>
    <mergeCell ref="C71:G86"/>
    <mergeCell ref="B87:M87"/>
    <mergeCell ref="B71:B86"/>
    <mergeCell ref="B65:B70"/>
    <mergeCell ref="C65:G70"/>
    <mergeCell ref="B88:B96"/>
    <mergeCell ref="C88:G96"/>
    <mergeCell ref="D136:E136"/>
    <mergeCell ref="F136:G136"/>
    <mergeCell ref="D134:E134"/>
    <mergeCell ref="F134:G134"/>
    <mergeCell ref="F133:G133"/>
    <mergeCell ref="H88:K89"/>
    <mergeCell ref="M89:M90"/>
    <mergeCell ref="H35:K36"/>
    <mergeCell ref="M36:M37"/>
    <mergeCell ref="H47:H48"/>
    <mergeCell ref="H44:K44"/>
    <mergeCell ref="H45:K45"/>
    <mergeCell ref="B97:B102"/>
    <mergeCell ref="C97:G102"/>
    <mergeCell ref="H97:H98"/>
    <mergeCell ref="B103:B108"/>
    <mergeCell ref="C103:G108"/>
    <mergeCell ref="H103:H104"/>
    <mergeCell ref="B109:B114"/>
    <mergeCell ref="C109:G114"/>
    <mergeCell ref="H109:H110"/>
    <mergeCell ref="C141:M141"/>
    <mergeCell ref="D130:G130"/>
    <mergeCell ref="I130:L130"/>
    <mergeCell ref="H138:I138"/>
    <mergeCell ref="B115:B120"/>
    <mergeCell ref="C115:G120"/>
    <mergeCell ref="H115:H116"/>
    <mergeCell ref="B121:B126"/>
    <mergeCell ref="C121:G126"/>
    <mergeCell ref="H121:H122"/>
    <mergeCell ref="D132:E132"/>
    <mergeCell ref="F132:G132"/>
    <mergeCell ref="D133:E133"/>
  </mergeCells>
  <phoneticPr fontId="0" type="noConversion"/>
  <pageMargins left="0.75" right="0.75" top="1" bottom="1" header="0.5" footer="0.5"/>
  <pageSetup paperSize="9" scale="70" orientation="landscape" horizont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tabColor indexed="34"/>
  </sheetPr>
  <dimension ref="A1:U40"/>
  <sheetViews>
    <sheetView zoomScale="85" zoomScaleNormal="85" zoomScaleSheetLayoutView="50" workbookViewId="0">
      <selection activeCell="R23" sqref="R23"/>
    </sheetView>
  </sheetViews>
  <sheetFormatPr defaultRowHeight="12.75"/>
  <cols>
    <col min="1" max="1" width="3.42578125" customWidth="1"/>
    <col min="2" max="2" width="11.42578125" customWidth="1"/>
    <col min="3" max="4" width="14.28515625" customWidth="1"/>
    <col min="6" max="6" width="7.85546875" customWidth="1"/>
    <col min="7" max="7" width="14.140625" customWidth="1"/>
    <col min="8" max="8" width="11" customWidth="1"/>
    <col min="9" max="9" width="15" customWidth="1"/>
    <col min="10" max="10" width="11.42578125" customWidth="1"/>
    <col min="11" max="11" width="9.140625" style="87"/>
  </cols>
  <sheetData>
    <row r="1" spans="1:21" s="62" customFormat="1" ht="27.75" customHeight="1">
      <c r="A1" s="712" t="s">
        <v>422</v>
      </c>
      <c r="B1" s="712"/>
      <c r="C1" s="712"/>
      <c r="D1" s="713"/>
      <c r="E1" s="713"/>
      <c r="F1" s="713"/>
      <c r="G1" s="713"/>
      <c r="H1" s="713"/>
      <c r="I1" s="83"/>
      <c r="J1" s="83"/>
      <c r="K1" s="84"/>
      <c r="M1" s="413"/>
      <c r="N1" s="413"/>
      <c r="O1" s="413"/>
      <c r="P1" s="413"/>
      <c r="Q1" s="413"/>
      <c r="R1" s="413"/>
      <c r="S1" s="413"/>
      <c r="T1" s="413"/>
      <c r="U1" s="413"/>
    </row>
    <row r="2" spans="1:21" s="62" customFormat="1" ht="15.75" customHeight="1">
      <c r="A2" s="163"/>
      <c r="B2" s="163"/>
      <c r="C2" s="163"/>
      <c r="D2" s="81"/>
      <c r="E2" s="81"/>
      <c r="F2" s="81"/>
      <c r="G2" s="81"/>
      <c r="H2" s="81"/>
      <c r="I2" s="83"/>
      <c r="J2" s="83"/>
      <c r="K2" s="84"/>
      <c r="M2" s="413"/>
      <c r="N2" s="413"/>
      <c r="O2" s="413"/>
      <c r="P2" s="413"/>
      <c r="Q2" s="413"/>
      <c r="R2" s="413"/>
      <c r="S2" s="413"/>
      <c r="T2" s="413"/>
      <c r="U2" s="413"/>
    </row>
    <row r="3" spans="1:21" s="62" customFormat="1" ht="21.75" customHeight="1">
      <c r="A3" s="738" t="s">
        <v>197</v>
      </c>
      <c r="B3" s="739"/>
      <c r="C3" s="739"/>
      <c r="D3" s="739"/>
      <c r="E3" s="739"/>
      <c r="F3" s="739"/>
      <c r="G3" s="739"/>
      <c r="H3" s="739"/>
      <c r="I3" s="739"/>
      <c r="J3" s="740"/>
      <c r="K3" s="84"/>
      <c r="M3" s="413"/>
      <c r="N3" s="413"/>
      <c r="O3" s="413"/>
      <c r="P3" s="413"/>
      <c r="Q3" s="413"/>
      <c r="R3" s="413"/>
      <c r="S3" s="413"/>
      <c r="T3" s="413"/>
      <c r="U3" s="413"/>
    </row>
    <row r="4" spans="1:21" s="62" customFormat="1" ht="18" customHeight="1">
      <c r="A4" s="163"/>
      <c r="B4" s="163"/>
      <c r="C4" s="163"/>
      <c r="D4" s="81"/>
      <c r="E4" s="81"/>
      <c r="F4" s="81"/>
      <c r="G4" s="81"/>
      <c r="H4" s="81"/>
      <c r="I4" s="83"/>
      <c r="J4" s="83"/>
      <c r="K4" s="84"/>
      <c r="M4" s="413"/>
      <c r="N4" s="413"/>
      <c r="O4" s="413"/>
      <c r="P4" s="413"/>
      <c r="Q4" s="413"/>
      <c r="R4" s="413"/>
      <c r="S4" s="413"/>
      <c r="T4" s="413"/>
      <c r="U4" s="413"/>
    </row>
    <row r="5" spans="1:21" s="1" customFormat="1" ht="14.25">
      <c r="A5" s="123" t="s">
        <v>90</v>
      </c>
      <c r="B5" s="2"/>
      <c r="M5" s="29"/>
      <c r="N5" s="29"/>
      <c r="O5" s="29"/>
      <c r="P5" s="29"/>
      <c r="Q5" s="29"/>
      <c r="R5" s="29"/>
      <c r="S5" s="29"/>
      <c r="T5" s="29"/>
      <c r="U5" s="29"/>
    </row>
    <row r="6" spans="1:21" s="1" customFormat="1">
      <c r="B6" s="2"/>
      <c r="C6" s="1" t="s">
        <v>185</v>
      </c>
      <c r="M6" s="29"/>
      <c r="N6" s="29"/>
      <c r="O6" s="29"/>
      <c r="P6" s="29"/>
      <c r="Q6" s="29"/>
      <c r="R6" s="29"/>
      <c r="S6" s="29"/>
      <c r="T6" s="29"/>
      <c r="U6" s="29"/>
    </row>
    <row r="7" spans="1:21" s="1" customFormat="1">
      <c r="A7" s="5"/>
      <c r="B7" s="124"/>
      <c r="C7" s="5"/>
      <c r="D7" s="5"/>
      <c r="E7" s="5"/>
      <c r="F7" s="5"/>
      <c r="G7" s="5"/>
      <c r="H7" s="5"/>
      <c r="I7" s="5"/>
      <c r="J7" s="5"/>
      <c r="M7" s="29"/>
      <c r="N7" s="29"/>
      <c r="O7" s="29"/>
      <c r="P7" s="29"/>
      <c r="Q7" s="29"/>
      <c r="R7" s="29"/>
      <c r="S7" s="29"/>
      <c r="T7" s="29"/>
      <c r="U7" s="29"/>
    </row>
    <row r="8" spans="1:21" s="1" customFormat="1" ht="14.25">
      <c r="A8" s="123" t="s">
        <v>143</v>
      </c>
      <c r="M8" s="29"/>
      <c r="N8" s="29"/>
      <c r="O8" s="29"/>
      <c r="P8" s="29"/>
      <c r="Q8" s="29"/>
      <c r="R8" s="29"/>
      <c r="S8" s="29"/>
      <c r="T8" s="29"/>
      <c r="U8" s="29"/>
    </row>
    <row r="9" spans="1:21" s="1" customFormat="1" ht="18.75" customHeight="1">
      <c r="A9" s="126"/>
      <c r="B9" s="75" t="s">
        <v>198</v>
      </c>
      <c r="C9" s="5"/>
      <c r="D9" s="5"/>
      <c r="E9" s="5"/>
      <c r="F9" s="5"/>
      <c r="G9" s="5"/>
      <c r="H9" s="5"/>
      <c r="I9" s="5"/>
      <c r="J9" s="5"/>
      <c r="M9" s="29"/>
      <c r="N9" s="29"/>
      <c r="O9" s="29"/>
      <c r="P9" s="29"/>
      <c r="Q9" s="29"/>
      <c r="R9" s="29"/>
      <c r="S9" s="29"/>
      <c r="T9" s="29"/>
      <c r="U9" s="29"/>
    </row>
    <row r="10" spans="1:21" s="1" customFormat="1" ht="14.25">
      <c r="A10" s="123" t="s">
        <v>145</v>
      </c>
      <c r="B10" s="125"/>
      <c r="M10" s="29"/>
      <c r="N10" s="29"/>
      <c r="O10" s="29"/>
      <c r="P10" s="29"/>
      <c r="Q10" s="29"/>
      <c r="R10" s="29"/>
      <c r="S10" s="29"/>
      <c r="T10" s="29"/>
      <c r="U10" s="29"/>
    </row>
    <row r="11" spans="1:21" s="20" customFormat="1" ht="14.25" customHeight="1">
      <c r="A11" s="39"/>
      <c r="B11" s="43"/>
      <c r="C11" s="76"/>
      <c r="D11" s="76"/>
      <c r="E11" s="76"/>
      <c r="F11" s="76"/>
      <c r="G11" s="218"/>
      <c r="H11" s="219"/>
      <c r="I11" s="2"/>
      <c r="J11" s="217"/>
      <c r="K11" s="39"/>
      <c r="L11" s="39"/>
      <c r="M11" s="9"/>
      <c r="N11" s="9"/>
      <c r="O11" s="9"/>
      <c r="P11" s="9"/>
      <c r="Q11" s="9"/>
      <c r="R11" s="9"/>
      <c r="S11" s="9"/>
      <c r="T11" s="9"/>
      <c r="U11" s="9"/>
    </row>
    <row r="12" spans="1:21" s="20" customFormat="1" ht="29.25" customHeight="1">
      <c r="A12" s="39"/>
      <c r="B12" s="63" t="s">
        <v>200</v>
      </c>
      <c r="C12" s="2"/>
      <c r="D12" s="183" t="s">
        <v>78</v>
      </c>
      <c r="E12" s="76"/>
      <c r="F12" s="76"/>
      <c r="G12" s="63" t="s">
        <v>199</v>
      </c>
      <c r="H12" s="219"/>
      <c r="I12" s="183" t="s">
        <v>78</v>
      </c>
      <c r="J12" s="217"/>
      <c r="K12" s="39"/>
      <c r="L12" s="39"/>
      <c r="M12" s="9"/>
      <c r="N12" s="9"/>
      <c r="O12" s="9"/>
      <c r="P12" s="9"/>
      <c r="Q12" s="9"/>
      <c r="R12" s="9"/>
      <c r="S12" s="9"/>
      <c r="T12" s="9"/>
      <c r="U12" s="9"/>
    </row>
    <row r="13" spans="1:21" s="20" customFormat="1" ht="15.75" customHeight="1">
      <c r="A13" s="39"/>
      <c r="B13" s="43"/>
      <c r="C13" s="2">
        <v>1</v>
      </c>
      <c r="D13" s="222">
        <f>'X-ray tube output'!K73</f>
        <v>0</v>
      </c>
      <c r="E13" s="76"/>
      <c r="F13" s="76"/>
      <c r="G13" s="2"/>
      <c r="H13" s="2">
        <v>1</v>
      </c>
      <c r="I13" s="222">
        <f>'X-ray tube output'!K80</f>
        <v>0</v>
      </c>
      <c r="J13" s="217"/>
      <c r="K13" s="39"/>
      <c r="L13" s="39"/>
      <c r="M13" s="9"/>
      <c r="N13" s="9"/>
      <c r="O13" s="9"/>
      <c r="P13" s="9"/>
      <c r="Q13" s="9"/>
      <c r="R13" s="9"/>
      <c r="S13" s="9"/>
      <c r="T13" s="9"/>
      <c r="U13" s="9"/>
    </row>
    <row r="14" spans="1:21" s="20" customFormat="1" ht="15.75" customHeight="1">
      <c r="A14" s="39"/>
      <c r="B14" s="43"/>
      <c r="C14" s="2">
        <v>2</v>
      </c>
      <c r="D14" s="222">
        <f>'X-ray tube output'!K74</f>
        <v>0</v>
      </c>
      <c r="E14" s="76"/>
      <c r="F14" s="76"/>
      <c r="G14" s="2"/>
      <c r="H14" s="2">
        <v>2</v>
      </c>
      <c r="I14" s="222">
        <f>'X-ray tube output'!K81</f>
        <v>0</v>
      </c>
      <c r="J14" s="217"/>
      <c r="K14" s="39"/>
      <c r="L14" s="39"/>
      <c r="M14" s="9"/>
      <c r="N14" s="9"/>
      <c r="O14" s="9"/>
      <c r="P14" s="9"/>
      <c r="Q14" s="9"/>
      <c r="R14" s="9"/>
      <c r="S14" s="9"/>
      <c r="T14" s="9"/>
      <c r="U14" s="9"/>
    </row>
    <row r="15" spans="1:21" s="20" customFormat="1" ht="15.75" customHeight="1">
      <c r="A15" s="39"/>
      <c r="B15" s="43"/>
      <c r="C15" s="2">
        <v>3</v>
      </c>
      <c r="D15" s="222">
        <f>'X-ray tube output'!K75</f>
        <v>0</v>
      </c>
      <c r="E15" s="76"/>
      <c r="F15" s="76"/>
      <c r="G15" s="2"/>
      <c r="H15" s="2">
        <v>3</v>
      </c>
      <c r="I15" s="222">
        <f>'X-ray tube output'!K82</f>
        <v>0</v>
      </c>
      <c r="J15" s="217"/>
      <c r="K15" s="39"/>
      <c r="L15" s="39"/>
      <c r="M15" s="9"/>
      <c r="N15" s="9"/>
      <c r="O15" s="9"/>
      <c r="P15" s="9"/>
      <c r="Q15" s="9"/>
      <c r="R15" s="9"/>
      <c r="S15" s="9"/>
      <c r="T15" s="9"/>
      <c r="U15" s="9"/>
    </row>
    <row r="16" spans="1:21" s="20" customFormat="1" ht="15.75" customHeight="1">
      <c r="A16" s="39"/>
      <c r="B16" s="43"/>
      <c r="C16" s="2">
        <v>4</v>
      </c>
      <c r="D16" s="222">
        <f>'X-ray tube output'!K76</f>
        <v>0</v>
      </c>
      <c r="E16" s="76"/>
      <c r="F16" s="76"/>
      <c r="G16" s="2"/>
      <c r="H16" s="2">
        <v>4</v>
      </c>
      <c r="I16" s="222">
        <f>'X-ray tube output'!K83</f>
        <v>0</v>
      </c>
      <c r="J16" s="217"/>
      <c r="K16" s="39"/>
      <c r="L16" s="39"/>
      <c r="M16" s="9"/>
      <c r="N16" s="9"/>
      <c r="O16" s="9"/>
      <c r="P16" s="9"/>
      <c r="Q16" s="9"/>
      <c r="R16" s="9"/>
      <c r="S16" s="9"/>
      <c r="T16" s="9"/>
      <c r="U16" s="9"/>
    </row>
    <row r="17" spans="1:21" s="20" customFormat="1" ht="15.75" customHeight="1">
      <c r="A17" s="39"/>
      <c r="B17" s="43"/>
      <c r="C17" s="2">
        <v>5</v>
      </c>
      <c r="D17" s="222">
        <f>'X-ray tube output'!K77</f>
        <v>0</v>
      </c>
      <c r="E17" s="76"/>
      <c r="F17" s="76"/>
      <c r="G17" s="2"/>
      <c r="H17" s="2">
        <v>5</v>
      </c>
      <c r="I17" s="222">
        <f>'X-ray tube output'!K84</f>
        <v>0</v>
      </c>
      <c r="J17" s="217"/>
      <c r="K17" s="39"/>
      <c r="L17" s="39"/>
      <c r="M17" s="9"/>
      <c r="N17" s="9"/>
      <c r="O17" s="9"/>
      <c r="P17" s="9"/>
      <c r="Q17" s="9"/>
      <c r="R17" s="9"/>
      <c r="S17" s="9"/>
      <c r="T17" s="9"/>
      <c r="U17" s="9"/>
    </row>
    <row r="18" spans="1:21" s="20" customFormat="1" ht="15.75" customHeight="1">
      <c r="A18" s="39"/>
      <c r="B18" s="43"/>
      <c r="C18" s="2">
        <v>6</v>
      </c>
      <c r="D18" s="222">
        <f>'X-ray tube output'!K78</f>
        <v>0</v>
      </c>
      <c r="E18" s="76"/>
      <c r="F18" s="76"/>
      <c r="G18" s="2"/>
      <c r="H18" s="2">
        <v>6</v>
      </c>
      <c r="I18" s="222">
        <f>'X-ray tube output'!K85</f>
        <v>0</v>
      </c>
      <c r="J18" s="217"/>
      <c r="K18" s="39"/>
      <c r="L18" s="39"/>
      <c r="M18" s="9"/>
      <c r="N18" s="9"/>
      <c r="O18" s="9"/>
      <c r="P18" s="9"/>
      <c r="Q18" s="9"/>
      <c r="R18" s="9"/>
      <c r="S18" s="9"/>
      <c r="T18" s="9"/>
      <c r="U18" s="9"/>
    </row>
    <row r="19" spans="1:21" s="20" customFormat="1" ht="16.5" customHeight="1">
      <c r="A19" s="39"/>
      <c r="B19" s="43"/>
      <c r="C19" s="76"/>
      <c r="D19" s="76"/>
      <c r="E19" s="76"/>
      <c r="F19" s="76"/>
      <c r="G19" s="218"/>
      <c r="H19" s="219"/>
      <c r="I19" s="220"/>
      <c r="J19" s="217"/>
      <c r="K19" s="39"/>
      <c r="L19" s="39"/>
      <c r="M19" s="9"/>
      <c r="N19" s="9"/>
      <c r="O19" s="9"/>
      <c r="P19" s="9"/>
      <c r="Q19" s="9"/>
      <c r="R19" s="9"/>
      <c r="S19" s="9"/>
      <c r="T19" s="9"/>
      <c r="U19" s="9"/>
    </row>
    <row r="20" spans="1:21" s="1" customFormat="1">
      <c r="A20" s="5"/>
      <c r="B20" s="5"/>
      <c r="C20" s="5"/>
      <c r="D20" s="5"/>
      <c r="E20" s="128"/>
      <c r="F20" s="129"/>
      <c r="G20" s="5"/>
      <c r="H20" s="5"/>
      <c r="I20" s="5"/>
      <c r="J20" s="5"/>
      <c r="M20" s="29"/>
      <c r="N20" s="29"/>
      <c r="O20" s="29"/>
      <c r="P20" s="29"/>
      <c r="Q20" s="29"/>
      <c r="R20" s="29"/>
      <c r="S20" s="29"/>
      <c r="T20" s="29"/>
      <c r="U20" s="29"/>
    </row>
    <row r="21" spans="1:21" s="1" customFormat="1" ht="14.25">
      <c r="A21" s="123" t="s">
        <v>146</v>
      </c>
      <c r="E21" s="72"/>
      <c r="F21" s="130"/>
      <c r="M21" s="29"/>
      <c r="N21" s="29"/>
      <c r="O21" s="29"/>
      <c r="P21" s="29"/>
      <c r="Q21" s="29"/>
      <c r="R21" s="29"/>
      <c r="S21" s="29"/>
      <c r="T21" s="29"/>
      <c r="U21" s="29"/>
    </row>
    <row r="22" spans="1:21" s="1" customFormat="1" ht="14.25">
      <c r="A22" s="123"/>
      <c r="E22" s="72"/>
      <c r="F22" s="130"/>
      <c r="M22" s="29"/>
      <c r="N22" s="29"/>
      <c r="O22" s="29"/>
      <c r="P22" s="29"/>
      <c r="Q22" s="29"/>
      <c r="R22" s="29"/>
      <c r="S22" s="29"/>
      <c r="T22" s="29"/>
      <c r="U22" s="29"/>
    </row>
    <row r="23" spans="1:21" s="1" customFormat="1" ht="14.25">
      <c r="A23" s="123"/>
      <c r="B23" s="1" t="s">
        <v>201</v>
      </c>
      <c r="D23" s="216" t="e">
        <f>STDEV(D13:D18)/AVERAGE(D13:D18)</f>
        <v>#DIV/0!</v>
      </c>
      <c r="E23" s="72"/>
      <c r="F23" s="130"/>
      <c r="I23" s="216" t="e">
        <f>STDEV(I13:I18)/AVERAGE(I13:I18)</f>
        <v>#DIV/0!</v>
      </c>
      <c r="M23" s="29"/>
      <c r="N23" s="29"/>
      <c r="O23" s="29"/>
      <c r="P23" s="29"/>
      <c r="Q23" s="29"/>
      <c r="R23" s="29"/>
      <c r="S23" s="29"/>
      <c r="T23" s="29"/>
      <c r="U23" s="29"/>
    </row>
    <row r="24" spans="1:21" s="1" customFormat="1">
      <c r="A24" s="5"/>
      <c r="B24" s="5"/>
      <c r="C24" s="5"/>
      <c r="D24" s="5"/>
      <c r="E24" s="5"/>
      <c r="F24" s="5"/>
      <c r="G24" s="5"/>
      <c r="H24" s="5"/>
      <c r="I24" s="5"/>
      <c r="J24" s="5"/>
      <c r="M24" s="29"/>
      <c r="N24" s="29"/>
      <c r="O24" s="29"/>
      <c r="P24" s="29"/>
      <c r="Q24" s="29"/>
      <c r="R24" s="29"/>
      <c r="S24" s="29"/>
      <c r="T24" s="29"/>
      <c r="U24" s="29"/>
    </row>
    <row r="25" spans="1:21" s="1" customFormat="1" ht="14.25">
      <c r="A25" s="123" t="s">
        <v>148</v>
      </c>
      <c r="M25" s="29"/>
      <c r="N25" s="29"/>
      <c r="O25" s="29"/>
      <c r="P25" s="29"/>
      <c r="Q25" s="29"/>
      <c r="R25" s="29"/>
      <c r="S25" s="29"/>
      <c r="T25" s="29"/>
      <c r="U25" s="29"/>
    </row>
    <row r="26" spans="1:21" s="1" customFormat="1">
      <c r="C26" s="1" t="s">
        <v>202</v>
      </c>
      <c r="M26" s="29"/>
      <c r="N26" s="29"/>
      <c r="O26" s="29"/>
      <c r="P26" s="29"/>
      <c r="Q26" s="29"/>
      <c r="R26" s="29"/>
      <c r="S26" s="29"/>
      <c r="T26" s="29"/>
      <c r="U26" s="29"/>
    </row>
    <row r="27" spans="1:21" s="1" customFormat="1">
      <c r="A27" s="5"/>
      <c r="B27" s="5"/>
      <c r="C27" s="5"/>
      <c r="D27" s="5"/>
      <c r="E27" s="5"/>
      <c r="F27" s="5"/>
      <c r="G27" s="5"/>
      <c r="H27" s="5"/>
      <c r="I27" s="5"/>
      <c r="J27" s="5"/>
      <c r="M27" s="29"/>
      <c r="N27" s="29"/>
      <c r="O27" s="29"/>
      <c r="P27" s="29"/>
      <c r="Q27" s="29"/>
      <c r="R27" s="29"/>
      <c r="S27" s="29"/>
      <c r="T27" s="29"/>
      <c r="U27" s="29"/>
    </row>
    <row r="28" spans="1:21" s="1" customFormat="1" ht="15" thickBot="1">
      <c r="A28" s="131" t="s">
        <v>160</v>
      </c>
      <c r="B28" s="132"/>
      <c r="C28" s="132"/>
      <c r="M28" s="29"/>
      <c r="N28" s="29"/>
      <c r="O28" s="29"/>
      <c r="P28" s="29"/>
      <c r="Q28" s="29"/>
      <c r="R28" s="29"/>
      <c r="S28" s="29"/>
      <c r="T28" s="29"/>
      <c r="U28" s="29"/>
    </row>
    <row r="29" spans="1:21" s="1" customFormat="1" ht="16.5" thickBot="1">
      <c r="E29" s="122" t="str">
        <f>IF(ISERROR(I23),"---",IF(AND(D23&lt;=0.05,I23&lt;=0.05),"PASS","FAIL"))</f>
        <v>---</v>
      </c>
      <c r="M29" s="29"/>
      <c r="N29" s="29"/>
      <c r="O29" s="29"/>
      <c r="P29" s="29"/>
      <c r="Q29" s="29"/>
      <c r="R29" s="29"/>
      <c r="S29" s="29"/>
      <c r="T29" s="29"/>
      <c r="U29" s="29"/>
    </row>
    <row r="30" spans="1:21" s="1" customFormat="1">
      <c r="A30" s="5"/>
      <c r="B30" s="5"/>
      <c r="C30" s="5"/>
      <c r="D30" s="5"/>
      <c r="E30" s="5"/>
      <c r="F30" s="5"/>
      <c r="G30" s="5"/>
      <c r="H30" s="5"/>
      <c r="I30" s="5"/>
      <c r="J30" s="5"/>
      <c r="M30" s="29"/>
      <c r="N30" s="29"/>
      <c r="O30" s="29"/>
      <c r="P30" s="29"/>
      <c r="Q30" s="29"/>
      <c r="R30" s="29"/>
      <c r="S30" s="29"/>
      <c r="T30" s="29"/>
      <c r="U30" s="29"/>
    </row>
    <row r="31" spans="1:21" s="1" customFormat="1" ht="14.25">
      <c r="A31" s="123" t="s">
        <v>158</v>
      </c>
      <c r="M31" s="29"/>
      <c r="N31" s="29"/>
      <c r="O31" s="29"/>
      <c r="P31" s="29"/>
      <c r="Q31" s="29"/>
      <c r="R31" s="29"/>
      <c r="S31" s="29"/>
      <c r="T31" s="29"/>
      <c r="U31" s="29"/>
    </row>
    <row r="32" spans="1:21" s="1" customFormat="1">
      <c r="A32" s="568"/>
      <c r="B32" s="568"/>
      <c r="C32" s="568"/>
      <c r="D32" s="568"/>
      <c r="E32" s="568"/>
      <c r="F32" s="568"/>
      <c r="G32" s="568"/>
      <c r="H32" s="568"/>
      <c r="I32" s="568"/>
      <c r="J32" s="568"/>
      <c r="M32" s="29"/>
      <c r="N32" s="29"/>
      <c r="O32" s="29"/>
      <c r="P32" s="29"/>
      <c r="Q32" s="29"/>
      <c r="R32" s="29"/>
      <c r="S32" s="29"/>
      <c r="T32" s="29"/>
      <c r="U32" s="29"/>
    </row>
    <row r="33" spans="1:21" s="64" customFormat="1" ht="24" customHeight="1">
      <c r="A33" s="569"/>
      <c r="B33" s="741"/>
      <c r="C33" s="741"/>
      <c r="D33" s="741"/>
      <c r="E33" s="742"/>
      <c r="F33" s="741"/>
      <c r="G33" s="570"/>
      <c r="H33" s="570"/>
      <c r="I33" s="569"/>
      <c r="J33" s="569"/>
      <c r="K33" s="62"/>
      <c r="L33" s="62"/>
      <c r="M33" s="413"/>
      <c r="N33" s="413"/>
      <c r="O33" s="413"/>
      <c r="P33" s="413"/>
      <c r="Q33" s="413"/>
      <c r="R33" s="413"/>
      <c r="S33" s="413"/>
      <c r="T33" s="413"/>
      <c r="U33" s="413"/>
    </row>
    <row r="34" spans="1:21" s="64" customFormat="1" ht="24" customHeight="1">
      <c r="A34" s="569"/>
      <c r="B34" s="571"/>
      <c r="C34" s="570"/>
      <c r="D34" s="571"/>
      <c r="E34" s="571"/>
      <c r="F34" s="570"/>
      <c r="G34" s="570"/>
      <c r="H34" s="570"/>
      <c r="I34" s="569"/>
      <c r="J34" s="569"/>
      <c r="K34" s="62"/>
      <c r="L34" s="62"/>
      <c r="M34" s="413"/>
      <c r="N34" s="413"/>
      <c r="O34" s="413"/>
      <c r="P34" s="413"/>
      <c r="Q34" s="413"/>
      <c r="R34" s="413"/>
      <c r="S34" s="413"/>
      <c r="T34" s="413"/>
      <c r="U34" s="413"/>
    </row>
    <row r="35" spans="1:21" s="64" customFormat="1" ht="24" customHeight="1">
      <c r="A35" s="569"/>
      <c r="B35" s="571"/>
      <c r="C35" s="570"/>
      <c r="D35" s="571"/>
      <c r="E35" s="571"/>
      <c r="F35" s="570"/>
      <c r="G35" s="570"/>
      <c r="H35" s="570"/>
      <c r="I35" s="569"/>
      <c r="J35" s="569"/>
      <c r="K35" s="62"/>
      <c r="L35" s="62"/>
      <c r="M35" s="413"/>
      <c r="N35" s="413"/>
      <c r="O35" s="413"/>
      <c r="P35" s="413"/>
      <c r="Q35" s="413"/>
      <c r="R35" s="413"/>
      <c r="S35" s="413"/>
      <c r="T35" s="413"/>
      <c r="U35" s="413"/>
    </row>
    <row r="36" spans="1:21">
      <c r="A36" s="568"/>
      <c r="B36" s="568"/>
      <c r="C36" s="568"/>
      <c r="D36" s="568"/>
      <c r="E36" s="568"/>
      <c r="F36" s="568"/>
      <c r="G36" s="568"/>
      <c r="H36" s="568"/>
      <c r="I36" s="568"/>
      <c r="J36" s="568"/>
      <c r="K36" s="46"/>
      <c r="L36" s="1"/>
      <c r="M36" s="29"/>
      <c r="N36" s="29"/>
      <c r="O36" s="29"/>
      <c r="P36" s="29"/>
      <c r="Q36" s="29"/>
      <c r="R36" s="29"/>
      <c r="S36" s="29"/>
      <c r="T36" s="29"/>
      <c r="U36" s="29"/>
    </row>
    <row r="37" spans="1:21">
      <c r="A37" s="564"/>
      <c r="B37" s="564"/>
      <c r="C37" s="564"/>
      <c r="D37" s="564"/>
      <c r="E37" s="564"/>
      <c r="F37" s="564"/>
      <c r="G37" s="564"/>
      <c r="H37" s="564"/>
      <c r="I37" s="564"/>
      <c r="J37" s="564"/>
      <c r="M37" s="29"/>
      <c r="N37" s="29"/>
      <c r="O37" s="29"/>
      <c r="P37" s="29"/>
      <c r="Q37" s="29"/>
      <c r="R37" s="29"/>
      <c r="S37" s="29"/>
      <c r="T37" s="29"/>
      <c r="U37" s="29"/>
    </row>
    <row r="38" spans="1:21">
      <c r="A38" s="564"/>
      <c r="B38" s="564"/>
      <c r="C38" s="564"/>
      <c r="D38" s="564"/>
      <c r="E38" s="564"/>
      <c r="F38" s="564"/>
      <c r="G38" s="564"/>
      <c r="H38" s="564"/>
      <c r="I38" s="564"/>
      <c r="J38" s="564"/>
      <c r="M38" s="29"/>
      <c r="N38" s="29"/>
      <c r="O38" s="29"/>
      <c r="P38" s="29"/>
      <c r="Q38" s="29"/>
      <c r="R38" s="29"/>
      <c r="S38" s="29"/>
      <c r="T38" s="29"/>
      <c r="U38" s="29"/>
    </row>
    <row r="39" spans="1:21">
      <c r="A39" s="564"/>
      <c r="B39" s="564"/>
      <c r="C39" s="564"/>
      <c r="D39" s="564"/>
      <c r="E39" s="564"/>
      <c r="F39" s="564"/>
      <c r="G39" s="564"/>
      <c r="H39" s="564"/>
      <c r="I39" s="564"/>
      <c r="J39" s="564"/>
      <c r="M39" s="29"/>
      <c r="N39" s="29"/>
      <c r="O39" s="29"/>
      <c r="P39" s="29"/>
      <c r="Q39" s="29"/>
      <c r="R39" s="29"/>
      <c r="S39" s="29"/>
      <c r="T39" s="29"/>
      <c r="U39" s="29"/>
    </row>
    <row r="40" spans="1:21">
      <c r="A40" s="564"/>
      <c r="B40" s="564"/>
      <c r="C40" s="564"/>
      <c r="D40" s="564"/>
      <c r="E40" s="564"/>
      <c r="F40" s="564"/>
      <c r="G40" s="564"/>
      <c r="H40" s="564"/>
      <c r="I40" s="564"/>
      <c r="J40" s="564"/>
    </row>
  </sheetData>
  <protectedRanges>
    <protectedRange sqref="G19:I19 D13:D18 H11:H12 G11 I13:I18" name="Range1_1_1"/>
  </protectedRanges>
  <mergeCells count="4">
    <mergeCell ref="A3:J3"/>
    <mergeCell ref="A1:H1"/>
    <mergeCell ref="B33:D33"/>
    <mergeCell ref="E33:F33"/>
  </mergeCells>
  <phoneticPr fontId="0" type="noConversion"/>
  <pageMargins left="0.75" right="0.75" top="1" bottom="1" header="0.5" footer="0.5"/>
  <pageSetup paperSize="9" scale="70" orientation="landscape" horizont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45"/>
  <sheetViews>
    <sheetView zoomScale="85" zoomScaleNormal="85" workbookViewId="0">
      <selection activeCell="R18" sqref="R18"/>
    </sheetView>
  </sheetViews>
  <sheetFormatPr defaultRowHeight="12.75"/>
  <cols>
    <col min="1" max="1" width="6.140625" customWidth="1"/>
    <col min="2" max="2" width="13.42578125" customWidth="1"/>
    <col min="3" max="3" width="12.5703125" customWidth="1"/>
    <col min="4" max="4" width="12.85546875" customWidth="1"/>
    <col min="5" max="5" width="11" customWidth="1"/>
    <col min="6" max="6" width="11.28515625" customWidth="1"/>
    <col min="7" max="7" width="12.28515625" customWidth="1"/>
    <col min="8" max="8" width="13.7109375" customWidth="1"/>
    <col min="9" max="9" width="12.140625" customWidth="1"/>
    <col min="10" max="10" width="11.28515625" customWidth="1"/>
    <col min="11" max="11" width="12.42578125" customWidth="1"/>
    <col min="12" max="12" width="9" style="25" customWidth="1"/>
    <col min="13" max="13" width="12.85546875" customWidth="1"/>
    <col min="14" max="14" width="12.42578125" customWidth="1"/>
    <col min="15" max="15" width="9.140625" style="4"/>
  </cols>
  <sheetData>
    <row r="1" spans="1:27" s="32" customFormat="1" ht="28.5" customHeight="1">
      <c r="A1" s="240" t="s">
        <v>423</v>
      </c>
      <c r="B1" s="21"/>
      <c r="C1" s="21"/>
      <c r="D1" s="21"/>
      <c r="E1" s="21"/>
      <c r="F1" s="21"/>
      <c r="G1" s="21"/>
      <c r="H1" s="21"/>
      <c r="I1" s="21"/>
      <c r="J1" s="44"/>
      <c r="K1" s="44"/>
      <c r="L1" s="45"/>
      <c r="M1" s="21"/>
      <c r="N1" s="44"/>
      <c r="O1" s="29"/>
      <c r="P1" s="29"/>
      <c r="Q1" s="29"/>
      <c r="R1" s="29"/>
      <c r="S1" s="29"/>
      <c r="T1" s="29"/>
      <c r="U1" s="29"/>
      <c r="V1" s="29"/>
      <c r="W1" s="29"/>
      <c r="X1" s="29"/>
      <c r="Y1" s="29"/>
      <c r="Z1" s="29"/>
      <c r="AA1" s="29"/>
    </row>
    <row r="2" spans="1:27" s="32" customFormat="1">
      <c r="A2" s="44"/>
      <c r="B2" s="43"/>
      <c r="C2" s="43"/>
      <c r="D2" s="43"/>
      <c r="E2" s="43"/>
      <c r="F2" s="43"/>
      <c r="G2" s="43"/>
      <c r="H2" s="43"/>
      <c r="I2" s="43"/>
      <c r="J2" s="43"/>
      <c r="K2" s="43"/>
      <c r="L2" s="43"/>
      <c r="M2" s="43"/>
      <c r="N2" s="107"/>
      <c r="O2" s="431"/>
      <c r="P2" s="431"/>
      <c r="Q2" s="431"/>
      <c r="R2" s="30"/>
      <c r="S2" s="30"/>
      <c r="T2" s="30"/>
      <c r="U2" s="30"/>
      <c r="V2" s="29"/>
      <c r="W2" s="29"/>
      <c r="X2" s="29"/>
      <c r="Y2" s="29"/>
      <c r="Z2" s="29"/>
      <c r="AA2" s="29"/>
    </row>
    <row r="3" spans="1:27" ht="14.25">
      <c r="A3" s="123" t="s">
        <v>90</v>
      </c>
      <c r="B3" s="1"/>
      <c r="C3" s="1"/>
      <c r="D3" s="1"/>
      <c r="E3" s="1"/>
      <c r="F3" s="1"/>
      <c r="G3" s="1"/>
      <c r="H3" s="1"/>
      <c r="I3" s="1"/>
      <c r="J3" s="1"/>
      <c r="K3" s="1"/>
      <c r="L3" s="1"/>
      <c r="M3" s="1"/>
      <c r="N3" s="1"/>
      <c r="P3" s="4"/>
      <c r="Q3" s="4"/>
      <c r="R3" s="4"/>
      <c r="S3" s="4"/>
      <c r="T3" s="4"/>
      <c r="U3" s="4"/>
      <c r="V3" s="4"/>
      <c r="W3" s="4"/>
      <c r="X3" s="4"/>
      <c r="Y3" s="4"/>
      <c r="Z3" s="4"/>
      <c r="AA3" s="4"/>
    </row>
    <row r="4" spans="1:27" ht="43.5" customHeight="1">
      <c r="B4" s="744" t="s">
        <v>278</v>
      </c>
      <c r="C4" s="642"/>
      <c r="D4" s="642"/>
      <c r="E4" s="642"/>
      <c r="F4" s="642"/>
      <c r="G4" s="642"/>
      <c r="H4" s="642"/>
      <c r="I4" s="642"/>
      <c r="J4" s="642"/>
      <c r="K4" s="642"/>
      <c r="L4" s="1"/>
      <c r="M4" s="1"/>
      <c r="N4" s="1"/>
      <c r="P4" s="4"/>
      <c r="Q4" s="4"/>
      <c r="R4" s="4"/>
      <c r="S4" s="4"/>
      <c r="T4" s="4"/>
      <c r="U4" s="4"/>
      <c r="V4" s="4"/>
      <c r="W4" s="4"/>
      <c r="X4" s="4"/>
      <c r="Y4" s="4"/>
      <c r="Z4" s="4"/>
      <c r="AA4" s="4"/>
    </row>
    <row r="5" spans="1:27">
      <c r="A5" s="5"/>
      <c r="B5" s="5"/>
      <c r="C5" s="5"/>
      <c r="D5" s="5"/>
      <c r="E5" s="5"/>
      <c r="F5" s="5"/>
      <c r="G5" s="5"/>
      <c r="H5" s="5"/>
      <c r="I5" s="5"/>
      <c r="J5" s="5"/>
      <c r="K5" s="5"/>
      <c r="L5" s="5"/>
      <c r="M5" s="5"/>
      <c r="N5" s="5"/>
      <c r="P5" s="4"/>
      <c r="Q5" s="4"/>
      <c r="R5" s="4"/>
      <c r="S5" s="4"/>
      <c r="T5" s="4"/>
      <c r="U5" s="4"/>
      <c r="V5" s="4"/>
      <c r="W5" s="4"/>
      <c r="X5" s="4"/>
      <c r="Y5" s="4"/>
      <c r="Z5" s="4"/>
      <c r="AA5" s="4"/>
    </row>
    <row r="6" spans="1:27" ht="14.25">
      <c r="A6" s="123" t="s">
        <v>143</v>
      </c>
      <c r="B6" s="1"/>
      <c r="C6" s="1"/>
      <c r="D6" s="1"/>
      <c r="E6" s="1"/>
      <c r="F6" s="1"/>
      <c r="G6" s="1"/>
      <c r="H6" s="1"/>
      <c r="I6" s="1"/>
      <c r="J6" s="1"/>
      <c r="K6" s="1"/>
      <c r="L6" s="1"/>
      <c r="M6" s="1"/>
      <c r="N6" s="1"/>
      <c r="P6" s="4"/>
      <c r="Q6" s="4"/>
      <c r="R6" s="4"/>
      <c r="S6" s="4"/>
      <c r="T6" s="4"/>
      <c r="U6" s="4"/>
      <c r="V6" s="4"/>
      <c r="W6" s="4"/>
      <c r="X6" s="4"/>
      <c r="Y6" s="4"/>
      <c r="Z6" s="4"/>
      <c r="AA6" s="4"/>
    </row>
    <row r="7" spans="1:27">
      <c r="A7" s="125"/>
      <c r="B7" s="1" t="s">
        <v>277</v>
      </c>
      <c r="C7" s="1"/>
      <c r="D7" s="1"/>
      <c r="E7" s="1"/>
      <c r="F7" s="1"/>
      <c r="G7" s="1"/>
      <c r="H7" s="1"/>
      <c r="I7" s="1"/>
      <c r="J7" s="1"/>
      <c r="K7" s="1"/>
      <c r="L7" s="1"/>
      <c r="M7" s="1"/>
      <c r="N7" s="1"/>
      <c r="P7" s="4"/>
      <c r="Q7" s="4"/>
      <c r="R7" s="4"/>
      <c r="S7" s="4"/>
      <c r="T7" s="4"/>
      <c r="U7" s="4"/>
      <c r="V7" s="4"/>
      <c r="W7" s="4"/>
      <c r="X7" s="4"/>
      <c r="Y7" s="4"/>
      <c r="Z7" s="4"/>
      <c r="AA7" s="4"/>
    </row>
    <row r="8" spans="1:27">
      <c r="A8" s="126"/>
      <c r="B8" s="5"/>
      <c r="C8" s="5"/>
      <c r="D8" s="5"/>
      <c r="E8" s="5"/>
      <c r="F8" s="5"/>
      <c r="G8" s="5"/>
      <c r="H8" s="5"/>
      <c r="I8" s="5"/>
      <c r="J8" s="5"/>
      <c r="K8" s="5"/>
      <c r="L8" s="5"/>
      <c r="M8" s="5"/>
      <c r="N8" s="5"/>
      <c r="P8" s="4"/>
      <c r="Q8" s="4"/>
      <c r="R8" s="4"/>
      <c r="S8" s="4"/>
      <c r="T8" s="4"/>
      <c r="U8" s="4"/>
      <c r="V8" s="4"/>
      <c r="W8" s="4"/>
      <c r="X8" s="4"/>
      <c r="Y8" s="4"/>
      <c r="Z8" s="4"/>
      <c r="AA8" s="4"/>
    </row>
    <row r="9" spans="1:27" ht="14.25">
      <c r="A9" s="123" t="s">
        <v>274</v>
      </c>
      <c r="B9" s="1"/>
      <c r="C9" s="1"/>
      <c r="D9" s="1"/>
      <c r="E9" s="1"/>
      <c r="F9" s="1"/>
      <c r="G9" s="1"/>
      <c r="H9" s="1"/>
      <c r="I9" s="1"/>
      <c r="J9" s="1"/>
      <c r="K9" s="1"/>
      <c r="L9" s="1"/>
      <c r="M9" s="1"/>
      <c r="N9" s="1"/>
      <c r="P9" s="4"/>
      <c r="Q9" s="4"/>
      <c r="R9" s="4"/>
      <c r="S9" s="4"/>
      <c r="T9" s="4"/>
      <c r="U9" s="4"/>
      <c r="V9" s="4"/>
      <c r="W9" s="4"/>
      <c r="X9" s="4"/>
      <c r="Y9" s="4"/>
      <c r="Z9" s="4"/>
      <c r="AA9" s="4"/>
    </row>
    <row r="10" spans="1:27" ht="19.5" customHeight="1">
      <c r="A10" s="123"/>
      <c r="B10" s="1"/>
      <c r="C10" s="1"/>
      <c r="D10" s="1"/>
      <c r="E10" s="215" t="s">
        <v>280</v>
      </c>
      <c r="F10" s="422"/>
      <c r="G10" s="1"/>
      <c r="H10" s="1"/>
      <c r="I10" s="1"/>
      <c r="J10" s="1"/>
      <c r="K10" s="1"/>
      <c r="L10" s="1"/>
      <c r="M10" s="1"/>
      <c r="N10" s="1"/>
      <c r="P10" s="4"/>
      <c r="Q10" s="4"/>
      <c r="R10" s="4"/>
      <c r="S10" s="4"/>
      <c r="T10" s="4"/>
      <c r="U10" s="4"/>
      <c r="V10" s="4"/>
      <c r="W10" s="4"/>
      <c r="X10" s="4"/>
      <c r="Y10" s="4"/>
      <c r="Z10" s="4"/>
      <c r="AA10" s="4"/>
    </row>
    <row r="11" spans="1:27" ht="15">
      <c r="A11" s="123"/>
      <c r="B11" s="1"/>
      <c r="C11" s="1"/>
      <c r="D11" s="1"/>
      <c r="E11" s="1"/>
      <c r="F11" s="1"/>
      <c r="G11" s="1"/>
      <c r="H11" s="1"/>
      <c r="I11" s="1"/>
      <c r="J11" s="1"/>
      <c r="K11" s="1"/>
      <c r="L11" s="1"/>
      <c r="M11" s="743" t="s">
        <v>273</v>
      </c>
      <c r="N11" s="743"/>
      <c r="P11" s="4"/>
      <c r="Q11" s="4"/>
      <c r="R11" s="4"/>
      <c r="S11" s="4"/>
      <c r="T11" s="4"/>
      <c r="U11" s="4"/>
      <c r="V11" s="4"/>
      <c r="W11" s="4"/>
      <c r="X11" s="4"/>
      <c r="Y11" s="4"/>
      <c r="Z11" s="4"/>
      <c r="AA11" s="4"/>
    </row>
    <row r="12" spans="1:27" ht="19.5" customHeight="1">
      <c r="A12" s="3"/>
      <c r="B12" s="745" t="s">
        <v>412</v>
      </c>
      <c r="C12" s="746"/>
      <c r="D12" s="746"/>
      <c r="E12" s="746"/>
      <c r="F12" s="746"/>
      <c r="G12" s="746"/>
      <c r="H12" s="746"/>
      <c r="I12" s="746"/>
      <c r="J12" s="746"/>
      <c r="K12" s="746"/>
      <c r="L12" s="746"/>
      <c r="M12" s="746"/>
      <c r="N12" s="746"/>
      <c r="P12" s="4"/>
      <c r="Q12" s="4"/>
      <c r="R12" s="4"/>
      <c r="S12" s="4"/>
      <c r="T12" s="4"/>
      <c r="U12" s="4"/>
      <c r="V12" s="4"/>
      <c r="W12" s="4"/>
      <c r="X12" s="4"/>
      <c r="Y12" s="4"/>
      <c r="Z12" s="4"/>
      <c r="AA12" s="4"/>
    </row>
    <row r="13" spans="1:27" s="32" customFormat="1" ht="24" customHeight="1">
      <c r="A13" s="44"/>
      <c r="B13" s="294" t="s">
        <v>53</v>
      </c>
      <c r="C13" s="295" t="s">
        <v>248</v>
      </c>
      <c r="D13" s="315" t="s">
        <v>271</v>
      </c>
      <c r="E13" s="295" t="s">
        <v>82</v>
      </c>
      <c r="F13" s="295" t="s">
        <v>81</v>
      </c>
      <c r="G13" s="295" t="s">
        <v>270</v>
      </c>
      <c r="H13" s="295" t="s">
        <v>35</v>
      </c>
      <c r="I13" s="295" t="s">
        <v>34</v>
      </c>
      <c r="J13" s="295" t="s">
        <v>54</v>
      </c>
      <c r="K13" s="295" t="s">
        <v>272</v>
      </c>
      <c r="L13" s="296"/>
      <c r="M13" s="295" t="s">
        <v>249</v>
      </c>
      <c r="N13" s="295" t="s">
        <v>250</v>
      </c>
      <c r="O13" s="30"/>
      <c r="P13" s="30"/>
      <c r="Q13" s="30"/>
      <c r="R13" s="30"/>
      <c r="S13" s="30"/>
      <c r="T13" s="30"/>
      <c r="U13" s="30"/>
      <c r="V13" s="29"/>
      <c r="W13" s="29"/>
      <c r="X13" s="29"/>
      <c r="Y13" s="29"/>
      <c r="Z13" s="29"/>
      <c r="AA13" s="29"/>
    </row>
    <row r="14" spans="1:27" s="300" customFormat="1" ht="24" customHeight="1">
      <c r="A14" s="297"/>
      <c r="B14" s="293" t="s">
        <v>47</v>
      </c>
      <c r="C14" s="633">
        <v>1.3</v>
      </c>
      <c r="D14" s="316">
        <v>0.6</v>
      </c>
      <c r="E14" s="428"/>
      <c r="F14" s="429"/>
      <c r="G14" s="430"/>
      <c r="H14" s="430"/>
      <c r="I14" s="298" t="str">
        <f>IF(H14="","---",H14/$H$17)</f>
        <v>---</v>
      </c>
      <c r="J14" s="160" t="str">
        <f>IF(ISNUMBER(I14),IF(I14&gt;C14,"PASS","FAIL"),"----")</f>
        <v>----</v>
      </c>
      <c r="K14" s="317" t="str">
        <f t="shared" ref="K14:K19" si="0">IF(ISNUMBER(G14),G14/D14,"---")</f>
        <v>---</v>
      </c>
      <c r="L14" s="299"/>
      <c r="M14" s="430"/>
      <c r="N14" s="318" t="str">
        <f t="shared" ref="N14:N19" si="1">IF(ISBLANK(M14),"---",(H14-M14)/M14)</f>
        <v>---</v>
      </c>
      <c r="O14" s="432"/>
      <c r="P14" s="432"/>
      <c r="Q14" s="432"/>
      <c r="R14" s="432"/>
      <c r="S14" s="432"/>
      <c r="T14" s="432"/>
      <c r="U14" s="432"/>
      <c r="V14" s="433"/>
      <c r="W14" s="433"/>
      <c r="X14" s="433"/>
      <c r="Y14" s="433"/>
      <c r="Z14" s="433"/>
      <c r="AA14" s="433"/>
    </row>
    <row r="15" spans="1:27" s="300" customFormat="1" ht="24" customHeight="1">
      <c r="A15" s="297"/>
      <c r="B15" s="293" t="s">
        <v>48</v>
      </c>
      <c r="C15" s="633">
        <v>1.1000000000000001</v>
      </c>
      <c r="D15" s="316">
        <v>1</v>
      </c>
      <c r="E15" s="428"/>
      <c r="F15" s="429"/>
      <c r="G15" s="430"/>
      <c r="H15" s="430"/>
      <c r="I15" s="298" t="str">
        <f>IF(H15="","---",H15/$H$17)</f>
        <v>---</v>
      </c>
      <c r="J15" s="160" t="str">
        <f>IF(ISNUMBER(I15),IF(I15&gt;C15,"PASS","FAIL"),"----")</f>
        <v>----</v>
      </c>
      <c r="K15" s="317" t="str">
        <f t="shared" si="0"/>
        <v>---</v>
      </c>
      <c r="L15" s="299"/>
      <c r="M15" s="430"/>
      <c r="N15" s="318" t="str">
        <f t="shared" si="1"/>
        <v>---</v>
      </c>
      <c r="O15" s="432"/>
      <c r="P15" s="432"/>
      <c r="Q15" s="432"/>
      <c r="R15" s="432"/>
      <c r="S15" s="432"/>
      <c r="T15" s="432"/>
      <c r="U15" s="432"/>
      <c r="V15" s="433"/>
      <c r="W15" s="433"/>
      <c r="X15" s="433"/>
      <c r="Y15" s="433"/>
      <c r="Z15" s="433"/>
      <c r="AA15" s="433"/>
    </row>
    <row r="16" spans="1:27" s="300" customFormat="1" ht="24" customHeight="1">
      <c r="A16" s="297"/>
      <c r="B16" s="293" t="s">
        <v>49</v>
      </c>
      <c r="C16" s="633">
        <v>1</v>
      </c>
      <c r="D16" s="316">
        <v>1.6</v>
      </c>
      <c r="E16" s="428"/>
      <c r="F16" s="429"/>
      <c r="G16" s="430"/>
      <c r="H16" s="430"/>
      <c r="I16" s="298" t="str">
        <f>IF(H16="","---",H16/$H$17)</f>
        <v>---</v>
      </c>
      <c r="J16" s="160" t="str">
        <f>IF(ISNUMBER(I16),IF(I16&gt;C16,"PASS","FAIL"),"----")</f>
        <v>----</v>
      </c>
      <c r="K16" s="317" t="str">
        <f t="shared" si="0"/>
        <v>---</v>
      </c>
      <c r="L16" s="299"/>
      <c r="M16" s="430"/>
      <c r="N16" s="318" t="str">
        <f t="shared" si="1"/>
        <v>---</v>
      </c>
      <c r="O16" s="432"/>
      <c r="P16" s="432"/>
      <c r="Q16" s="432"/>
      <c r="R16" s="432"/>
      <c r="S16" s="432"/>
      <c r="T16" s="432"/>
      <c r="U16" s="432"/>
      <c r="V16" s="433"/>
      <c r="W16" s="433"/>
      <c r="X16" s="433"/>
      <c r="Y16" s="433"/>
      <c r="Z16" s="433"/>
      <c r="AA16" s="433"/>
    </row>
    <row r="17" spans="1:27" s="300" customFormat="1" ht="24" customHeight="1">
      <c r="A17" s="297"/>
      <c r="B17" s="293" t="s">
        <v>50</v>
      </c>
      <c r="C17" s="633">
        <v>1</v>
      </c>
      <c r="D17" s="316">
        <v>2.6</v>
      </c>
      <c r="E17" s="428"/>
      <c r="F17" s="429"/>
      <c r="G17" s="430"/>
      <c r="H17" s="430"/>
      <c r="I17" s="301">
        <v>1</v>
      </c>
      <c r="J17" s="302"/>
      <c r="K17" s="317" t="str">
        <f t="shared" si="0"/>
        <v>---</v>
      </c>
      <c r="L17" s="299"/>
      <c r="M17" s="430"/>
      <c r="N17" s="318" t="str">
        <f t="shared" si="1"/>
        <v>---</v>
      </c>
      <c r="O17" s="432"/>
      <c r="P17" s="432"/>
      <c r="Q17" s="432"/>
      <c r="R17" s="432"/>
      <c r="S17" s="432"/>
      <c r="T17" s="432"/>
      <c r="U17" s="432"/>
      <c r="V17" s="433"/>
      <c r="W17" s="433"/>
      <c r="X17" s="433"/>
      <c r="Y17" s="433"/>
      <c r="Z17" s="433"/>
      <c r="AA17" s="433"/>
    </row>
    <row r="18" spans="1:27" s="300" customFormat="1" ht="24" customHeight="1">
      <c r="A18" s="297"/>
      <c r="B18" s="293" t="s">
        <v>51</v>
      </c>
      <c r="C18" s="634">
        <f>IF(F10="C120",85%,90%)</f>
        <v>0.9</v>
      </c>
      <c r="D18" s="316">
        <v>4</v>
      </c>
      <c r="E18" s="428"/>
      <c r="F18" s="429"/>
      <c r="G18" s="430"/>
      <c r="H18" s="430"/>
      <c r="I18" s="298" t="str">
        <f>IF(H18="","---",H18/$H$17)</f>
        <v>---</v>
      </c>
      <c r="J18" s="160" t="str">
        <f>IF(ISNUMBER(I18),IF(I18&gt;C18,"PASS","FAIL"),"----")</f>
        <v>----</v>
      </c>
      <c r="K18" s="317" t="str">
        <f t="shared" si="0"/>
        <v>---</v>
      </c>
      <c r="L18" s="299"/>
      <c r="M18" s="430"/>
      <c r="N18" s="318" t="str">
        <f t="shared" si="1"/>
        <v>---</v>
      </c>
      <c r="O18" s="432"/>
      <c r="P18" s="432"/>
      <c r="Q18" s="432"/>
      <c r="R18" s="432"/>
      <c r="S18" s="432"/>
      <c r="T18" s="432"/>
      <c r="U18" s="432"/>
      <c r="V18" s="433"/>
      <c r="W18" s="433"/>
      <c r="X18" s="433"/>
      <c r="Y18" s="433"/>
      <c r="Z18" s="433"/>
      <c r="AA18" s="433"/>
    </row>
    <row r="19" spans="1:27" s="300" customFormat="1" ht="24" customHeight="1">
      <c r="A19" s="297"/>
      <c r="B19" s="293" t="s">
        <v>52</v>
      </c>
      <c r="C19" s="634">
        <f>IF(F10="C120",70%,80%)</f>
        <v>0.8</v>
      </c>
      <c r="D19" s="316">
        <v>5.8</v>
      </c>
      <c r="E19" s="428"/>
      <c r="F19" s="429"/>
      <c r="G19" s="430"/>
      <c r="H19" s="430"/>
      <c r="I19" s="298" t="str">
        <f>IF(H19="","---",H19/$H$17)</f>
        <v>---</v>
      </c>
      <c r="J19" s="160" t="str">
        <f>IF(ISNUMBER(I19),IF(I19&gt;C19,"PASS","FAIL"),"----")</f>
        <v>----</v>
      </c>
      <c r="K19" s="317" t="str">
        <f t="shared" si="0"/>
        <v>---</v>
      </c>
      <c r="L19" s="299"/>
      <c r="M19" s="430"/>
      <c r="N19" s="318" t="str">
        <f t="shared" si="1"/>
        <v>---</v>
      </c>
      <c r="O19" s="434"/>
      <c r="P19" s="434"/>
      <c r="Q19" s="434"/>
      <c r="R19" s="432"/>
      <c r="S19" s="432"/>
      <c r="T19" s="432"/>
      <c r="U19" s="432"/>
      <c r="V19" s="433"/>
      <c r="W19" s="433"/>
      <c r="X19" s="433"/>
      <c r="Y19" s="433"/>
      <c r="Z19" s="433"/>
      <c r="AA19" s="433"/>
    </row>
    <row r="20" spans="1:27" ht="19.5" customHeight="1">
      <c r="A20" s="3"/>
      <c r="B20" s="745" t="s">
        <v>413</v>
      </c>
      <c r="C20" s="746"/>
      <c r="D20" s="746"/>
      <c r="E20" s="746"/>
      <c r="F20" s="746"/>
      <c r="G20" s="746"/>
      <c r="H20" s="746"/>
      <c r="I20" s="746"/>
      <c r="J20" s="746"/>
      <c r="K20" s="746"/>
      <c r="L20" s="746"/>
      <c r="M20" s="746"/>
      <c r="N20" s="746"/>
      <c r="P20" s="4"/>
      <c r="Q20" s="4"/>
      <c r="R20" s="4"/>
      <c r="S20" s="4"/>
      <c r="T20" s="4"/>
      <c r="U20" s="4"/>
      <c r="V20" s="4"/>
      <c r="W20" s="4"/>
      <c r="X20" s="4"/>
      <c r="Y20" s="4"/>
      <c r="Z20" s="4"/>
      <c r="AA20" s="4"/>
    </row>
    <row r="21" spans="1:27" s="300" customFormat="1" ht="24" customHeight="1">
      <c r="A21" s="297"/>
      <c r="B21" s="293" t="s">
        <v>50</v>
      </c>
      <c r="C21" s="633">
        <v>1</v>
      </c>
      <c r="D21" s="316" t="s">
        <v>457</v>
      </c>
      <c r="E21" s="428"/>
      <c r="F21" s="429"/>
      <c r="G21" s="430"/>
      <c r="H21" s="430"/>
      <c r="I21" s="298" t="str">
        <f>IF(H21="","---",H21/$H$17)</f>
        <v>---</v>
      </c>
      <c r="J21" s="302"/>
      <c r="K21" s="1"/>
      <c r="L21" s="299"/>
      <c r="M21" s="430"/>
      <c r="N21" s="318" t="str">
        <f t="shared" ref="N21" si="2">IF(ISBLANK(M21),"---",(H21-M21)/M21)</f>
        <v>---</v>
      </c>
      <c r="O21" s="432"/>
      <c r="P21" s="432"/>
      <c r="Q21" s="432"/>
      <c r="R21" s="432"/>
      <c r="S21" s="432"/>
      <c r="T21" s="432"/>
      <c r="U21" s="432"/>
      <c r="V21" s="433"/>
      <c r="W21" s="433"/>
      <c r="X21" s="433"/>
      <c r="Y21" s="433"/>
      <c r="Z21" s="433"/>
      <c r="AA21" s="433"/>
    </row>
    <row r="22" spans="1:27" s="300" customFormat="1" ht="24" customHeight="1">
      <c r="A22" s="297"/>
      <c r="B22" s="293" t="s">
        <v>455</v>
      </c>
      <c r="C22" s="634">
        <f>IF(F10="C120",65%,75%)</f>
        <v>0.75</v>
      </c>
      <c r="D22" s="316" t="s">
        <v>457</v>
      </c>
      <c r="E22" s="428"/>
      <c r="F22" s="429"/>
      <c r="G22" s="430"/>
      <c r="H22" s="430"/>
      <c r="I22" s="298" t="str">
        <f>IF(H22="","---",H22/$H$17)</f>
        <v>---</v>
      </c>
      <c r="J22" s="160" t="str">
        <f>IF(ISNUMBER(I22),IF(I22&gt;C22,"PASS","FAIL"),"----")</f>
        <v>----</v>
      </c>
      <c r="K22" s="1"/>
      <c r="L22" s="299"/>
      <c r="M22" s="430"/>
      <c r="N22" s="318" t="str">
        <f t="shared" ref="N22:N23" si="3">IF(ISBLANK(M22),"---",(H22-M22)/M22)</f>
        <v>---</v>
      </c>
      <c r="O22" s="432"/>
      <c r="P22" s="432"/>
      <c r="Q22" s="432"/>
      <c r="R22" s="432"/>
      <c r="S22" s="432"/>
      <c r="T22" s="432"/>
      <c r="U22" s="432"/>
      <c r="V22" s="433"/>
      <c r="W22" s="433"/>
      <c r="X22" s="433"/>
      <c r="Y22" s="433"/>
      <c r="Z22" s="433"/>
      <c r="AA22" s="433"/>
    </row>
    <row r="23" spans="1:27" s="300" customFormat="1" ht="24" customHeight="1">
      <c r="A23" s="297"/>
      <c r="B23" s="293" t="s">
        <v>456</v>
      </c>
      <c r="C23" s="634">
        <f>IF(F10="C120",60%,70%)</f>
        <v>0.7</v>
      </c>
      <c r="D23" s="316" t="s">
        <v>457</v>
      </c>
      <c r="E23" s="428"/>
      <c r="F23" s="429"/>
      <c r="G23" s="430"/>
      <c r="H23" s="430"/>
      <c r="I23" s="298" t="str">
        <f>IF(H23="","---",H23/$H$17)</f>
        <v>---</v>
      </c>
      <c r="J23" s="160" t="str">
        <f>IF(ISNUMBER(I23),IF(I23&gt;C23,"PASS","FAIL"),"----")</f>
        <v>----</v>
      </c>
      <c r="K23" s="1"/>
      <c r="L23" s="299"/>
      <c r="M23" s="430"/>
      <c r="N23" s="318" t="str">
        <f t="shared" si="3"/>
        <v>---</v>
      </c>
      <c r="O23" s="432"/>
      <c r="P23" s="432"/>
      <c r="Q23" s="432"/>
      <c r="R23" s="432"/>
      <c r="S23" s="432"/>
      <c r="T23" s="432"/>
      <c r="U23" s="432"/>
      <c r="V23" s="433"/>
      <c r="W23" s="433"/>
      <c r="X23" s="433"/>
      <c r="Y23" s="433"/>
      <c r="Z23" s="433"/>
      <c r="AA23" s="433"/>
    </row>
    <row r="24" spans="1:27" s="300" customFormat="1" ht="24" customHeight="1">
      <c r="A24" s="568"/>
      <c r="B24" s="568"/>
      <c r="C24" s="568"/>
      <c r="D24" s="568"/>
      <c r="E24" s="568"/>
      <c r="F24" s="568"/>
      <c r="G24" s="568"/>
      <c r="H24" s="568"/>
      <c r="I24" s="568"/>
      <c r="J24" s="568"/>
      <c r="K24" s="568"/>
      <c r="L24" s="572"/>
      <c r="M24" s="568"/>
      <c r="N24" s="568"/>
      <c r="O24" s="432"/>
      <c r="P24" s="432"/>
      <c r="Q24" s="432"/>
      <c r="R24" s="432"/>
      <c r="S24" s="432"/>
      <c r="T24" s="432"/>
      <c r="U24" s="432"/>
      <c r="V24" s="433"/>
      <c r="W24" s="433"/>
      <c r="X24" s="433"/>
      <c r="Y24" s="433"/>
      <c r="Z24" s="433"/>
      <c r="AA24" s="433"/>
    </row>
    <row r="25" spans="1:27" s="25" customFormat="1" ht="18" customHeight="1">
      <c r="A25" s="3"/>
      <c r="B25" s="3"/>
      <c r="C25" s="3"/>
      <c r="D25" s="3"/>
      <c r="E25" s="319"/>
      <c r="F25" s="320"/>
      <c r="G25" s="320"/>
      <c r="H25" s="39"/>
      <c r="I25" s="3"/>
      <c r="J25" s="305" t="s">
        <v>275</v>
      </c>
      <c r="K25" s="321" t="str">
        <f>IF(K19="---","---",MAX(K14:K19))</f>
        <v>---</v>
      </c>
      <c r="L25" s="3"/>
      <c r="M25" s="3"/>
      <c r="N25" s="3"/>
      <c r="O25" s="10"/>
      <c r="P25" s="10"/>
      <c r="Q25" s="10"/>
      <c r="R25" s="10"/>
      <c r="S25" s="10"/>
      <c r="T25" s="10"/>
      <c r="U25" s="10"/>
      <c r="V25" s="10"/>
      <c r="W25" s="10"/>
      <c r="X25" s="10"/>
      <c r="Y25" s="10"/>
      <c r="Z25" s="10"/>
      <c r="AA25" s="10"/>
    </row>
    <row r="26" spans="1:27">
      <c r="A26" s="5"/>
      <c r="B26" s="5"/>
      <c r="C26" s="5"/>
      <c r="D26" s="5"/>
      <c r="E26" s="5"/>
      <c r="F26" s="5"/>
      <c r="G26" s="5"/>
      <c r="H26" s="5"/>
      <c r="I26" s="5"/>
      <c r="J26" s="5"/>
      <c r="K26" s="5"/>
      <c r="L26" s="5"/>
      <c r="M26" s="5"/>
      <c r="N26" s="5"/>
      <c r="P26" s="4"/>
      <c r="Q26" s="4"/>
      <c r="R26" s="4"/>
      <c r="S26" s="4"/>
      <c r="T26" s="4"/>
      <c r="U26" s="4"/>
      <c r="V26" s="4"/>
      <c r="W26" s="4"/>
      <c r="X26" s="4"/>
      <c r="Y26" s="4"/>
      <c r="Z26" s="4"/>
      <c r="AA26" s="4"/>
    </row>
    <row r="27" spans="1:27" ht="14.25">
      <c r="A27" s="123" t="s">
        <v>148</v>
      </c>
      <c r="B27" s="1"/>
      <c r="C27" s="1"/>
      <c r="D27" s="1"/>
      <c r="E27" s="1"/>
      <c r="F27" s="1"/>
      <c r="G27" s="1"/>
      <c r="H27" s="1"/>
      <c r="I27" s="1"/>
      <c r="J27" s="1"/>
      <c r="K27" s="1"/>
      <c r="L27" s="1"/>
      <c r="M27" s="1"/>
      <c r="N27" s="1"/>
      <c r="P27" s="4"/>
      <c r="Q27" s="4"/>
      <c r="R27" s="4"/>
      <c r="S27" s="4"/>
      <c r="T27" s="4"/>
      <c r="U27" s="4"/>
      <c r="V27" s="4"/>
      <c r="W27" s="4"/>
      <c r="X27" s="4"/>
      <c r="Y27" s="4"/>
      <c r="Z27" s="4"/>
      <c r="AA27" s="4"/>
    </row>
    <row r="28" spans="1:27">
      <c r="A28" s="1"/>
      <c r="B28" s="1"/>
      <c r="C28" s="1"/>
      <c r="D28" s="1" t="s">
        <v>276</v>
      </c>
      <c r="E28" s="1"/>
      <c r="F28" s="1"/>
      <c r="G28" s="1"/>
      <c r="H28" s="1"/>
      <c r="I28" s="1"/>
      <c r="J28" s="1"/>
      <c r="K28" s="1"/>
      <c r="L28" s="1"/>
      <c r="M28" s="1"/>
      <c r="N28" s="1"/>
      <c r="P28" s="4"/>
      <c r="Q28" s="4"/>
      <c r="R28" s="4"/>
      <c r="S28" s="4"/>
      <c r="T28" s="4"/>
      <c r="U28" s="4"/>
      <c r="V28" s="4"/>
      <c r="W28" s="4"/>
      <c r="X28" s="4"/>
      <c r="Y28" s="4"/>
      <c r="Z28" s="4"/>
      <c r="AA28" s="4"/>
    </row>
    <row r="29" spans="1:27">
      <c r="A29" s="5"/>
      <c r="B29" s="5"/>
      <c r="C29" s="5"/>
      <c r="D29" s="5"/>
      <c r="E29" s="5"/>
      <c r="F29" s="5"/>
      <c r="G29" s="5"/>
      <c r="H29" s="5"/>
      <c r="I29" s="5"/>
      <c r="J29" s="5"/>
      <c r="K29" s="5"/>
      <c r="L29" s="5"/>
      <c r="M29" s="5"/>
      <c r="N29" s="5"/>
      <c r="P29" s="4"/>
      <c r="Q29" s="4"/>
      <c r="R29" s="4"/>
      <c r="S29" s="4"/>
      <c r="T29" s="4"/>
      <c r="U29" s="4"/>
      <c r="V29" s="4"/>
      <c r="W29" s="4"/>
      <c r="X29" s="4"/>
      <c r="Y29" s="4"/>
      <c r="Z29" s="4"/>
      <c r="AA29" s="4"/>
    </row>
    <row r="30" spans="1:27" ht="15" thickBot="1">
      <c r="A30" s="131" t="s">
        <v>160</v>
      </c>
      <c r="B30" s="132"/>
      <c r="C30" s="1"/>
      <c r="D30" s="1"/>
      <c r="E30" s="1"/>
      <c r="F30" s="1"/>
      <c r="G30" s="1"/>
      <c r="H30" s="1"/>
      <c r="I30" s="1"/>
      <c r="J30" s="1"/>
      <c r="K30" s="1"/>
      <c r="L30" s="1"/>
      <c r="M30" s="1"/>
      <c r="N30" s="1"/>
      <c r="P30" s="4"/>
      <c r="Q30" s="4"/>
      <c r="R30" s="4"/>
      <c r="S30" s="4"/>
      <c r="T30" s="4"/>
      <c r="U30" s="4"/>
      <c r="V30" s="4"/>
      <c r="W30" s="4"/>
      <c r="X30" s="4"/>
      <c r="Y30" s="4"/>
      <c r="Z30" s="4"/>
      <c r="AA30" s="4"/>
    </row>
    <row r="31" spans="1:27" ht="16.5" thickBot="1">
      <c r="A31" s="1"/>
      <c r="C31" s="1"/>
      <c r="D31" s="122" t="str">
        <f>IF(I19="---","---",IF(AND(COUNTIF(J14:J23,"PASS")=7,K25&lt;1),"PASS","FAIL"))</f>
        <v>---</v>
      </c>
      <c r="F31" s="1"/>
      <c r="G31" s="1"/>
      <c r="H31" s="1"/>
      <c r="I31" s="1"/>
      <c r="J31" s="1"/>
      <c r="K31" s="1"/>
      <c r="L31" s="3"/>
      <c r="M31" s="1"/>
      <c r="N31" s="1"/>
      <c r="P31" s="4"/>
      <c r="Q31" s="4"/>
      <c r="R31" s="4"/>
      <c r="S31" s="4"/>
      <c r="T31" s="4"/>
      <c r="U31" s="4"/>
      <c r="V31" s="4"/>
      <c r="W31" s="4"/>
      <c r="X31" s="4"/>
      <c r="Y31" s="4"/>
      <c r="Z31" s="4"/>
      <c r="AA31" s="4"/>
    </row>
    <row r="32" spans="1:27">
      <c r="A32" s="5"/>
      <c r="B32" s="5"/>
      <c r="C32" s="5"/>
      <c r="D32" s="5"/>
      <c r="E32" s="5"/>
      <c r="F32" s="5"/>
      <c r="G32" s="5"/>
      <c r="H32" s="5"/>
      <c r="I32" s="5"/>
      <c r="J32" s="5"/>
      <c r="K32" s="5"/>
      <c r="L32" s="5"/>
      <c r="M32" s="5"/>
      <c r="N32" s="5"/>
      <c r="P32" s="4"/>
      <c r="Q32" s="4"/>
      <c r="R32" s="4"/>
      <c r="S32" s="4"/>
      <c r="T32" s="4"/>
      <c r="U32" s="4"/>
      <c r="V32" s="4"/>
      <c r="W32" s="4"/>
      <c r="X32" s="4"/>
      <c r="Y32" s="4"/>
      <c r="Z32" s="4"/>
      <c r="AA32" s="4"/>
    </row>
    <row r="33" spans="1:27" ht="14.25">
      <c r="A33" s="123" t="s">
        <v>158</v>
      </c>
      <c r="B33" s="1"/>
      <c r="C33" s="1"/>
      <c r="D33" s="1"/>
      <c r="E33" s="1"/>
      <c r="F33" s="1"/>
      <c r="G33" s="1"/>
      <c r="H33" s="1"/>
      <c r="I33" s="1"/>
      <c r="J33" s="1"/>
      <c r="K33" s="1"/>
      <c r="L33" s="1"/>
      <c r="M33" s="1"/>
      <c r="N33" s="1"/>
      <c r="P33" s="4"/>
      <c r="Q33" s="4"/>
      <c r="R33" s="4"/>
      <c r="S33" s="4"/>
      <c r="T33" s="4"/>
      <c r="U33" s="4"/>
      <c r="V33" s="4"/>
      <c r="W33" s="4"/>
      <c r="X33" s="4"/>
      <c r="Y33" s="4"/>
      <c r="Z33" s="4"/>
      <c r="AA33" s="4"/>
    </row>
    <row r="34" spans="1:27">
      <c r="A34" s="568"/>
      <c r="B34" s="568"/>
      <c r="C34" s="568"/>
      <c r="D34" s="568"/>
      <c r="E34" s="568"/>
      <c r="F34" s="568"/>
      <c r="G34" s="568"/>
      <c r="H34" s="568"/>
      <c r="I34" s="568"/>
      <c r="J34" s="568"/>
      <c r="K34" s="568"/>
      <c r="L34" s="568"/>
      <c r="M34" s="568"/>
      <c r="N34" s="568"/>
      <c r="P34" s="4"/>
      <c r="Q34" s="4"/>
      <c r="R34" s="4"/>
      <c r="S34" s="4"/>
      <c r="T34" s="4"/>
      <c r="U34" s="4"/>
      <c r="V34" s="4"/>
      <c r="W34" s="4"/>
      <c r="X34" s="4"/>
      <c r="Y34" s="4"/>
      <c r="Z34" s="4"/>
      <c r="AA34" s="4"/>
    </row>
    <row r="35" spans="1:27">
      <c r="A35" s="568"/>
      <c r="B35" s="568"/>
      <c r="C35" s="568"/>
      <c r="D35" s="568"/>
      <c r="E35" s="568"/>
      <c r="F35" s="568"/>
      <c r="G35" s="568"/>
      <c r="H35" s="568"/>
      <c r="I35" s="568"/>
      <c r="J35" s="568"/>
      <c r="K35" s="568"/>
      <c r="L35" s="572"/>
      <c r="M35" s="568"/>
      <c r="N35" s="568"/>
      <c r="P35" s="4"/>
      <c r="Q35" s="4"/>
      <c r="R35" s="4"/>
      <c r="S35" s="4"/>
      <c r="T35" s="4"/>
      <c r="U35" s="4"/>
      <c r="V35" s="4"/>
      <c r="W35" s="4"/>
      <c r="X35" s="4"/>
      <c r="Y35" s="4"/>
      <c r="Z35" s="4"/>
      <c r="AA35" s="4"/>
    </row>
    <row r="36" spans="1:27">
      <c r="A36" s="568"/>
      <c r="B36" s="568"/>
      <c r="C36" s="568"/>
      <c r="D36" s="568"/>
      <c r="E36" s="568"/>
      <c r="F36" s="568"/>
      <c r="G36" s="568"/>
      <c r="H36" s="568"/>
      <c r="I36" s="568"/>
      <c r="J36" s="568"/>
      <c r="K36" s="568"/>
      <c r="L36" s="572"/>
      <c r="M36" s="568"/>
      <c r="N36" s="568"/>
      <c r="P36" s="4"/>
      <c r="Q36" s="4"/>
      <c r="R36" s="4"/>
      <c r="S36" s="4"/>
      <c r="T36" s="4"/>
      <c r="U36" s="4"/>
      <c r="V36" s="4"/>
      <c r="W36" s="4"/>
      <c r="X36" s="4"/>
      <c r="Y36" s="4"/>
      <c r="Z36" s="4"/>
      <c r="AA36" s="4"/>
    </row>
    <row r="37" spans="1:27">
      <c r="A37" s="568"/>
      <c r="B37" s="568"/>
      <c r="C37" s="568"/>
      <c r="D37" s="568"/>
      <c r="E37" s="568"/>
      <c r="F37" s="568"/>
      <c r="G37" s="568"/>
      <c r="H37" s="568"/>
      <c r="I37" s="568"/>
      <c r="J37" s="568"/>
      <c r="K37" s="568"/>
      <c r="L37" s="572"/>
      <c r="M37" s="568"/>
      <c r="N37" s="568"/>
      <c r="P37" s="4"/>
      <c r="Q37" s="4"/>
      <c r="R37" s="4"/>
      <c r="S37" s="4"/>
      <c r="T37" s="4"/>
      <c r="U37" s="4"/>
      <c r="V37" s="4"/>
      <c r="W37" s="4"/>
      <c r="X37" s="4"/>
      <c r="Y37" s="4"/>
      <c r="Z37" s="4"/>
      <c r="AA37" s="4"/>
    </row>
    <row r="38" spans="1:27">
      <c r="A38" s="568"/>
      <c r="B38" s="568"/>
      <c r="C38" s="568"/>
      <c r="D38" s="568"/>
      <c r="E38" s="568"/>
      <c r="F38" s="568"/>
      <c r="G38" s="568"/>
      <c r="H38" s="568"/>
      <c r="I38" s="568"/>
      <c r="J38" s="568"/>
      <c r="K38" s="568"/>
      <c r="L38" s="572"/>
      <c r="M38" s="568"/>
      <c r="N38" s="568"/>
      <c r="P38" s="4"/>
      <c r="Q38" s="4"/>
      <c r="R38" s="4"/>
      <c r="S38" s="4"/>
      <c r="T38" s="4"/>
      <c r="U38" s="4"/>
      <c r="V38" s="4"/>
      <c r="W38" s="4"/>
      <c r="X38" s="4"/>
      <c r="Y38" s="4"/>
      <c r="Z38" s="4"/>
      <c r="AA38" s="4"/>
    </row>
    <row r="39" spans="1:27">
      <c r="A39" s="564"/>
      <c r="B39" s="564"/>
      <c r="C39" s="564"/>
      <c r="D39" s="564"/>
      <c r="E39" s="564"/>
      <c r="F39" s="564"/>
      <c r="G39" s="564"/>
      <c r="H39" s="564"/>
      <c r="I39" s="564"/>
      <c r="J39" s="564"/>
      <c r="K39" s="564"/>
      <c r="L39" s="573"/>
      <c r="M39" s="564"/>
      <c r="N39" s="564"/>
      <c r="P39" s="4"/>
      <c r="Q39" s="4"/>
      <c r="R39" s="4"/>
      <c r="S39" s="4"/>
      <c r="T39" s="4"/>
      <c r="U39" s="4"/>
      <c r="V39" s="4"/>
      <c r="W39" s="4"/>
      <c r="X39" s="4"/>
      <c r="Y39" s="4"/>
      <c r="Z39" s="4"/>
      <c r="AA39" s="4"/>
    </row>
    <row r="40" spans="1:27">
      <c r="A40" s="564"/>
      <c r="B40" s="564"/>
      <c r="C40" s="564"/>
      <c r="D40" s="564"/>
      <c r="E40" s="564"/>
      <c r="F40" s="564"/>
      <c r="G40" s="564"/>
      <c r="H40" s="564"/>
      <c r="I40" s="564"/>
      <c r="J40" s="564"/>
      <c r="K40" s="564"/>
      <c r="L40" s="573"/>
      <c r="M40" s="564"/>
      <c r="N40" s="564"/>
      <c r="P40" s="4"/>
      <c r="Q40" s="4"/>
      <c r="R40" s="4"/>
      <c r="S40" s="4"/>
      <c r="T40" s="4"/>
      <c r="U40" s="4"/>
      <c r="V40" s="4"/>
      <c r="W40" s="4"/>
      <c r="X40" s="4"/>
      <c r="Y40" s="4"/>
      <c r="Z40" s="4"/>
      <c r="AA40" s="4"/>
    </row>
    <row r="41" spans="1:27">
      <c r="A41" s="564"/>
      <c r="B41" s="564"/>
      <c r="C41" s="564"/>
      <c r="D41" s="564"/>
      <c r="E41" s="564"/>
      <c r="F41" s="564"/>
      <c r="G41" s="564"/>
      <c r="H41" s="564"/>
      <c r="I41" s="564"/>
      <c r="J41" s="564"/>
      <c r="K41" s="564"/>
      <c r="L41" s="573"/>
      <c r="M41" s="564"/>
      <c r="N41" s="564"/>
      <c r="P41" s="4"/>
      <c r="Q41" s="4"/>
      <c r="R41" s="4"/>
      <c r="S41" s="4"/>
      <c r="T41" s="4"/>
      <c r="U41" s="4"/>
      <c r="V41" s="4"/>
      <c r="W41" s="4"/>
      <c r="X41" s="4"/>
      <c r="Y41" s="4"/>
      <c r="Z41" s="4"/>
      <c r="AA41" s="4"/>
    </row>
    <row r="42" spans="1:27">
      <c r="A42" s="564"/>
      <c r="B42" s="564"/>
      <c r="C42" s="564"/>
      <c r="D42" s="564"/>
      <c r="E42" s="564"/>
      <c r="F42" s="564"/>
      <c r="G42" s="564"/>
      <c r="H42" s="564"/>
      <c r="I42" s="564"/>
      <c r="J42" s="564"/>
      <c r="K42" s="564"/>
      <c r="L42" s="573"/>
      <c r="M42" s="564"/>
      <c r="N42" s="564"/>
      <c r="P42" s="4"/>
      <c r="Q42" s="4"/>
      <c r="R42" s="4"/>
      <c r="S42" s="4"/>
      <c r="T42" s="4"/>
      <c r="U42" s="4"/>
      <c r="V42" s="4"/>
      <c r="W42" s="4"/>
      <c r="X42" s="4"/>
      <c r="Y42" s="4"/>
      <c r="Z42" s="4"/>
      <c r="AA42" s="4"/>
    </row>
    <row r="43" spans="1:27">
      <c r="A43" s="564"/>
      <c r="B43" s="564"/>
      <c r="C43" s="564"/>
      <c r="D43" s="564"/>
      <c r="E43" s="564"/>
      <c r="F43" s="564"/>
      <c r="G43" s="564"/>
      <c r="H43" s="564"/>
      <c r="I43" s="564"/>
      <c r="J43" s="564"/>
      <c r="K43" s="564"/>
      <c r="L43" s="573"/>
      <c r="M43" s="564"/>
      <c r="N43" s="564"/>
    </row>
    <row r="44" spans="1:27">
      <c r="A44" s="564"/>
      <c r="B44" s="564"/>
      <c r="C44" s="564"/>
      <c r="D44" s="564"/>
      <c r="E44" s="564"/>
      <c r="F44" s="564"/>
      <c r="G44" s="564"/>
      <c r="H44" s="564"/>
      <c r="I44" s="564"/>
      <c r="J44" s="564"/>
      <c r="K44" s="564"/>
      <c r="L44" s="573"/>
      <c r="M44" s="564"/>
      <c r="N44" s="564"/>
    </row>
    <row r="45" spans="1:27">
      <c r="A45" s="564"/>
      <c r="B45" s="564"/>
      <c r="C45" s="564"/>
      <c r="D45" s="564"/>
      <c r="E45" s="564"/>
      <c r="F45" s="564"/>
      <c r="G45" s="564"/>
      <c r="H45" s="564"/>
      <c r="I45" s="564"/>
      <c r="J45" s="564"/>
      <c r="K45" s="564"/>
      <c r="L45" s="573"/>
      <c r="M45" s="564"/>
      <c r="N45" s="564"/>
    </row>
  </sheetData>
  <protectedRanges>
    <protectedRange sqref="E14:H19 E21:H23" name="Range1_1"/>
    <protectedRange sqref="M14:M19 M21:M23" name="Range1_1_2"/>
  </protectedRanges>
  <mergeCells count="4">
    <mergeCell ref="M11:N11"/>
    <mergeCell ref="B4:K4"/>
    <mergeCell ref="B20:N20"/>
    <mergeCell ref="B12:N12"/>
  </mergeCells>
  <phoneticPr fontId="7" type="noConversion"/>
  <pageMargins left="0.75" right="0.75" top="1" bottom="1" header="0.5" footer="0.5"/>
  <pageSetup orientation="portrait" horizontalDpi="400" verticalDpi="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Start here</vt:lpstr>
      <vt:lpstr>Spatial Resolution</vt:lpstr>
      <vt:lpstr>Contrast-to-noise ratio</vt:lpstr>
      <vt:lpstr>Visual Check</vt:lpstr>
      <vt:lpstr>Thickness indication</vt:lpstr>
      <vt:lpstr>Compression force</vt:lpstr>
      <vt:lpstr>X-ray tube output</vt:lpstr>
      <vt:lpstr>Air Kerma reproducibility</vt:lpstr>
      <vt:lpstr>AEC_Breast thickness &amp; Exposure</vt:lpstr>
      <vt:lpstr>AEC_Density compensation</vt:lpstr>
      <vt:lpstr>Tube voltage</vt:lpstr>
      <vt:lpstr>HVL low coll</vt:lpstr>
      <vt:lpstr>HVL high coll</vt:lpstr>
      <vt:lpstr>Contrast Detail Resolution</vt:lpstr>
      <vt:lpstr>Detector linearity</vt:lpstr>
      <vt:lpstr>Image and x-ray field</vt:lpstr>
      <vt:lpstr>Xi Data</vt:lpstr>
      <vt:lpstr>AGD calc tool</vt:lpstr>
      <vt:lpstr>CDMAM tool</vt:lpstr>
      <vt:lpstr>g-grid</vt:lpstr>
      <vt:lpstr>c-grid</vt:lpstr>
      <vt:lpstr>Thickness</vt:lpstr>
      <vt:lpstr>CDMAM truth</vt:lpstr>
      <vt:lpstr>'HVL high coll'!_Toc67376399</vt:lpstr>
      <vt:lpstr>'HVL low coll'!_Toc67376399</vt:lpstr>
      <vt:lpstr>'Image and x-ray field'!_Toc67376399</vt:lpstr>
    </vt:vector>
  </TitlesOfParts>
  <Company>Mamea Imaging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L30 QCP and Installation Test Record Template</dc:title>
  <dc:subject>DOC-AASV-6PLRVZ-2.0</dc:subject>
  <dc:creator>Alexander Asklöv/Mamea/SECTRA Imtec AB</dc:creator>
  <dc:description>Alexander Asklöv with role 'imtec-role-author' on 2006-10-16 14:19:04 (-1,1)</dc:description>
  <cp:lastModifiedBy>Eugene Mah</cp:lastModifiedBy>
  <cp:lastPrinted>2007-11-20T10:05:46Z</cp:lastPrinted>
  <dcterms:created xsi:type="dcterms:W3CDTF">2004-04-07T11:49:38Z</dcterms:created>
  <dcterms:modified xsi:type="dcterms:W3CDTF">2014-06-04T18:35:02Z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ctraDoc_Projects">
    <vt:lpwstr/>
  </property>
  <property fmtid="{D5CDD505-2E9C-101B-9397-08002B2CF9AE}" pid="3" name="SectraDoc_Products">
    <vt:lpwstr>Micro Dose Mammography</vt:lpwstr>
  </property>
  <property fmtid="{D5CDD505-2E9C-101B-9397-08002B2CF9AE}" pid="4" name="SectraDoc_BasedOnTemplateID">
    <vt:lpwstr/>
  </property>
  <property fmtid="{D5CDD505-2E9C-101B-9397-08002B2CF9AE}" pid="5" name="MXOwnerFirstName">
    <vt:lpwstr/>
  </property>
  <property fmtid="{D5CDD505-2E9C-101B-9397-08002B2CF9AE}" pid="6" name="MXOwnerLastName">
    <vt:lpwstr>Sectra Mamea</vt:lpwstr>
  </property>
  <property fmtid="{D5CDD505-2E9C-101B-9397-08002B2CF9AE}" pid="7" name="MXOwnerEmail">
    <vt:lpwstr>info@sectra.se</vt:lpwstr>
  </property>
  <property fmtid="{D5CDD505-2E9C-101B-9397-08002B2CF9AE}" pid="8" name="MXOriginatorFirstName">
    <vt:lpwstr>Fredric</vt:lpwstr>
  </property>
  <property fmtid="{D5CDD505-2E9C-101B-9397-08002B2CF9AE}" pid="9" name="MXOriginatorLastName">
    <vt:lpwstr>Ottermo</vt:lpwstr>
  </property>
  <property fmtid="{D5CDD505-2E9C-101B-9397-08002B2CF9AE}" pid="10" name="MXOriginatorEmail">
    <vt:lpwstr>fr-ott@sectra.se</vt:lpwstr>
  </property>
  <property fmtid="{D5CDD505-2E9C-101B-9397-08002B2CF9AE}" pid="11" name="MXApproverFirstName">
    <vt:lpwstr>Fredrik</vt:lpwstr>
  </property>
  <property fmtid="{D5CDD505-2E9C-101B-9397-08002B2CF9AE}" pid="12" name="MXApproverLastName">
    <vt:lpwstr>Björklund</vt:lpwstr>
  </property>
  <property fmtid="{D5CDD505-2E9C-101B-9397-08002B2CF9AE}" pid="13" name="MXApproveDate">
    <vt:lpwstr>2010-02-22</vt:lpwstr>
  </property>
  <property fmtid="{D5CDD505-2E9C-101B-9397-08002B2CF9AE}" pid="14" name="MXOriginated">
    <vt:lpwstr>2010-02-17</vt:lpwstr>
  </property>
  <property fmtid="{D5CDD505-2E9C-101B-9397-08002B2CF9AE}" pid="15" name="MXDescription">
    <vt:lpwstr>L30 QCP and Installation Test Record Template</vt:lpwstr>
  </property>
  <property fmtid="{D5CDD505-2E9C-101B-9397-08002B2CF9AE}" pid="16" name="MXVersionDate">
    <vt:lpwstr/>
  </property>
  <property fmtid="{D5CDD505-2E9C-101B-9397-08002B2CF9AE}" pid="17" name="MXFileVersion">
    <vt:lpwstr/>
  </property>
  <property fmtid="{D5CDD505-2E9C-101B-9397-08002B2CF9AE}" pid="18" name="MXVersion">
    <vt:lpwstr/>
  </property>
  <property fmtid="{D5CDD505-2E9C-101B-9397-08002B2CF9AE}" pid="19" name="MXValidTo">
    <vt:lpwstr/>
  </property>
  <property fmtid="{D5CDD505-2E9C-101B-9397-08002B2CF9AE}" pid="20" name="MXActiveVersion">
    <vt:lpwstr>2</vt:lpwstr>
  </property>
  <property fmtid="{D5CDD505-2E9C-101B-9397-08002B2CF9AE}" pid="21" name="MXCurrentState">
    <vt:lpwstr>Release</vt:lpwstr>
  </property>
  <property fmtid="{D5CDD505-2E9C-101B-9397-08002B2CF9AE}" pid="22" name="MXPolicy">
    <vt:lpwstr>Change Control Document</vt:lpwstr>
  </property>
  <property fmtid="{D5CDD505-2E9C-101B-9397-08002B2CF9AE}" pid="23" name="MXConfidentiality">
    <vt:lpwstr>Internal</vt:lpwstr>
  </property>
  <property fmtid="{D5CDD505-2E9C-101B-9397-08002B2CF9AE}" pid="24" name="MXType">
    <vt:lpwstr>Service and Maintenance Instruction</vt:lpwstr>
  </property>
  <property fmtid="{D5CDD505-2E9C-101B-9397-08002B2CF9AE}" pid="25" name="MXName">
    <vt:lpwstr>1012194</vt:lpwstr>
  </property>
  <property fmtid="{D5CDD505-2E9C-101B-9397-08002B2CF9AE}" pid="26" name="MXRevision">
    <vt:lpwstr>E</vt:lpwstr>
  </property>
</Properties>
</file>