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2"/>
  </bookViews>
  <sheets>
    <sheet name="QC Test Summary" sheetId="1" r:id="rId1"/>
    <sheet name="Tech QC Eval" sheetId="2" r:id="rId2"/>
    <sheet name="Sheet1" sheetId="3" r:id="rId3"/>
    <sheet name="Tables" sheetId="4" r:id="rId4"/>
    <sheet name="DataPage" sheetId="5" r:id="rId5"/>
    <sheet name="Corrected kV" sheetId="6" r:id="rId6"/>
    <sheet name="dropdowns" sheetId="7"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 name="Z_D62192A2_80E4_4F30_AFA0_04511C5E7F57_.wvu.PrintArea" localSheetId="0" hidden="1">'QC Test Summary'!$A$1:$M$45</definedName>
    <definedName name="Z_D62192A2_80E4_4F30_AFA0_04511C5E7F57_.wvu.PrintArea" localSheetId="2" hidden="1">Sheet1!$B$1:$M$338</definedName>
    <definedName name="Z_D62192A2_80E4_4F30_AFA0_04511C5E7F57_.wvu.PrintArea" localSheetId="1" hidden="1">'Tech QC Eval'!$A$1:$J$26</definedName>
  </definedNames>
  <calcPr calcId="162913"/>
  <customWorkbookViews>
    <customWorkbookView name="Eugene Mah - Personal View" guid="{D62192A2-80E4-4F30-AFA0-04511C5E7F57}" mergeInterval="0" personalView="1" maximized="1" xWindow="-8" yWindow="-8" windowWidth="1382" windowHeight="784" tabRatio="500" activeSheetId="3"/>
  </customWorkbookViews>
  <extLst>
    <ext xmlns:loext="http://schemas.libreoffice.org/" uri="{7626C862-2A13-11E5-B345-FEFF819CDC9F}">
      <loext:extCalcPr stringRefSyntax="CalcA1"/>
    </ext>
  </extLst>
</workbook>
</file>

<file path=xl/calcChain.xml><?xml version="1.0" encoding="utf-8"?>
<calcChain xmlns="http://schemas.openxmlformats.org/spreadsheetml/2006/main">
  <c r="R153" i="3" l="1"/>
  <c r="D178" i="3" s="1"/>
  <c r="S162" i="3"/>
  <c r="U162" i="3"/>
  <c r="T162" i="3"/>
  <c r="R162" i="3"/>
  <c r="AD123" i="3"/>
  <c r="K5" i="1"/>
  <c r="U275" i="3"/>
  <c r="U274" i="3"/>
  <c r="U269" i="3"/>
  <c r="U277" i="3"/>
  <c r="U278" i="3"/>
  <c r="V236" i="3"/>
  <c r="U236" i="3"/>
  <c r="T236" i="3"/>
  <c r="R152" i="3"/>
  <c r="R151" i="3"/>
  <c r="R150" i="3"/>
  <c r="R149" i="3"/>
  <c r="U279" i="3" l="1"/>
  <c r="U276" i="3"/>
  <c r="C12" i="6"/>
  <c r="C18" i="6" l="1"/>
  <c r="N122" i="4"/>
  <c r="Q122" i="4" s="1"/>
  <c r="N121" i="4"/>
  <c r="N120" i="4"/>
  <c r="Q120" i="4" s="1"/>
  <c r="N119" i="4"/>
  <c r="N118" i="4"/>
  <c r="Q118" i="4" s="1"/>
  <c r="N117" i="4"/>
  <c r="N116" i="4"/>
  <c r="Q116" i="4" s="1"/>
  <c r="N115" i="4"/>
  <c r="N114" i="4"/>
  <c r="Q114" i="4" s="1"/>
  <c r="N113" i="4"/>
  <c r="N112" i="4"/>
  <c r="Q112" i="4" s="1"/>
  <c r="N111" i="4"/>
  <c r="N110" i="4"/>
  <c r="Q110" i="4" s="1"/>
  <c r="N109" i="4"/>
  <c r="N108" i="4"/>
  <c r="Q108" i="4" s="1"/>
  <c r="N107" i="4"/>
  <c r="N106" i="4"/>
  <c r="Q106" i="4" s="1"/>
  <c r="N105" i="4"/>
  <c r="N104" i="4"/>
  <c r="Q104" i="4" s="1"/>
  <c r="N103" i="4"/>
  <c r="N102" i="4"/>
  <c r="Q102" i="4" s="1"/>
  <c r="N101" i="4"/>
  <c r="N100" i="4"/>
  <c r="Q100" i="4" s="1"/>
  <c r="N99" i="4"/>
  <c r="N98" i="4"/>
  <c r="Q98" i="4" s="1"/>
  <c r="N97" i="4"/>
  <c r="N96" i="4"/>
  <c r="Q96" i="4" s="1"/>
  <c r="N95" i="4"/>
  <c r="P95" i="4" s="1"/>
  <c r="N94" i="4"/>
  <c r="R94" i="4" s="1"/>
  <c r="N93" i="4"/>
  <c r="P93" i="4" s="1"/>
  <c r="N92" i="4"/>
  <c r="N91" i="4"/>
  <c r="P91" i="4" s="1"/>
  <c r="N90" i="4"/>
  <c r="R90" i="4" s="1"/>
  <c r="N89" i="4"/>
  <c r="P89" i="4" s="1"/>
  <c r="N88" i="4"/>
  <c r="N87" i="4"/>
  <c r="P87" i="4" s="1"/>
  <c r="N86" i="4"/>
  <c r="R86" i="4" s="1"/>
  <c r="N85" i="4"/>
  <c r="P85" i="4" s="1"/>
  <c r="N84" i="4"/>
  <c r="N83" i="4"/>
  <c r="R83" i="4" s="1"/>
  <c r="N82" i="4"/>
  <c r="R82" i="4" s="1"/>
  <c r="N81" i="4"/>
  <c r="R81" i="4" s="1"/>
  <c r="N80" i="4"/>
  <c r="R80" i="4" s="1"/>
  <c r="N79" i="4"/>
  <c r="R79" i="4" s="1"/>
  <c r="N78" i="4"/>
  <c r="R78" i="4" s="1"/>
  <c r="B78" i="4"/>
  <c r="N77" i="4"/>
  <c r="R77" i="4" s="1"/>
  <c r="B77" i="4"/>
  <c r="N76" i="4"/>
  <c r="R76" i="4" s="1"/>
  <c r="B76" i="4"/>
  <c r="N75" i="4"/>
  <c r="R75" i="4" s="1"/>
  <c r="B75" i="4"/>
  <c r="N74" i="4"/>
  <c r="R74" i="4" s="1"/>
  <c r="N73" i="4"/>
  <c r="R73" i="4" s="1"/>
  <c r="N72" i="4"/>
  <c r="R72" i="4" s="1"/>
  <c r="N71" i="4"/>
  <c r="P71" i="4" s="1"/>
  <c r="N70" i="4"/>
  <c r="S70" i="4" s="1"/>
  <c r="N69" i="4"/>
  <c r="P69" i="4" s="1"/>
  <c r="N68" i="4"/>
  <c r="R68" i="4" s="1"/>
  <c r="N67" i="4"/>
  <c r="P67" i="4" s="1"/>
  <c r="N66" i="4"/>
  <c r="R66" i="4" s="1"/>
  <c r="N65" i="4"/>
  <c r="P65" i="4" s="1"/>
  <c r="N64" i="4"/>
  <c r="S64" i="4" s="1"/>
  <c r="M56" i="4"/>
  <c r="L56" i="4"/>
  <c r="M55" i="4"/>
  <c r="L55" i="4"/>
  <c r="M54" i="4"/>
  <c r="L54" i="4"/>
  <c r="M53" i="4"/>
  <c r="L53" i="4"/>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4" s="1"/>
  <c r="R275" i="3"/>
  <c r="C76" i="4" s="1"/>
  <c r="Q275" i="3"/>
  <c r="I275" i="3"/>
  <c r="F275" i="3"/>
  <c r="D275" i="3"/>
  <c r="T274" i="3"/>
  <c r="S274" i="3"/>
  <c r="R274" i="3"/>
  <c r="Q274" i="3"/>
  <c r="M273" i="3"/>
  <c r="D271" i="3"/>
  <c r="T269" i="3"/>
  <c r="T276" i="3" s="1"/>
  <c r="G309" i="3" s="1"/>
  <c r="S269" i="3"/>
  <c r="R269" i="3"/>
  <c r="R276" i="3" s="1"/>
  <c r="E309" i="3" s="1"/>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W236" i="3"/>
  <c r="D288" i="3"/>
  <c r="S236" i="3"/>
  <c r="R236" i="3"/>
  <c r="V235" i="3"/>
  <c r="U235" i="3"/>
  <c r="T235" i="3"/>
  <c r="D287" i="3" s="1"/>
  <c r="S235" i="3"/>
  <c r="R235" i="3"/>
  <c r="V234" i="3"/>
  <c r="W234" i="3" s="1"/>
  <c r="U234" i="3"/>
  <c r="T234" i="3"/>
  <c r="D286" i="3" s="1"/>
  <c r="S234" i="3"/>
  <c r="R234" i="3"/>
  <c r="B67" i="4" s="1"/>
  <c r="C67" i="4"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T161" i="3"/>
  <c r="S161" i="3"/>
  <c r="R161" i="3"/>
  <c r="J181" i="3" s="1"/>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AD21" i="3" l="1"/>
  <c r="AC21" i="3" s="1"/>
  <c r="D10" i="1"/>
  <c r="AD14" i="3"/>
  <c r="AC14" i="3" s="1"/>
  <c r="K7" i="1"/>
  <c r="X231" i="3"/>
  <c r="E64" i="4" s="1"/>
  <c r="F24" i="3"/>
  <c r="AD82" i="3"/>
  <c r="F39" i="3"/>
  <c r="AD54" i="3"/>
  <c r="H218" i="3"/>
  <c r="V175" i="3"/>
  <c r="V171" i="3"/>
  <c r="J213" i="3" s="1"/>
  <c r="V172" i="3"/>
  <c r="J214" i="3" s="1"/>
  <c r="V174" i="3"/>
  <c r="V170" i="3"/>
  <c r="V173" i="3"/>
  <c r="J215" i="3" s="1"/>
  <c r="V169" i="3"/>
  <c r="J211" i="3" s="1"/>
  <c r="S132" i="3"/>
  <c r="K149" i="3" s="1"/>
  <c r="AD17" i="3"/>
  <c r="AC17" i="3" s="1"/>
  <c r="D7" i="1"/>
  <c r="I38" i="3"/>
  <c r="AD64" i="3"/>
  <c r="AD10" i="3"/>
  <c r="AC10" i="3" s="1"/>
  <c r="C4" i="1"/>
  <c r="AK12" i="3"/>
  <c r="P231" i="3" s="1"/>
  <c r="AD74" i="3"/>
  <c r="AD80" i="3"/>
  <c r="AD95" i="3"/>
  <c r="Q276" i="3"/>
  <c r="D309" i="3" s="1"/>
  <c r="D39" i="3"/>
  <c r="L39" i="3"/>
  <c r="I41" i="3"/>
  <c r="AK11" i="3"/>
  <c r="AK13" i="3"/>
  <c r="K24" i="3"/>
  <c r="H39" i="3"/>
  <c r="AD46" i="3"/>
  <c r="AD52" i="3"/>
  <c r="F21" i="3"/>
  <c r="F28" i="3"/>
  <c r="F186" i="3"/>
  <c r="S276" i="3"/>
  <c r="F309" i="3" s="1"/>
  <c r="AD62" i="3"/>
  <c r="O80" i="4"/>
  <c r="AK10" i="3"/>
  <c r="P230" i="3" s="1"/>
  <c r="F17" i="3"/>
  <c r="K6" i="1" s="1"/>
  <c r="K18" i="3"/>
  <c r="F25" i="3"/>
  <c r="AD50" i="3"/>
  <c r="AD53" i="3"/>
  <c r="AD59" i="3"/>
  <c r="AD67" i="3"/>
  <c r="AD73" i="3"/>
  <c r="AD76" i="3"/>
  <c r="AD96" i="3"/>
  <c r="X235" i="3"/>
  <c r="E68" i="4" s="1"/>
  <c r="X257" i="3"/>
  <c r="G298" i="3" s="1"/>
  <c r="O67" i="4"/>
  <c r="S67" i="4"/>
  <c r="K28" i="3"/>
  <c r="E38" i="3"/>
  <c r="K40" i="3"/>
  <c r="J216" i="3"/>
  <c r="X230" i="3"/>
  <c r="E63" i="4" s="1"/>
  <c r="U247" i="3"/>
  <c r="P108" i="4"/>
  <c r="AD42" i="3"/>
  <c r="AC42" i="3" s="1"/>
  <c r="K17" i="3"/>
  <c r="F18" i="3"/>
  <c r="F26" i="3"/>
  <c r="J41" i="3"/>
  <c r="T201" i="3"/>
  <c r="G190" i="3" s="1"/>
  <c r="T200" i="3"/>
  <c r="G189" i="3" s="1"/>
  <c r="X232" i="3"/>
  <c r="E65" i="4" s="1"/>
  <c r="X233" i="3"/>
  <c r="E66" i="4" s="1"/>
  <c r="X246" i="3"/>
  <c r="L285" i="3" s="1"/>
  <c r="E262" i="3"/>
  <c r="O72" i="4"/>
  <c r="P100" i="4"/>
  <c r="F12" i="3"/>
  <c r="D41" i="3"/>
  <c r="H41" i="3"/>
  <c r="L41" i="3"/>
  <c r="Q68" i="4"/>
  <c r="Q71" i="4"/>
  <c r="P116" i="4"/>
  <c r="X213" i="3"/>
  <c r="S78" i="4"/>
  <c r="Q80" i="4"/>
  <c r="P96" i="4"/>
  <c r="P112" i="4"/>
  <c r="O68" i="4"/>
  <c r="Q72" i="4"/>
  <c r="O78" i="4"/>
  <c r="P104" i="4"/>
  <c r="P120" i="4"/>
  <c r="F16" i="3"/>
  <c r="D6" i="1" s="1"/>
  <c r="AL14" i="3"/>
  <c r="Q232" i="3" s="1"/>
  <c r="AL18" i="3"/>
  <c r="E308" i="3"/>
  <c r="S66" i="4"/>
  <c r="S74" i="4"/>
  <c r="R85" i="4"/>
  <c r="R89" i="4"/>
  <c r="R93" i="4"/>
  <c r="K16" i="3"/>
  <c r="AL13" i="3"/>
  <c r="K22" i="3"/>
  <c r="K23" i="3"/>
  <c r="K30" i="3"/>
  <c r="J38" i="3"/>
  <c r="H40" i="3"/>
  <c r="J212" i="3"/>
  <c r="J217" i="3"/>
  <c r="T198" i="3"/>
  <c r="T204" i="3" s="1"/>
  <c r="G193" i="3" s="1"/>
  <c r="W245" i="3"/>
  <c r="K284" i="3" s="1"/>
  <c r="O65" i="4"/>
  <c r="O66" i="4"/>
  <c r="S68" i="4"/>
  <c r="P72" i="4"/>
  <c r="O73" i="4"/>
  <c r="O74" i="4"/>
  <c r="O77" i="4"/>
  <c r="P80" i="4"/>
  <c r="O81" i="4"/>
  <c r="P82" i="4"/>
  <c r="P98" i="4"/>
  <c r="P106" i="4"/>
  <c r="P114" i="4"/>
  <c r="P122" i="4"/>
  <c r="AL19" i="3"/>
  <c r="Q65" i="4"/>
  <c r="P66" i="4"/>
  <c r="Q73" i="4"/>
  <c r="P74" i="4"/>
  <c r="Q77" i="4"/>
  <c r="Q81" i="4"/>
  <c r="AL10" i="3"/>
  <c r="Q230" i="3" s="1"/>
  <c r="R266" i="3" s="1"/>
  <c r="AL11" i="3"/>
  <c r="AL12" i="3"/>
  <c r="Q231" i="3" s="1"/>
  <c r="AL15" i="3"/>
  <c r="Q257" i="3" s="1"/>
  <c r="F295" i="3" s="1"/>
  <c r="H38" i="3"/>
  <c r="J40" i="3"/>
  <c r="S202" i="3"/>
  <c r="F191" i="3" s="1"/>
  <c r="W246" i="3"/>
  <c r="K285" i="3" s="1"/>
  <c r="W257" i="3"/>
  <c r="F298" i="3" s="1"/>
  <c r="W259" i="3"/>
  <c r="F300" i="3" s="1"/>
  <c r="R279" i="3"/>
  <c r="E312" i="3" s="1"/>
  <c r="P64" i="4"/>
  <c r="S65" i="4"/>
  <c r="Q66" i="4"/>
  <c r="Q67" i="4"/>
  <c r="P68" i="4"/>
  <c r="Q69" i="4"/>
  <c r="S72" i="4"/>
  <c r="S73" i="4"/>
  <c r="Q74" i="4"/>
  <c r="S77" i="4"/>
  <c r="Q78" i="4"/>
  <c r="S80" i="4"/>
  <c r="S81" i="4"/>
  <c r="P102" i="4"/>
  <c r="P110" i="4"/>
  <c r="P118" i="4"/>
  <c r="A75" i="4"/>
  <c r="F306" i="3"/>
  <c r="E306" i="3"/>
  <c r="A63" i="4"/>
  <c r="D278" i="3"/>
  <c r="T266" i="3"/>
  <c r="M272" i="3"/>
  <c r="M136" i="3"/>
  <c r="M338" i="3"/>
  <c r="M204" i="3"/>
  <c r="M68" i="3"/>
  <c r="AK25" i="3"/>
  <c r="P236" i="3" s="1"/>
  <c r="AD38" i="3"/>
  <c r="AC38" i="3" s="1"/>
  <c r="AK24" i="3"/>
  <c r="AK23" i="3"/>
  <c r="P235" i="3" s="1"/>
  <c r="AK22" i="3"/>
  <c r="P234" i="3" s="1"/>
  <c r="AK21" i="3"/>
  <c r="P260" i="3" s="1"/>
  <c r="AK16" i="3"/>
  <c r="AL17" i="3"/>
  <c r="AL22" i="3"/>
  <c r="Q234" i="3" s="1"/>
  <c r="AL24" i="3"/>
  <c r="D68" i="3"/>
  <c r="M206" i="3"/>
  <c r="M138" i="3"/>
  <c r="M274" i="3"/>
  <c r="M70" i="3"/>
  <c r="F278" i="3"/>
  <c r="A77" i="4"/>
  <c r="A65" i="4"/>
  <c r="AD15" i="3"/>
  <c r="AC15" i="3" s="1"/>
  <c r="F22" i="3"/>
  <c r="AK15" i="3"/>
  <c r="P257" i="3" s="1"/>
  <c r="D295" i="3" s="1"/>
  <c r="AD40" i="3"/>
  <c r="AC40" i="3" s="1"/>
  <c r="AL25" i="3"/>
  <c r="Q236" i="3" s="1"/>
  <c r="AL20" i="3"/>
  <c r="Q259" i="3" s="1"/>
  <c r="AL16" i="3"/>
  <c r="AK18" i="3"/>
  <c r="AK19" i="3"/>
  <c r="AD35" i="3"/>
  <c r="AC35" i="3" s="1"/>
  <c r="I232" i="3"/>
  <c r="H232" i="3"/>
  <c r="D64" i="4"/>
  <c r="D66" i="4"/>
  <c r="D69" i="4"/>
  <c r="M337" i="3"/>
  <c r="M271" i="3"/>
  <c r="M135" i="3"/>
  <c r="M203" i="3"/>
  <c r="M67" i="3"/>
  <c r="F10" i="3"/>
  <c r="F11" i="3"/>
  <c r="AL21" i="3"/>
  <c r="Q260" i="3" s="1"/>
  <c r="AL23" i="3"/>
  <c r="Q235" i="3" s="1"/>
  <c r="U258" i="3"/>
  <c r="D338" i="3"/>
  <c r="D272" i="3"/>
  <c r="D204" i="3"/>
  <c r="D136" i="3"/>
  <c r="K11" i="3"/>
  <c r="K12" i="3"/>
  <c r="K13" i="3"/>
  <c r="AD13" i="3"/>
  <c r="AC13" i="3" s="1"/>
  <c r="K21" i="3"/>
  <c r="AK14" i="3"/>
  <c r="P232" i="3" s="1"/>
  <c r="AK17" i="3"/>
  <c r="K27" i="3"/>
  <c r="AK20" i="3"/>
  <c r="P259" i="3" s="1"/>
  <c r="AD34" i="3"/>
  <c r="AC34" i="3" s="1"/>
  <c r="D63" i="4"/>
  <c r="D65" i="4"/>
  <c r="D67" i="4"/>
  <c r="L78" i="3"/>
  <c r="F148" i="3"/>
  <c r="U190" i="3"/>
  <c r="T199" i="3"/>
  <c r="G188" i="3" s="1"/>
  <c r="T218" i="3"/>
  <c r="R219" i="3"/>
  <c r="F246" i="3" s="1"/>
  <c r="C282" i="3"/>
  <c r="E282" i="3" s="1"/>
  <c r="E289" i="3" s="1"/>
  <c r="B63" i="4"/>
  <c r="C63" i="4" s="1"/>
  <c r="C283" i="3"/>
  <c r="E283" i="3" s="1"/>
  <c r="B64" i="4"/>
  <c r="C64" i="4" s="1"/>
  <c r="C284" i="3"/>
  <c r="E284" i="3" s="1"/>
  <c r="B65" i="4"/>
  <c r="C65" i="4" s="1"/>
  <c r="B66" i="4"/>
  <c r="C66" i="4" s="1"/>
  <c r="C285" i="3"/>
  <c r="E285" i="3" s="1"/>
  <c r="X234" i="3"/>
  <c r="E67" i="4" s="1"/>
  <c r="B68" i="4"/>
  <c r="C68" i="4" s="1"/>
  <c r="C287" i="3"/>
  <c r="E287" i="3" s="1"/>
  <c r="X236" i="3"/>
  <c r="E69" i="4" s="1"/>
  <c r="W243" i="3"/>
  <c r="X244" i="3"/>
  <c r="L283" i="3" s="1"/>
  <c r="U248" i="3"/>
  <c r="U249" i="3" s="1"/>
  <c r="C75" i="4"/>
  <c r="D308" i="3"/>
  <c r="Q279" i="3"/>
  <c r="D312" i="3" s="1"/>
  <c r="U184" i="3"/>
  <c r="U187" i="3"/>
  <c r="S219" i="3"/>
  <c r="G246" i="3" s="1"/>
  <c r="F229" i="3"/>
  <c r="W235" i="3"/>
  <c r="I282" i="3"/>
  <c r="T248" i="3"/>
  <c r="I287" i="3" s="1"/>
  <c r="T247" i="3"/>
  <c r="X243" i="3"/>
  <c r="E245" i="3"/>
  <c r="X260" i="3"/>
  <c r="G301" i="3" s="1"/>
  <c r="W260" i="3"/>
  <c r="F301" i="3" s="1"/>
  <c r="Q84" i="4"/>
  <c r="S84" i="4"/>
  <c r="O84" i="4"/>
  <c r="R84" i="4"/>
  <c r="P84" i="4"/>
  <c r="Q88" i="4"/>
  <c r="S88" i="4"/>
  <c r="O88" i="4"/>
  <c r="R88" i="4"/>
  <c r="P88" i="4"/>
  <c r="Q92" i="4"/>
  <c r="S92" i="4"/>
  <c r="O92" i="4"/>
  <c r="R92" i="4"/>
  <c r="P92" i="4"/>
  <c r="U183" i="3"/>
  <c r="U185" i="3"/>
  <c r="U188" i="3"/>
  <c r="B69" i="4"/>
  <c r="C69" i="4" s="1"/>
  <c r="C288" i="3"/>
  <c r="E288" i="3" s="1"/>
  <c r="E301" i="3"/>
  <c r="V247" i="3"/>
  <c r="V248" i="3"/>
  <c r="J287" i="3" s="1"/>
  <c r="W244" i="3"/>
  <c r="K283" i="3" s="1"/>
  <c r="X245" i="3"/>
  <c r="L284" i="3" s="1"/>
  <c r="C286" i="3"/>
  <c r="E286" i="3" s="1"/>
  <c r="P70" i="4"/>
  <c r="R70" i="4"/>
  <c r="Q70" i="4"/>
  <c r="O70" i="4"/>
  <c r="X259" i="3"/>
  <c r="G300" i="3" s="1"/>
  <c r="S279" i="3"/>
  <c r="F312" i="3" s="1"/>
  <c r="J285" i="3"/>
  <c r="F308" i="3"/>
  <c r="Q64" i="4"/>
  <c r="R65" i="4"/>
  <c r="R67" i="4"/>
  <c r="R69" i="4"/>
  <c r="R71" i="4"/>
  <c r="C78" i="4"/>
  <c r="S87" i="4"/>
  <c r="O87" i="4"/>
  <c r="Q87" i="4"/>
  <c r="S91" i="4"/>
  <c r="O91" i="4"/>
  <c r="Q91" i="4"/>
  <c r="S95" i="4"/>
  <c r="O95" i="4"/>
  <c r="Q95" i="4"/>
  <c r="T279" i="3"/>
  <c r="G312" i="3" s="1"/>
  <c r="E298" i="3"/>
  <c r="R64" i="4"/>
  <c r="S69" i="4"/>
  <c r="S71" i="4"/>
  <c r="S75" i="4"/>
  <c r="O75" i="4"/>
  <c r="Q75" i="4"/>
  <c r="S76" i="4"/>
  <c r="O76" i="4"/>
  <c r="Q76" i="4"/>
  <c r="S79" i="4"/>
  <c r="O79" i="4"/>
  <c r="Q79" i="4"/>
  <c r="Q83" i="4"/>
  <c r="S83" i="4"/>
  <c r="O83" i="4"/>
  <c r="Q86" i="4"/>
  <c r="S86" i="4"/>
  <c r="O86" i="4"/>
  <c r="Q90" i="4"/>
  <c r="S90" i="4"/>
  <c r="O90" i="4"/>
  <c r="Q94" i="4"/>
  <c r="S94" i="4"/>
  <c r="O94" i="4"/>
  <c r="S97" i="4"/>
  <c r="O97" i="4"/>
  <c r="Q97" i="4"/>
  <c r="P97" i="4"/>
  <c r="S99" i="4"/>
  <c r="O99" i="4"/>
  <c r="Q99" i="4"/>
  <c r="P99" i="4"/>
  <c r="S101" i="4"/>
  <c r="O101" i="4"/>
  <c r="Q101" i="4"/>
  <c r="P101" i="4"/>
  <c r="S103" i="4"/>
  <c r="O103" i="4"/>
  <c r="Q103" i="4"/>
  <c r="P103" i="4"/>
  <c r="S105" i="4"/>
  <c r="O105" i="4"/>
  <c r="Q105" i="4"/>
  <c r="P105" i="4"/>
  <c r="S107" i="4"/>
  <c r="O107" i="4"/>
  <c r="Q107" i="4"/>
  <c r="P107" i="4"/>
  <c r="S109" i="4"/>
  <c r="O109" i="4"/>
  <c r="Q109" i="4"/>
  <c r="P109" i="4"/>
  <c r="S111" i="4"/>
  <c r="O111" i="4"/>
  <c r="Q111" i="4"/>
  <c r="P111" i="4"/>
  <c r="S113" i="4"/>
  <c r="O113" i="4"/>
  <c r="Q113" i="4"/>
  <c r="P113" i="4"/>
  <c r="S115" i="4"/>
  <c r="O115" i="4"/>
  <c r="Q115" i="4"/>
  <c r="P115" i="4"/>
  <c r="S117" i="4"/>
  <c r="O117" i="4"/>
  <c r="Q117" i="4"/>
  <c r="P117" i="4"/>
  <c r="S119" i="4"/>
  <c r="O119" i="4"/>
  <c r="Q119" i="4"/>
  <c r="P119" i="4"/>
  <c r="S121" i="4"/>
  <c r="O121" i="4"/>
  <c r="Q121" i="4"/>
  <c r="P121" i="4"/>
  <c r="O64" i="4"/>
  <c r="O69" i="4"/>
  <c r="O71" i="4"/>
  <c r="P75" i="4"/>
  <c r="P76" i="4"/>
  <c r="P79" i="4"/>
  <c r="S82" i="4"/>
  <c r="O82" i="4"/>
  <c r="Q82" i="4"/>
  <c r="P83" i="4"/>
  <c r="S85" i="4"/>
  <c r="O85" i="4"/>
  <c r="Q85" i="4"/>
  <c r="P86" i="4"/>
  <c r="R87" i="4"/>
  <c r="S89" i="4"/>
  <c r="O89" i="4"/>
  <c r="Q89" i="4"/>
  <c r="P90" i="4"/>
  <c r="R91" i="4"/>
  <c r="S93" i="4"/>
  <c r="O93" i="4"/>
  <c r="Q93" i="4"/>
  <c r="P94" i="4"/>
  <c r="R95" i="4"/>
  <c r="R97" i="4"/>
  <c r="R99" i="4"/>
  <c r="R101" i="4"/>
  <c r="R103" i="4"/>
  <c r="R105" i="4"/>
  <c r="R107" i="4"/>
  <c r="R109" i="4"/>
  <c r="R111" i="4"/>
  <c r="R113" i="4"/>
  <c r="R115" i="4"/>
  <c r="R117" i="4"/>
  <c r="R119" i="4"/>
  <c r="R121" i="4"/>
  <c r="R96" i="4"/>
  <c r="R98" i="4"/>
  <c r="R100" i="4"/>
  <c r="R102" i="4"/>
  <c r="R104" i="4"/>
  <c r="R106" i="4"/>
  <c r="R108" i="4"/>
  <c r="R110" i="4"/>
  <c r="R112" i="4"/>
  <c r="R114" i="4"/>
  <c r="R116" i="4"/>
  <c r="R118" i="4"/>
  <c r="R120" i="4"/>
  <c r="R122" i="4"/>
  <c r="P73" i="4"/>
  <c r="P77" i="4"/>
  <c r="P78" i="4"/>
  <c r="P81" i="4"/>
  <c r="O96" i="4"/>
  <c r="S96" i="4"/>
  <c r="O98" i="4"/>
  <c r="S98" i="4"/>
  <c r="O100" i="4"/>
  <c r="S100" i="4"/>
  <c r="O102" i="4"/>
  <c r="S102" i="4"/>
  <c r="O104" i="4"/>
  <c r="S104" i="4"/>
  <c r="O106" i="4"/>
  <c r="S106" i="4"/>
  <c r="O108" i="4"/>
  <c r="S108" i="4"/>
  <c r="O110" i="4"/>
  <c r="S110" i="4"/>
  <c r="O112" i="4"/>
  <c r="S112" i="4"/>
  <c r="O114" i="4"/>
  <c r="S114" i="4"/>
  <c r="O116" i="4"/>
  <c r="S116" i="4"/>
  <c r="O118" i="4"/>
  <c r="S118" i="4"/>
  <c r="O120" i="4"/>
  <c r="S120" i="4"/>
  <c r="O122" i="4"/>
  <c r="S122" i="4"/>
  <c r="G187" i="3" l="1"/>
  <c r="G306" i="3"/>
  <c r="Q266" i="3"/>
  <c r="U266" i="3"/>
  <c r="E70" i="4"/>
  <c r="L240" i="3"/>
  <c r="C84" i="4"/>
  <c r="B84" i="4"/>
  <c r="A84" i="4"/>
  <c r="X215" i="3" s="1"/>
  <c r="L242" i="3" s="1"/>
  <c r="S266" i="3"/>
  <c r="D306" i="3"/>
  <c r="E84" i="4"/>
  <c r="B82" i="4"/>
  <c r="D84" i="4"/>
  <c r="E71" i="4"/>
  <c r="V258" i="3"/>
  <c r="E299" i="3" s="1"/>
  <c r="V249" i="3"/>
  <c r="J288" i="3" s="1"/>
  <c r="J289" i="3" s="1"/>
  <c r="J286" i="3"/>
  <c r="K282" i="3"/>
  <c r="W247" i="3"/>
  <c r="W248" i="3"/>
  <c r="K287" i="3" s="1"/>
  <c r="I228" i="3"/>
  <c r="H228" i="3"/>
  <c r="X248" i="3"/>
  <c r="L287" i="3" s="1"/>
  <c r="L282" i="3"/>
  <c r="X247" i="3"/>
  <c r="D68" i="4"/>
  <c r="D71" i="4" s="1"/>
  <c r="I230" i="3"/>
  <c r="H230" i="3"/>
  <c r="C79" i="4"/>
  <c r="C80" i="4"/>
  <c r="M57" i="3"/>
  <c r="L57" i="3"/>
  <c r="I231" i="3"/>
  <c r="H231"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D70" i="4" l="1"/>
  <c r="L286" i="3"/>
  <c r="X258" i="3"/>
  <c r="G299" i="3" s="1"/>
  <c r="X249" i="3"/>
  <c r="L288" i="3" s="1"/>
  <c r="AD87" i="3"/>
  <c r="W258"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4" l="1"/>
  <c r="X216" i="3"/>
  <c r="X221" i="3" s="1"/>
  <c r="L241" i="3"/>
  <c r="K33" i="1" l="1"/>
  <c r="L243" i="3"/>
  <c r="AD85" i="3"/>
  <c r="X218" i="3"/>
  <c r="L245" i="3" s="1"/>
  <c r="L247" i="3"/>
  <c r="X222" i="3"/>
  <c r="L248" i="3" s="1"/>
</calcChain>
</file>

<file path=xl/comments1.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 ref="L37"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EM</author>
  </authors>
  <commentList>
    <comment ref="A86"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<sst xmlns="http://schemas.openxmlformats.org/spreadsheetml/2006/main" count="1131" uniqueCount="507">
  <si>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</si>
  <si>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</si>
  <si>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</si>
  <si>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</si>
  <si>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</si>
  <si>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</si>
  <si>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</si>
  <si>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</si>
  <si>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</si>
  <si>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</si>
  <si>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</si>
  <si>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</si>
  <si>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</si>
  <si>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</si>
  <si>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</si>
  <si>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</si>
  <si>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</si>
  <si>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</si>
  <si>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</si>
  <si>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</si>
  <si>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</si>
  <si>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</si>
  <si>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</si>
  <si>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</si>
  <si>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</si>
  <si>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</si>
  <si>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</si>
  <si>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</si>
  <si>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</si>
  <si>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</si>
  <si>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</si>
  <si>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</si>
  <si>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</si>
  <si>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</si>
  <si>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</si>
  <si>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</si>
  <si>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</si>
  <si>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</si>
  <si>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</si>
  <si>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</si>
  <si>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</si>
  <si>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</si>
  <si>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</si>
  <si>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</si>
  <si>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</si>
  <si>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</si>
  <si>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</si>
  <si>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</si>
  <si>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</si>
  <si>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</si>
  <si>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</si>
  <si>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</si>
  <si>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</si>
  <si>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</si>
  <si>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</si>
  <si>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</si>
  <si>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</si>
  <si>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</si>
  <si>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</si>
  <si>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</si>
  <si>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</si>
  <si>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</si>
  <si>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</si>
  <si>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</si>
  <si>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</si>
  <si>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</si>
  <si>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</si>
  <si>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</si>
  <si>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</si>
  <si>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</si>
  <si>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</si>
  <si>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</si>
  <si>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</si>
  <si>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</si>
  <si>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</si>
  <si>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</si>
  <si>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</si>
  <si>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</si>
  <si>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</si>
  <si>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</si>
  <si>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</si>
  <si>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</si>
  <si>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</si>
  <si>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</si>
  <si>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</si>
  <si>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</si>
  <si>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</si>
  <si>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</si>
  <si>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</si>
  <si>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</si>
  <si>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</si>
  <si>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</si>
  <si>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</si>
  <si>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</si>
  <si>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</si>
  <si>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</si>
  <si>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</si>
  <si>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</si>
  <si>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</si>
  <si>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</si>
  <si>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</si>
  <si>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</si>
  <si>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</si>
  <si>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</si>
  <si>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</si>
  <si>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</si>
  <si>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</si>
  <si>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</si>
  <si>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</si>
  <si>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</si>
  <si>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</si>
  <si>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</si>
  <si>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</si>
  <si>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</si>
  <si>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</si>
  <si>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</si>
  <si>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</si>
  <si>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</si>
  <si>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</si>
  <si>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</si>
  <si>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</si>
  <si>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</si>
  <si>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</si>
  <si>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</si>
  <si>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</si>
  <si>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</si>
  <si>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</si>
  <si>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</si>
  <si>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</si>
  <si>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</si>
  <si>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</si>
  <si>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</si>
  <si>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</si>
  <si>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</si>
  <si>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</si>
  <si>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</si>
  <si>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</si>
  <si>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</si>
  <si>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</si>
  <si>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</si>
  <si>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</si>
  <si>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</si>
  <si>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</si>
  <si>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</si>
  <si>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</si>
  <si>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</si>
  <si>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</si>
  <si>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</si>
  <si>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</si>
  <si>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</si>
  <si>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</si>
  <si>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</si>
  <si>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</si>
  <si>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</si>
  <si>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</si>
  <si>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</si>
  <si>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</si>
  <si>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</si>
  <si>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</si>
  <si>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</si>
  <si>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</si>
  <si>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</si>
  <si>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</si>
  <si>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</si>
  <si>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</si>
  <si>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</si>
  <si>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</si>
  <si>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</si>
  <si>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</si>
  <si>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</si>
  <si>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</si>
  <si>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</si>
  <si>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</si>
  <si>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</si>
  <si>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</si>
  <si>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</si>
  <si>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</si>
  <si>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</si>
  <si>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</si>
  <si>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</si>
  <si>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</si>
  <si>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</si>
  <si>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</si>
  <si>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</si>
  <si>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</si>
  <si>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</si>
  <si>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</si>
  <si>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</si>
  <si>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</si>
  <si>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</si>
  <si>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</si>
  <si>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</si>
  <si>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</si>
  <si>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</si>
  <si>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</si>
  <si>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</si>
  <si>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</si>
  <si>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</si>
  <si>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</si>
  <si>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</si>
  <si>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</si>
  <si>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</si>
  <si>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</si>
  <si>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</si>
  <si>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</si>
  <si>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</si>
  <si>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</si>
  <si>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</si>
  <si>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</si>
  <si>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</si>
  <si>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</si>
  <si>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</si>
  <si>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</si>
  <si>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</si>
  <si>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</si>
  <si>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</si>
  <si>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</si>
  <si>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</si>
  <si>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</si>
  <si>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</si>
  <si>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</si>
  <si>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</si>
  <si>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</si>
  <si>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</si>
  <si>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</si>
  <si>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</si>
  <si>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</si>
  <si>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</si>
  <si>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</si>
  <si>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</si>
  <si>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</si>
  <si>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</si>
  <si>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</si>
  <si>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</si>
  <si>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</si>
  <si>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</si>
  <si>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</si>
  <si>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</si>
  <si>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</si>
  <si>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</si>
  <si>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</si>
  <si>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</si>
  <si>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</si>
  <si>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</si>
  <si>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</si>
  <si>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</si>
  <si>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</si>
  <si>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</si>
  <si>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</si>
  <si>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</si>
  <si>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</si>
  <si>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</si>
  <si>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</si>
  <si>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</si>
  <si>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</si>
  <si>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</si>
  <si>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</si>
  <si>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</si>
  <si>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</si>
  <si>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</si>
  <si>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</si>
  <si>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</si>
  <si>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</si>
  <si>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</si>
  <si>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</si>
  <si>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</si>
  <si>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</si>
  <si>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</si>
  <si>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</si>
  <si>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</si>
  <si>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</si>
  <si>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</si>
  <si>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</si>
  <si>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</si>
  <si>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</si>
  <si>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</si>
  <si>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</si>
  <si>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</si>
  <si>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</si>
  <si>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</si>
  <si>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</si>
  <si>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</si>
  <si>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</si>
  <si>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</si>
  <si>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</si>
  <si>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</si>
  <si>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</si>
  <si>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</si>
  <si>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</si>
  <si>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</si>
  <si>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</si>
  <si>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</si>
  <si>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</si>
  <si>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</si>
  <si>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</si>
  <si>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</si>
  <si>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</si>
  <si>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</si>
  <si>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</si>
  <si>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</si>
  <si>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</si>
  <si>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</si>
  <si>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</si>
  <si>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</si>
  <si>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</si>
  <si>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</si>
  <si>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</si>
  <si>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</si>
  <si>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</si>
  <si>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</si>
  <si>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</si>
  <si>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</si>
  <si>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</si>
  <si>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</si>
  <si>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</si>
  <si>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</si>
  <si>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</si>
  <si>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</si>
  <si>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</si>
  <si>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</si>
  <si>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</si>
  <si>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</si>
  <si>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</si>
  <si>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</si>
  <si>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</si>
  <si>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</si>
  <si>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</si>
  <si>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</si>
  <si>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</si>
  <si>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</si>
  <si>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</si>
  <si>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</si>
  <si>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</si>
  <si>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</si>
  <si>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</si>
  <si>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</si>
  <si>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</si>
  <si>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</si>
  <si>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</si>
  <si>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</si>
  <si>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</si>
  <si>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</si>
  <si>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</si>
  <si>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</si>
  <si>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</si>
  <si>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</si>
  <si>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</si>
  <si>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</si>
  <si>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</si>
  <si>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</si>
  <si>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</si>
  <si>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</si>
  <si>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</si>
  <si>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</si>
  <si>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</si>
  <si>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</si>
  <si>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</si>
  <si>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</si>
  <si>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</si>
  <si>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</si>
  <si>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</si>
  <si>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</si>
  <si>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</si>
  <si>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</si>
  <si>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</si>
  <si>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</si>
  <si>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</si>
  <si>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</si>
  <si>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</si>
  <si>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</si>
  <si>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</si>
  <si>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</si>
  <si>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Calibration Date:</t>
  </si>
  <si>
    <t>Serial #:</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</si>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</sst>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6"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s>
  <fills count="12">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8">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4" fillId="0" borderId="0" xfId="8" applyFont="1" applyAlignment="1">
      <alignment horizontal="center" vertical="center"/>
    </xf>
    <xf numFmtId="0" fontId="6" fillId="0" borderId="0" xfId="8" applyFont="1" applyAlignment="1">
      <alignment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0" fontId="6" fillId="0" borderId="23" xfId="0" applyFont="1" applyBorder="1" applyAlignment="1">
      <alignment horizontal="center" vertical="center"/>
    </xf>
    <xf numFmtId="170" fontId="0" fillId="0" borderId="0" xfId="0" applyNumberFormat="1" applyFont="1" applyAlignment="1">
      <alignment horizontal="center"/>
    </xf>
    <xf numFmtId="2" fontId="0" fillId="0" borderId="0" xfId="0" applyNumberFormat="1" applyFont="1" applyAlignment="1">
      <alignment horizontal="center"/>
    </xf>
    <xf numFmtId="2" fontId="6" fillId="0" borderId="23" xfId="8" applyNumberFormat="1" applyFont="1" applyFill="1" applyBorder="1" applyAlignment="1">
      <alignment horizontal="center" vertical="center"/>
    </xf>
    <xf numFmtId="0" fontId="10" fillId="0" borderId="75" xfId="0" applyFont="1" applyFill="1" applyBorder="1" applyAlignment="1">
      <alignment horizontal="center" vertical="center"/>
    </xf>
    <xf numFmtId="0" fontId="17" fillId="0" borderId="0" xfId="0" applyFont="1" applyAlignment="1">
      <alignment vertical="center"/>
    </xf>
    <xf numFmtId="0" fontId="10" fillId="0" borderId="92" xfId="0" applyFont="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167" fontId="10" fillId="0" borderId="23" xfId="0" applyNumberFormat="1" applyFont="1" applyFill="1" applyBorder="1" applyAlignment="1">
      <alignment horizontal="center" vertical="center"/>
    </xf>
    <xf numFmtId="2" fontId="10" fillId="0" borderId="23" xfId="0" applyNumberFormat="1" applyFont="1" applyFill="1" applyBorder="1" applyAlignment="1">
      <alignment horizontal="center" vertical="center"/>
    </xf>
    <xf numFmtId="0" fontId="33" fillId="0" borderId="0" xfId="8" applyFont="1" applyFill="1" applyBorder="1" applyAlignment="1">
      <alignment horizontal="center"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27" fillId="0" borderId="0" xfId="8" applyFont="1" applyFill="1" applyAlignment="1">
      <alignment horizontal="center"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26" fillId="0" borderId="0" xfId="8" applyFont="1" applyFill="1" applyAlignment="1">
      <alignment horizontal="center" vertical="center"/>
    </xf>
    <xf numFmtId="174" fontId="10" fillId="0" borderId="91" xfId="8" applyNumberFormat="1" applyFont="1" applyFill="1" applyBorder="1" applyAlignment="1">
      <alignment horizontal="center" vertical="center"/>
    </xf>
    <xf numFmtId="174" fontId="10" fillId="0" borderId="24" xfId="8" applyNumberFormat="1" applyFont="1" applyFill="1" applyBorder="1" applyAlignment="1">
      <alignment horizontal="center" vertical="center"/>
    </xf>
    <xf numFmtId="174" fontId="10" fillId="0" borderId="90" xfId="8" applyNumberFormat="1" applyFont="1" applyFill="1" applyBorder="1" applyAlignment="1">
      <alignment horizontal="center" vertical="center"/>
    </xf>
    <xf numFmtId="0" fontId="26" fillId="0" borderId="0" xfId="8" applyFont="1" applyBorder="1" applyAlignment="1">
      <alignment horizontal="center" vertical="center"/>
    </xf>
    <xf numFmtId="0" fontId="26" fillId="0" borderId="0" xfId="8" applyFont="1" applyAlignment="1">
      <alignment horizontal="center" vertical="center"/>
    </xf>
    <xf numFmtId="0" fontId="35" fillId="0" borderId="0" xfId="8" applyFont="1" applyAlignment="1">
      <alignment horizontal="center"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0" fillId="0" borderId="22" xfId="0" applyFont="1" applyBorder="1" applyAlignment="1">
      <alignment horizontal="center" vertical="center"/>
    </xf>
    <xf numFmtId="0" fontId="10" fillId="0" borderId="24" xfId="0" applyFont="1" applyBorder="1" applyAlignment="1">
      <alignment horizontal="center" vertical="center"/>
    </xf>
    <xf numFmtId="166" fontId="10" fillId="0" borderId="22" xfId="0" applyNumberFormat="1" applyFont="1" applyBorder="1" applyAlignment="1">
      <alignment horizontal="center" vertical="center"/>
    </xf>
    <xf numFmtId="0" fontId="10" fillId="4" borderId="26" xfId="0" applyFont="1" applyFill="1" applyBorder="1" applyAlignment="1">
      <alignment horizontal="center" vertical="center"/>
    </xf>
    <xf numFmtId="0" fontId="10" fillId="4" borderId="30" xfId="0" applyFont="1" applyFill="1" applyBorder="1" applyAlignment="1">
      <alignment horizontal="center" vertical="center"/>
    </xf>
    <xf numFmtId="0" fontId="17" fillId="0" borderId="8" xfId="0"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0" xfId="0" applyFont="1" applyAlignment="1">
      <alignment horizontal="center" vertical="center"/>
    </xf>
    <xf numFmtId="0" fontId="14" fillId="0" borderId="8" xfId="0" applyFont="1" applyBorder="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0" fillId="0" borderId="62" xfId="0" applyFont="1" applyBorder="1" applyAlignment="1">
      <alignment horizontal="center"/>
    </xf>
    <xf numFmtId="0" fontId="0" fillId="0" borderId="61" xfId="0" applyFont="1" applyBorder="1" applyAlignment="1">
      <alignment horizont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cellXfs>
  <cellStyles count="9">
    <cellStyle name="Date" xfId="7"/>
    <cellStyle name="Fail" xfId="5"/>
    <cellStyle name="Heading" xfId="3"/>
    <cellStyle name="Heading1" xfId="4"/>
    <cellStyle name="Normal" xfId="0" builtinId="0"/>
    <cellStyle name="Normal 2" xfId="8"/>
    <cellStyle name="Pass" xfId="6"/>
    <cellStyle name="Result" xfId="1"/>
    <cellStyle name="Result2" xfId="2"/>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971550</xdr:colOff>
          <xdr:row>35</xdr:row>
          <xdr:rowOff>19050</xdr:rowOff>
        </xdr:from>
        <xdr:to>
          <xdr:col>3</xdr:col>
          <xdr:colOff>123825</xdr:colOff>
          <xdr:row>36</xdr:row>
          <xdr:rowOff>9525</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542925</xdr:colOff>
          <xdr:row>35</xdr:row>
          <xdr:rowOff>19050</xdr:rowOff>
        </xdr:from>
        <xdr:to>
          <xdr:col>9</xdr:col>
          <xdr:colOff>142875</xdr:colOff>
          <xdr:row>36</xdr:row>
          <xdr:rowOff>9525</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zoomScaleNormal="100" workbookViewId="0">
      <selection activeCell="J32" sqref="J32"/>
    </sheetView>
  </sheetViews>
  <sheetFormatPr defaultRowHeight="12.75" x14ac:dyDescent="0.2"/>
  <cols>
    <col min="1" max="1" width="5.7109375" style="371" customWidth="1"/>
    <col min="2" max="2" width="6.28515625" style="371" customWidth="1"/>
    <col min="3" max="3" width="17.28515625" style="371" customWidth="1"/>
    <col min="4" max="4" width="13.7109375" style="371" customWidth="1"/>
    <col min="5" max="5" width="6.5703125" style="371" customWidth="1"/>
    <col min="6" max="7" width="4.7109375" style="371" customWidth="1"/>
    <col min="8" max="8" width="8.7109375" style="371" customWidth="1"/>
    <col min="9" max="9" width="10.5703125" style="371" customWidth="1"/>
    <col min="10" max="10" width="11.7109375" style="371" customWidth="1"/>
    <col min="11" max="11" width="9.7109375" style="371" customWidth="1"/>
    <col min="12" max="12" width="8.7109375" style="371" customWidth="1"/>
    <col min="13" max="13" width="9.7109375" style="371" customWidth="1"/>
    <col min="14" max="16384" width="9.140625" style="371"/>
  </cols>
  <sheetData>
    <row r="1" spans="1:14" ht="25.5" x14ac:dyDescent="0.2">
      <c r="A1" s="430" t="s">
        <v>0</v>
      </c>
      <c r="B1" s="430"/>
      <c r="C1" s="430"/>
      <c r="D1" s="430"/>
      <c r="E1" s="430"/>
      <c r="F1" s="430"/>
      <c r="G1" s="430"/>
      <c r="H1" s="430"/>
      <c r="I1" s="430"/>
      <c r="J1" s="430"/>
      <c r="K1" s="430"/>
      <c r="L1" s="430"/>
      <c r="M1" s="430"/>
    </row>
    <row r="2" spans="1:14" ht="25.5" x14ac:dyDescent="0.2">
      <c r="A2" s="430" t="s">
        <v>1</v>
      </c>
      <c r="B2" s="430"/>
      <c r="C2" s="430"/>
      <c r="D2" s="430"/>
      <c r="E2" s="430"/>
      <c r="F2" s="430"/>
      <c r="G2" s="430"/>
      <c r="H2" s="430"/>
      <c r="I2" s="430"/>
      <c r="J2" s="430"/>
      <c r="K2" s="430"/>
      <c r="L2" s="430"/>
      <c r="M2" s="430"/>
    </row>
    <row r="3" spans="1:14" ht="15" customHeight="1" x14ac:dyDescent="0.2">
      <c r="A3" s="372"/>
      <c r="B3" s="372"/>
      <c r="C3" s="372"/>
      <c r="D3" s="372"/>
      <c r="E3" s="372"/>
      <c r="F3" s="372"/>
      <c r="G3" s="372"/>
      <c r="H3" s="372"/>
      <c r="I3" s="372"/>
      <c r="J3" s="372"/>
      <c r="K3" s="372"/>
      <c r="L3" s="372"/>
      <c r="M3" s="372"/>
    </row>
    <row r="4" spans="1:14" ht="18" customHeight="1" x14ac:dyDescent="0.2">
      <c r="A4" s="373" t="s">
        <v>2</v>
      </c>
      <c r="B4" s="373"/>
      <c r="C4" s="420" t="str">
        <f>Sheet1!R10&amp;" "&amp;Sheet1!R11</f>
        <v xml:space="preserve"> </v>
      </c>
      <c r="D4" s="421"/>
      <c r="E4" s="421"/>
      <c r="F4" s="421"/>
      <c r="G4" s="421"/>
      <c r="H4" s="422"/>
      <c r="I4" s="374"/>
      <c r="J4" s="375" t="s">
        <v>3</v>
      </c>
      <c r="K4" s="431"/>
      <c r="L4" s="432"/>
      <c r="M4" s="433"/>
    </row>
    <row r="5" spans="1:14" ht="18" customHeight="1" x14ac:dyDescent="0.2">
      <c r="A5" s="373" t="s">
        <v>4</v>
      </c>
      <c r="B5" s="373"/>
      <c r="C5" s="420"/>
      <c r="D5" s="421"/>
      <c r="E5" s="421"/>
      <c r="F5" s="421"/>
      <c r="G5" s="421"/>
      <c r="H5" s="422"/>
      <c r="I5" s="374"/>
      <c r="J5" s="375" t="s">
        <v>5</v>
      </c>
      <c r="K5" s="431">
        <f>Sheet1!P7</f>
        <v>0</v>
      </c>
      <c r="L5" s="432"/>
      <c r="M5" s="433"/>
    </row>
    <row r="6" spans="1:14" ht="18" customHeight="1" x14ac:dyDescent="0.2">
      <c r="A6" s="373" t="s">
        <v>6</v>
      </c>
      <c r="B6" s="373"/>
      <c r="C6" s="373"/>
      <c r="D6" s="420" t="str">
        <f>Sheet1!F16</f>
        <v/>
      </c>
      <c r="E6" s="421"/>
      <c r="F6" s="421"/>
      <c r="G6" s="421"/>
      <c r="H6" s="422"/>
      <c r="I6" s="374"/>
      <c r="J6" s="375" t="s">
        <v>7</v>
      </c>
      <c r="K6" s="420" t="str">
        <f>Sheet1!F17</f>
        <v/>
      </c>
      <c r="L6" s="421"/>
      <c r="M6" s="422"/>
    </row>
    <row r="7" spans="1:14" ht="18" customHeight="1" x14ac:dyDescent="0.2">
      <c r="A7" s="373" t="s">
        <v>8</v>
      </c>
      <c r="B7" s="373"/>
      <c r="C7" s="373"/>
      <c r="D7" s="427" t="str">
        <f>Sheet1!V12</f>
        <v/>
      </c>
      <c r="E7" s="428"/>
      <c r="F7" s="428"/>
      <c r="G7" s="428"/>
      <c r="H7" s="429"/>
      <c r="I7" s="374"/>
      <c r="J7" s="375" t="s">
        <v>9</v>
      </c>
      <c r="K7" s="420" t="str">
        <f>Sheet1!R14</f>
        <v/>
      </c>
      <c r="L7" s="421"/>
      <c r="M7" s="422"/>
    </row>
    <row r="8" spans="1:14" ht="18" customHeight="1" x14ac:dyDescent="0.2">
      <c r="A8" s="373" t="s">
        <v>10</v>
      </c>
      <c r="B8" s="373"/>
      <c r="C8" s="373"/>
      <c r="D8" s="427"/>
      <c r="E8" s="428"/>
      <c r="F8" s="428"/>
      <c r="G8" s="428"/>
      <c r="H8" s="429"/>
      <c r="I8" s="374"/>
      <c r="J8" s="375" t="s">
        <v>11</v>
      </c>
      <c r="K8" s="420"/>
      <c r="L8" s="421"/>
      <c r="M8" s="422"/>
    </row>
    <row r="9" spans="1:14" ht="18" customHeight="1" x14ac:dyDescent="0.2">
      <c r="A9" s="373" t="s">
        <v>12</v>
      </c>
      <c r="B9" s="373"/>
      <c r="C9" s="373"/>
      <c r="D9" s="427"/>
      <c r="E9" s="428"/>
      <c r="F9" s="428"/>
      <c r="G9" s="428"/>
      <c r="H9" s="429"/>
      <c r="I9" s="374"/>
      <c r="J9" s="375" t="s">
        <v>7</v>
      </c>
      <c r="K9" s="420"/>
      <c r="L9" s="421"/>
      <c r="M9" s="422"/>
    </row>
    <row r="10" spans="1:14" ht="18" customHeight="1" x14ac:dyDescent="0.2">
      <c r="A10" s="373" t="s">
        <v>13</v>
      </c>
      <c r="B10" s="373"/>
      <c r="C10" s="373"/>
      <c r="D10" s="427" t="str">
        <f>Sheet1!R17</f>
        <v/>
      </c>
      <c r="E10" s="428"/>
      <c r="F10" s="428"/>
      <c r="G10" s="428"/>
      <c r="H10" s="429"/>
      <c r="I10" s="374"/>
      <c r="J10" s="375" t="s">
        <v>7</v>
      </c>
      <c r="K10" s="420"/>
      <c r="L10" s="421"/>
      <c r="M10" s="422"/>
    </row>
    <row r="11" spans="1:14" ht="18" customHeight="1" x14ac:dyDescent="0.2">
      <c r="A11" s="373" t="s">
        <v>14</v>
      </c>
      <c r="B11" s="373"/>
      <c r="C11" s="373"/>
      <c r="D11" s="427" t="s">
        <v>93</v>
      </c>
      <c r="E11" s="428"/>
      <c r="F11" s="428"/>
      <c r="G11" s="428"/>
      <c r="H11" s="429"/>
      <c r="I11" s="374"/>
      <c r="J11" s="375" t="s">
        <v>15</v>
      </c>
      <c r="K11" s="420"/>
      <c r="L11" s="421"/>
      <c r="M11" s="422"/>
    </row>
    <row r="12" spans="1:14" ht="18" customHeight="1" x14ac:dyDescent="0.2">
      <c r="A12" s="373"/>
      <c r="B12" s="373"/>
      <c r="C12" s="374"/>
      <c r="D12" s="376"/>
      <c r="E12" s="376"/>
      <c r="F12" s="376"/>
      <c r="G12" s="376"/>
      <c r="H12" s="376"/>
      <c r="I12" s="374"/>
      <c r="J12" s="377"/>
      <c r="K12" s="378"/>
      <c r="L12" s="378"/>
      <c r="M12" s="378"/>
      <c r="N12" s="379"/>
    </row>
    <row r="13" spans="1:14" ht="18" customHeight="1" x14ac:dyDescent="0.2">
      <c r="A13" s="426" t="s">
        <v>16</v>
      </c>
      <c r="B13" s="426"/>
      <c r="C13" s="426"/>
      <c r="D13" s="426"/>
      <c r="E13" s="426"/>
      <c r="F13" s="426"/>
      <c r="G13" s="426"/>
      <c r="H13" s="426"/>
      <c r="I13" s="426"/>
      <c r="J13" s="426"/>
      <c r="K13" s="426"/>
      <c r="L13" s="426"/>
      <c r="M13" s="426"/>
    </row>
    <row r="14" spans="1:14" ht="18" customHeight="1" x14ac:dyDescent="0.2">
      <c r="M14" s="380" t="s">
        <v>17</v>
      </c>
    </row>
    <row r="15" spans="1:14" ht="18" customHeight="1" x14ac:dyDescent="0.2">
      <c r="A15" s="373" t="s">
        <v>18</v>
      </c>
      <c r="B15" s="373"/>
      <c r="C15" s="381"/>
      <c r="D15" s="373"/>
      <c r="E15" s="373"/>
      <c r="F15" s="373"/>
      <c r="G15" s="373"/>
      <c r="H15" s="373"/>
      <c r="I15" s="373"/>
      <c r="J15" s="373"/>
      <c r="K15" s="373"/>
      <c r="L15" s="373"/>
      <c r="M15" s="382"/>
    </row>
    <row r="16" spans="1:14" ht="18" customHeight="1" x14ac:dyDescent="0.2">
      <c r="A16" s="373" t="s">
        <v>19</v>
      </c>
      <c r="B16" s="373"/>
      <c r="C16" s="373"/>
      <c r="D16" s="373"/>
      <c r="E16" s="373"/>
      <c r="F16" s="373"/>
      <c r="G16" s="373"/>
      <c r="H16" s="373"/>
      <c r="I16" s="373"/>
      <c r="J16" s="373"/>
      <c r="K16" s="373"/>
      <c r="L16" s="373"/>
      <c r="M16" s="383"/>
    </row>
    <row r="17" spans="1:14" ht="18" customHeight="1" x14ac:dyDescent="0.2">
      <c r="A17" s="381"/>
      <c r="B17" s="381"/>
      <c r="C17" s="384" t="s">
        <v>20</v>
      </c>
      <c r="D17" s="381"/>
      <c r="E17" s="381"/>
      <c r="F17" s="381"/>
      <c r="G17" s="381"/>
      <c r="H17" s="381"/>
      <c r="I17" s="381"/>
      <c r="J17" s="381"/>
      <c r="K17" s="381"/>
      <c r="L17" s="381"/>
      <c r="M17" s="382"/>
    </row>
    <row r="18" spans="1:14" ht="18" customHeight="1" x14ac:dyDescent="0.2">
      <c r="A18" s="381"/>
      <c r="B18" s="381"/>
      <c r="C18" s="384" t="s">
        <v>492</v>
      </c>
      <c r="D18" s="381"/>
      <c r="E18" s="381"/>
      <c r="F18" s="381"/>
      <c r="G18" s="381"/>
      <c r="H18" s="381"/>
      <c r="I18" s="381"/>
      <c r="J18" s="381"/>
      <c r="K18" s="381"/>
      <c r="L18" s="381"/>
      <c r="M18" s="382"/>
    </row>
    <row r="19" spans="1:14" ht="18" customHeight="1" x14ac:dyDescent="0.2">
      <c r="A19" s="373" t="s">
        <v>21</v>
      </c>
      <c r="B19" s="373"/>
      <c r="C19" s="373"/>
      <c r="D19" s="373"/>
      <c r="E19" s="373"/>
      <c r="F19" s="373"/>
      <c r="G19" s="373"/>
      <c r="H19" s="373"/>
      <c r="I19" s="373"/>
      <c r="J19" s="374"/>
      <c r="K19" s="374"/>
      <c r="L19" s="374"/>
      <c r="M19" s="385"/>
      <c r="N19" s="379"/>
    </row>
    <row r="20" spans="1:14" ht="18" customHeight="1" x14ac:dyDescent="0.2">
      <c r="A20" s="381"/>
      <c r="B20" s="381"/>
      <c r="C20" s="384" t="s">
        <v>493</v>
      </c>
      <c r="D20" s="381"/>
      <c r="E20" s="381"/>
      <c r="F20" s="381"/>
      <c r="G20" s="381"/>
      <c r="H20" s="381"/>
      <c r="I20" s="381"/>
      <c r="J20" s="381"/>
      <c r="K20" s="381"/>
      <c r="L20" s="381"/>
      <c r="M20" s="382"/>
    </row>
    <row r="21" spans="1:14" ht="18" customHeight="1" x14ac:dyDescent="0.2">
      <c r="A21" s="381"/>
      <c r="B21" s="381"/>
      <c r="C21" s="384" t="s">
        <v>494</v>
      </c>
      <c r="D21" s="381"/>
      <c r="E21" s="381"/>
      <c r="F21" s="381"/>
      <c r="G21" s="381"/>
      <c r="H21" s="381"/>
      <c r="I21" s="381"/>
      <c r="J21" s="381"/>
      <c r="K21" s="381"/>
      <c r="L21" s="381"/>
      <c r="M21" s="382"/>
    </row>
    <row r="22" spans="1:14" ht="18" customHeight="1" x14ac:dyDescent="0.2">
      <c r="A22" s="373" t="s">
        <v>22</v>
      </c>
      <c r="B22" s="373"/>
      <c r="C22" s="373"/>
      <c r="D22" s="373"/>
      <c r="E22" s="373"/>
      <c r="F22" s="373"/>
      <c r="G22" s="373"/>
      <c r="H22" s="373"/>
      <c r="I22" s="373"/>
      <c r="J22" s="373"/>
      <c r="K22" s="373"/>
      <c r="L22" s="373"/>
      <c r="M22" s="386"/>
    </row>
    <row r="23" spans="1:14" ht="18" customHeight="1" x14ac:dyDescent="0.2">
      <c r="A23" s="373"/>
      <c r="B23" s="373"/>
      <c r="C23" s="384" t="s">
        <v>23</v>
      </c>
      <c r="D23" s="373"/>
      <c r="E23" s="373"/>
      <c r="F23" s="373"/>
      <c r="G23" s="373"/>
      <c r="H23" s="373"/>
      <c r="I23" s="373"/>
      <c r="J23" s="373"/>
      <c r="K23" s="373"/>
      <c r="L23" s="373"/>
      <c r="M23" s="382"/>
    </row>
    <row r="24" spans="1:14" ht="18" customHeight="1" x14ac:dyDescent="0.2">
      <c r="A24" s="373"/>
      <c r="B24" s="373"/>
      <c r="C24" s="384" t="s">
        <v>24</v>
      </c>
      <c r="D24" s="373"/>
      <c r="E24" s="373"/>
      <c r="F24" s="373"/>
      <c r="G24" s="373"/>
      <c r="H24" s="373"/>
      <c r="I24" s="373"/>
      <c r="J24" s="373"/>
      <c r="K24" s="373"/>
      <c r="L24" s="373"/>
      <c r="M24" s="382"/>
    </row>
    <row r="25" spans="1:14" ht="18" customHeight="1" x14ac:dyDescent="0.2">
      <c r="A25" s="373" t="s">
        <v>25</v>
      </c>
      <c r="B25" s="373"/>
      <c r="C25" s="373"/>
      <c r="D25" s="373"/>
      <c r="E25" s="373"/>
      <c r="F25" s="373"/>
      <c r="G25" s="373"/>
      <c r="H25" s="373"/>
      <c r="I25" s="373"/>
      <c r="J25" s="373"/>
      <c r="K25" s="373"/>
      <c r="L25" s="373"/>
      <c r="M25" s="386"/>
    </row>
    <row r="26" spans="1:14" ht="18" customHeight="1" x14ac:dyDescent="0.2">
      <c r="A26" s="373"/>
      <c r="B26" s="373"/>
      <c r="C26" s="384" t="s">
        <v>26</v>
      </c>
      <c r="D26" s="373"/>
      <c r="E26" s="373"/>
      <c r="F26" s="373"/>
      <c r="G26" s="373"/>
      <c r="H26" s="373"/>
      <c r="I26" s="373"/>
      <c r="J26" s="373"/>
      <c r="K26" s="373"/>
      <c r="L26" s="373"/>
      <c r="M26" s="382"/>
    </row>
    <row r="27" spans="1:14" ht="18" customHeight="1" x14ac:dyDescent="0.2">
      <c r="A27" s="373" t="s">
        <v>27</v>
      </c>
      <c r="B27" s="373"/>
      <c r="C27" s="373"/>
      <c r="D27" s="373"/>
      <c r="E27" s="373"/>
      <c r="F27" s="373"/>
      <c r="G27" s="373"/>
      <c r="H27" s="373"/>
      <c r="I27" s="373"/>
      <c r="J27" s="373"/>
      <c r="K27" s="373"/>
      <c r="L27" s="373"/>
      <c r="M27" s="373"/>
    </row>
    <row r="28" spans="1:14" ht="18" customHeight="1" x14ac:dyDescent="0.2">
      <c r="A28" s="373"/>
      <c r="B28" s="373"/>
      <c r="C28" s="381" t="s">
        <v>28</v>
      </c>
      <c r="D28" s="373"/>
      <c r="E28" s="373"/>
      <c r="F28" s="373"/>
      <c r="G28" s="373"/>
      <c r="H28" s="373"/>
      <c r="I28" s="373"/>
      <c r="J28" s="373"/>
      <c r="K28" s="373"/>
      <c r="L28" s="373"/>
      <c r="M28" s="382"/>
    </row>
    <row r="29" spans="1:14" ht="18" customHeight="1" x14ac:dyDescent="0.2">
      <c r="A29" s="373" t="s">
        <v>29</v>
      </c>
      <c r="B29" s="373"/>
      <c r="C29" s="373"/>
      <c r="D29" s="373"/>
      <c r="E29" s="373"/>
      <c r="F29" s="373"/>
      <c r="G29" s="373"/>
      <c r="H29" s="373"/>
      <c r="I29" s="373"/>
      <c r="J29" s="373"/>
      <c r="K29" s="373"/>
      <c r="L29" s="373"/>
      <c r="M29" s="373"/>
    </row>
    <row r="30" spans="1:14" ht="18" customHeight="1" x14ac:dyDescent="0.2">
      <c r="A30" s="373"/>
      <c r="B30" s="373"/>
      <c r="C30" s="381" t="s">
        <v>30</v>
      </c>
      <c r="D30" s="373"/>
      <c r="E30" s="373"/>
      <c r="F30" s="373"/>
      <c r="G30" s="373"/>
      <c r="H30" s="373"/>
      <c r="I30" s="373"/>
      <c r="J30" s="373"/>
      <c r="K30" s="373"/>
      <c r="L30" s="373"/>
      <c r="M30" s="382"/>
    </row>
    <row r="31" spans="1:14" ht="18" customHeight="1" x14ac:dyDescent="0.2">
      <c r="A31" s="373" t="s">
        <v>31</v>
      </c>
      <c r="B31" s="373"/>
      <c r="C31" s="373"/>
      <c r="D31" s="373"/>
      <c r="E31" s="373"/>
      <c r="F31" s="373"/>
      <c r="G31" s="373"/>
      <c r="H31" s="373"/>
      <c r="I31" s="373"/>
      <c r="J31" s="373"/>
      <c r="K31" s="373"/>
      <c r="L31" s="373"/>
      <c r="M31" s="373"/>
    </row>
    <row r="32" spans="1:14" ht="18" customHeight="1" x14ac:dyDescent="0.2">
      <c r="A32" s="373"/>
      <c r="B32" s="373"/>
      <c r="C32" s="384" t="s">
        <v>32</v>
      </c>
      <c r="K32" s="387"/>
      <c r="L32" s="381"/>
      <c r="M32" s="382"/>
    </row>
    <row r="33" spans="1:13" ht="18" customHeight="1" x14ac:dyDescent="0.2">
      <c r="A33" s="373"/>
      <c r="B33" s="373"/>
      <c r="C33" s="384" t="s">
        <v>33</v>
      </c>
      <c r="K33" s="411" t="e">
        <f>MGD</f>
        <v>#N/A</v>
      </c>
      <c r="L33" s="381" t="s">
        <v>34</v>
      </c>
      <c r="M33" s="382"/>
    </row>
    <row r="34" spans="1:13" ht="18" customHeight="1" x14ac:dyDescent="0.2">
      <c r="A34" s="373" t="s">
        <v>35</v>
      </c>
      <c r="B34" s="373"/>
      <c r="C34" s="373"/>
      <c r="D34" s="373"/>
      <c r="E34" s="373"/>
      <c r="F34" s="373"/>
      <c r="G34" s="373"/>
      <c r="H34" s="373"/>
      <c r="I34" s="373"/>
      <c r="J34" s="373"/>
      <c r="K34" s="373"/>
      <c r="L34" s="373"/>
      <c r="M34" s="388"/>
    </row>
    <row r="35" spans="1:13" ht="18" customHeight="1" x14ac:dyDescent="0.2">
      <c r="A35" s="373"/>
      <c r="B35" s="373"/>
      <c r="C35" s="384" t="s">
        <v>36</v>
      </c>
      <c r="D35" s="389"/>
      <c r="E35" s="389"/>
      <c r="F35" s="389"/>
      <c r="G35" s="389"/>
      <c r="H35" s="389"/>
      <c r="I35" s="389"/>
      <c r="J35" s="389"/>
      <c r="K35" s="374"/>
      <c r="L35" s="374"/>
      <c r="M35" s="382"/>
    </row>
    <row r="36" spans="1:13" ht="18" customHeight="1" x14ac:dyDescent="0.2">
      <c r="A36" s="373"/>
      <c r="B36" s="373"/>
      <c r="C36" s="384" t="s">
        <v>37</v>
      </c>
      <c r="D36" s="389" t="s">
        <v>38</v>
      </c>
      <c r="F36" s="389"/>
      <c r="G36" s="389"/>
      <c r="H36" s="389"/>
      <c r="I36" s="389"/>
      <c r="J36" s="389" t="s">
        <v>39</v>
      </c>
      <c r="L36" s="374"/>
    </row>
    <row r="37" spans="1:13" ht="18" customHeight="1" x14ac:dyDescent="0.2">
      <c r="A37" s="373"/>
      <c r="B37" s="373"/>
      <c r="C37" s="384" t="s">
        <v>40</v>
      </c>
      <c r="D37" s="381"/>
      <c r="E37" s="381"/>
      <c r="F37" s="390"/>
      <c r="G37" s="390" t="s">
        <v>41</v>
      </c>
      <c r="H37" s="391"/>
      <c r="I37" s="390" t="s">
        <v>42</v>
      </c>
      <c r="J37" s="391"/>
      <c r="K37" s="390" t="s">
        <v>43</v>
      </c>
      <c r="L37" s="391"/>
      <c r="M37" s="392"/>
    </row>
    <row r="38" spans="1:13" ht="18" customHeight="1" x14ac:dyDescent="0.2">
      <c r="A38" s="373" t="s">
        <v>44</v>
      </c>
      <c r="B38" s="373"/>
      <c r="C38" s="373"/>
      <c r="D38" s="373"/>
      <c r="E38" s="373"/>
      <c r="F38" s="373"/>
      <c r="G38" s="373"/>
      <c r="H38" s="373"/>
      <c r="I38" s="373"/>
      <c r="J38" s="373"/>
      <c r="K38" s="373"/>
      <c r="L38" s="373"/>
      <c r="M38" s="373"/>
    </row>
    <row r="39" spans="1:13" ht="18" customHeight="1" x14ac:dyDescent="0.2">
      <c r="A39" s="373"/>
      <c r="B39" s="373"/>
      <c r="C39" s="381" t="s">
        <v>45</v>
      </c>
      <c r="D39" s="373"/>
      <c r="E39" s="373"/>
      <c r="F39" s="373"/>
      <c r="G39" s="373"/>
      <c r="H39" s="373"/>
      <c r="I39" s="373"/>
      <c r="J39" s="373"/>
      <c r="K39" s="373"/>
      <c r="L39" s="373"/>
      <c r="M39" s="382"/>
    </row>
    <row r="40" spans="1:13" ht="12" customHeight="1" x14ac:dyDescent="0.2">
      <c r="A40" s="373"/>
      <c r="B40" s="373"/>
      <c r="C40" s="381"/>
      <c r="D40" s="373"/>
      <c r="E40" s="373"/>
      <c r="F40" s="373"/>
      <c r="G40" s="373"/>
      <c r="H40" s="373"/>
      <c r="I40" s="373"/>
      <c r="J40" s="373"/>
      <c r="K40" s="373"/>
      <c r="L40" s="373"/>
      <c r="M40" s="373"/>
    </row>
    <row r="41" spans="1:13" ht="36" customHeight="1" x14ac:dyDescent="0.2">
      <c r="A41" s="373"/>
      <c r="B41" s="373"/>
      <c r="C41" s="423" t="s">
        <v>46</v>
      </c>
      <c r="D41" s="424"/>
      <c r="E41" s="424"/>
      <c r="F41" s="424"/>
      <c r="G41" s="424"/>
      <c r="H41" s="424"/>
      <c r="I41" s="424"/>
      <c r="J41" s="424"/>
      <c r="K41" s="424"/>
      <c r="L41" s="424"/>
      <c r="M41" s="425"/>
    </row>
    <row r="42" spans="1:13" ht="18" customHeight="1" x14ac:dyDescent="0.2">
      <c r="A42" s="373" t="s">
        <v>47</v>
      </c>
      <c r="B42" s="373"/>
      <c r="C42" s="373"/>
      <c r="D42" s="373"/>
      <c r="E42" s="373"/>
      <c r="F42" s="373"/>
      <c r="G42" s="373"/>
      <c r="H42" s="373"/>
      <c r="I42" s="373"/>
      <c r="J42" s="373"/>
      <c r="K42" s="373"/>
      <c r="L42" s="373"/>
      <c r="M42" s="373"/>
    </row>
    <row r="43" spans="1:13" ht="18" customHeight="1" x14ac:dyDescent="0.2">
      <c r="A43" s="373"/>
      <c r="B43" s="373"/>
      <c r="C43" s="381" t="s">
        <v>48</v>
      </c>
      <c r="D43" s="373"/>
      <c r="E43" s="373"/>
      <c r="F43" s="373"/>
      <c r="G43" s="373"/>
      <c r="H43" s="373"/>
      <c r="I43" s="373"/>
      <c r="J43" s="373"/>
      <c r="K43" s="373"/>
      <c r="L43" s="373"/>
      <c r="M43" s="382"/>
    </row>
    <row r="44" spans="1:13" ht="18" customHeight="1" x14ac:dyDescent="0.2"/>
    <row r="45" spans="1:13" ht="18" customHeight="1" x14ac:dyDescent="0.2">
      <c r="A45" s="419" t="s">
        <v>505</v>
      </c>
      <c r="B45" s="419"/>
      <c r="C45" s="419"/>
      <c r="D45" s="419"/>
      <c r="E45" s="419"/>
      <c r="F45" s="419"/>
      <c r="G45" s="419"/>
      <c r="H45" s="419"/>
      <c r="I45" s="419"/>
      <c r="J45" s="419"/>
      <c r="K45" s="419"/>
      <c r="L45" s="419"/>
      <c r="M45" s="419"/>
    </row>
  </sheetData>
  <customSheetViews>
    <customSheetView guid="{D62192A2-80E4-4F30-AFA0-04511C5E7F57}" fitToPage="1">
      <selection activeCell="J32" sqref="J32"/>
      <pageMargins left="0.74803149606299213" right="0.74803149606299213" top="0.74803149606299213" bottom="0.74803149606299213" header="0" footer="0.23622047244094491"/>
      <printOptions horizontalCentered="1"/>
      <pageSetup scale="76" orientation="portrait" r:id="rId1"/>
      <headerFooter alignWithMargins="0"/>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formula1>FiberLst</formula1>
    </dataValidation>
  </dataValidations>
  <printOptions horizontalCentered="1"/>
  <pageMargins left="0.74803149606299213" right="0.74803149606299213" top="0.74803149606299213" bottom="0.74803149606299213" header="0" footer="0.23622047244094491"/>
  <pageSetup scale="76"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9219" r:id="rId5"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L18" sqref="L18"/>
    </sheetView>
  </sheetViews>
  <sheetFormatPr defaultRowHeight="12.75" x14ac:dyDescent="0.2"/>
  <cols>
    <col min="1" max="1" width="3.85546875" style="394" customWidth="1"/>
    <col min="2" max="2" width="20.7109375" style="394" customWidth="1"/>
    <col min="3" max="4" width="9.85546875" style="394" customWidth="1"/>
    <col min="5" max="5" width="6.5703125" style="394" customWidth="1"/>
    <col min="6" max="6" width="3.7109375" style="394" customWidth="1"/>
    <col min="7" max="7" width="15.7109375" style="394" customWidth="1"/>
    <col min="8" max="8" width="12.7109375" style="394" customWidth="1"/>
    <col min="9" max="9" width="10.5703125" style="394" customWidth="1"/>
    <col min="10" max="10" width="17" style="394" customWidth="1"/>
    <col min="11" max="16384" width="9.140625" style="394"/>
  </cols>
  <sheetData>
    <row r="1" spans="1:10" ht="25.5" x14ac:dyDescent="0.2">
      <c r="A1" s="434" t="s">
        <v>0</v>
      </c>
      <c r="B1" s="434"/>
      <c r="C1" s="434"/>
      <c r="D1" s="434"/>
      <c r="E1" s="434"/>
      <c r="F1" s="434"/>
      <c r="G1" s="434"/>
      <c r="H1" s="434"/>
      <c r="I1" s="434"/>
      <c r="J1" s="434"/>
    </row>
    <row r="2" spans="1:10" ht="26.25" x14ac:dyDescent="0.2">
      <c r="A2" s="435" t="s">
        <v>495</v>
      </c>
      <c r="B2" s="436"/>
      <c r="C2" s="436"/>
      <c r="D2" s="436"/>
      <c r="E2" s="436"/>
      <c r="F2" s="436"/>
      <c r="G2" s="436"/>
      <c r="H2" s="436"/>
      <c r="I2" s="436"/>
      <c r="J2" s="436"/>
    </row>
    <row r="5" spans="1:10" ht="22.5" x14ac:dyDescent="0.2">
      <c r="A5" s="395" t="s">
        <v>49</v>
      </c>
      <c r="B5" s="396"/>
      <c r="C5" s="397"/>
      <c r="D5" s="397"/>
      <c r="E5" s="397"/>
      <c r="F5" s="397"/>
      <c r="G5" s="397"/>
      <c r="H5" s="397"/>
      <c r="I5" s="397"/>
      <c r="J5" s="398"/>
    </row>
    <row r="6" spans="1:10" ht="23.25" customHeight="1" x14ac:dyDescent="0.2">
      <c r="J6" s="393"/>
    </row>
    <row r="7" spans="1:10" ht="15.75" customHeight="1" x14ac:dyDescent="0.2">
      <c r="A7" s="399"/>
      <c r="E7" s="399"/>
      <c r="H7" s="393" t="s">
        <v>50</v>
      </c>
      <c r="J7" s="393" t="s">
        <v>17</v>
      </c>
    </row>
    <row r="8" spans="1:10" ht="18" customHeight="1" x14ac:dyDescent="0.2">
      <c r="A8" s="400" t="s">
        <v>51</v>
      </c>
      <c r="B8" s="401" t="s">
        <v>52</v>
      </c>
      <c r="H8" s="402" t="s">
        <v>53</v>
      </c>
      <c r="J8" s="403"/>
    </row>
    <row r="9" spans="1:10" ht="18" customHeight="1" x14ac:dyDescent="0.2">
      <c r="A9" s="400" t="s">
        <v>54</v>
      </c>
      <c r="B9" s="401" t="s">
        <v>496</v>
      </c>
      <c r="H9" s="402" t="s">
        <v>53</v>
      </c>
      <c r="J9" s="403" t="s">
        <v>490</v>
      </c>
    </row>
    <row r="10" spans="1:10" ht="18" customHeight="1" x14ac:dyDescent="0.2">
      <c r="A10" s="400" t="s">
        <v>55</v>
      </c>
      <c r="B10" s="401" t="s">
        <v>497</v>
      </c>
      <c r="H10" s="402" t="s">
        <v>53</v>
      </c>
      <c r="J10" s="403" t="s">
        <v>490</v>
      </c>
    </row>
    <row r="11" spans="1:10" ht="18" customHeight="1" x14ac:dyDescent="0.2">
      <c r="A11" s="404" t="s">
        <v>56</v>
      </c>
      <c r="B11" s="401" t="s">
        <v>57</v>
      </c>
      <c r="H11" s="402" t="s">
        <v>58</v>
      </c>
      <c r="J11" s="403"/>
    </row>
    <row r="12" spans="1:10" ht="18" customHeight="1" x14ac:dyDescent="0.2">
      <c r="A12" s="400" t="s">
        <v>59</v>
      </c>
      <c r="B12" s="401" t="s">
        <v>498</v>
      </c>
      <c r="H12" s="402" t="s">
        <v>58</v>
      </c>
      <c r="J12" s="403" t="s">
        <v>490</v>
      </c>
    </row>
    <row r="13" spans="1:10" ht="18" customHeight="1" x14ac:dyDescent="0.2">
      <c r="A13" s="404" t="s">
        <v>60</v>
      </c>
      <c r="B13" s="401" t="s">
        <v>499</v>
      </c>
      <c r="H13" s="402" t="s">
        <v>58</v>
      </c>
      <c r="J13" s="403" t="s">
        <v>490</v>
      </c>
    </row>
    <row r="14" spans="1:10" ht="18" customHeight="1" x14ac:dyDescent="0.2">
      <c r="A14" s="400" t="s">
        <v>61</v>
      </c>
      <c r="B14" s="405" t="s">
        <v>500</v>
      </c>
      <c r="H14" s="402" t="s">
        <v>62</v>
      </c>
      <c r="J14" s="403" t="s">
        <v>490</v>
      </c>
    </row>
    <row r="15" spans="1:10" ht="18" customHeight="1" x14ac:dyDescent="0.2">
      <c r="A15" s="400" t="s">
        <v>63</v>
      </c>
      <c r="B15" s="405" t="s">
        <v>64</v>
      </c>
      <c r="H15" s="402" t="s">
        <v>62</v>
      </c>
      <c r="J15" s="403"/>
    </row>
    <row r="16" spans="1:10" ht="18" customHeight="1" x14ac:dyDescent="0.2">
      <c r="A16" s="400" t="s">
        <v>65</v>
      </c>
      <c r="B16" s="401" t="s">
        <v>501</v>
      </c>
      <c r="H16" s="402" t="s">
        <v>66</v>
      </c>
      <c r="J16" s="403" t="s">
        <v>490</v>
      </c>
    </row>
    <row r="17" spans="1:10" ht="18" customHeight="1" x14ac:dyDescent="0.2">
      <c r="A17" s="400" t="s">
        <v>67</v>
      </c>
      <c r="B17" s="401" t="s">
        <v>68</v>
      </c>
      <c r="H17" s="406" t="s">
        <v>69</v>
      </c>
      <c r="I17" s="399"/>
      <c r="J17" s="403"/>
    </row>
    <row r="18" spans="1:10" ht="18" customHeight="1" x14ac:dyDescent="0.2">
      <c r="A18" s="400" t="s">
        <v>70</v>
      </c>
      <c r="B18" s="401" t="s">
        <v>71</v>
      </c>
      <c r="H18" s="406" t="s">
        <v>69</v>
      </c>
      <c r="J18" s="403"/>
    </row>
    <row r="19" spans="1:10" ht="18" customHeight="1" x14ac:dyDescent="0.2">
      <c r="A19" s="400" t="s">
        <v>72</v>
      </c>
      <c r="B19" s="401" t="s">
        <v>502</v>
      </c>
      <c r="H19" s="406" t="s">
        <v>69</v>
      </c>
      <c r="J19" s="403" t="s">
        <v>490</v>
      </c>
    </row>
    <row r="20" spans="1:10" ht="18" customHeight="1" x14ac:dyDescent="0.2">
      <c r="A20" s="400" t="s">
        <v>73</v>
      </c>
      <c r="B20" s="401" t="s">
        <v>503</v>
      </c>
      <c r="H20" s="402" t="s">
        <v>69</v>
      </c>
      <c r="J20" s="403" t="s">
        <v>490</v>
      </c>
    </row>
    <row r="21" spans="1:10" ht="18" customHeight="1" x14ac:dyDescent="0.2">
      <c r="A21" s="404" t="s">
        <v>74</v>
      </c>
      <c r="B21" s="401" t="s">
        <v>504</v>
      </c>
      <c r="H21" s="402" t="s">
        <v>75</v>
      </c>
      <c r="J21" s="403"/>
    </row>
    <row r="22" spans="1:10" ht="18" customHeight="1" x14ac:dyDescent="0.2">
      <c r="A22" s="404" t="s">
        <v>76</v>
      </c>
      <c r="B22" s="401" t="s">
        <v>77</v>
      </c>
      <c r="H22" s="402" t="s">
        <v>78</v>
      </c>
      <c r="J22" s="403"/>
    </row>
    <row r="23" spans="1:10" ht="18" customHeight="1" x14ac:dyDescent="0.2"/>
    <row r="24" spans="1:10" ht="23.25" customHeight="1" x14ac:dyDescent="0.2">
      <c r="A24" s="407" t="s">
        <v>79</v>
      </c>
      <c r="B24" s="397"/>
      <c r="C24" s="397"/>
      <c r="D24" s="397"/>
      <c r="E24" s="397"/>
      <c r="F24" s="397"/>
      <c r="G24" s="397"/>
      <c r="H24" s="397"/>
      <c r="I24" s="397"/>
      <c r="J24" s="397"/>
    </row>
    <row r="25" spans="1:10" ht="8.25" customHeight="1" x14ac:dyDescent="0.2"/>
    <row r="26" spans="1:10" ht="266.25" customHeight="1" x14ac:dyDescent="0.2">
      <c r="A26" s="437" t="s">
        <v>80</v>
      </c>
      <c r="B26" s="438"/>
      <c r="C26" s="438"/>
      <c r="D26" s="438"/>
      <c r="E26" s="438"/>
      <c r="F26" s="438"/>
      <c r="G26" s="438"/>
      <c r="H26" s="438"/>
      <c r="I26" s="438"/>
      <c r="J26" s="439"/>
    </row>
  </sheetData>
  <customSheetViews>
    <customSheetView guid="{D62192A2-80E4-4F30-AFA0-04511C5E7F57}">
      <selection activeCell="L18" sqref="L18"/>
      <pageMargins left="0.74803149606299213" right="0.74803149606299213" top="0.74803149606299213" bottom="0.74803149606299213" header="0.51181102362204722" footer="0.51181102362204722"/>
      <printOptions horizontalCentered="1"/>
      <pageSetup scale="77" orientation="portrait" r:id="rId1"/>
      <headerFooter alignWithMargins="0"/>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8"/>
  <sheetViews>
    <sheetView tabSelected="1" zoomScale="75" zoomScaleNormal="75" workbookViewId="0"/>
  </sheetViews>
  <sheetFormatPr defaultRowHeight="15.75" x14ac:dyDescent="0.2"/>
  <cols>
    <col min="1" max="1" width="2.5703125" style="82" customWidth="1"/>
    <col min="2" max="2" width="2.5703125" style="67" customWidth="1"/>
    <col min="3" max="13" width="11.5703125" style="67"/>
    <col min="14" max="14" width="2.5703125" style="67" customWidth="1"/>
    <col min="15" max="43" width="11.5703125" style="67"/>
    <col min="44" max="16384" width="9.140625" style="72"/>
  </cols>
  <sheetData>
    <row r="1" spans="1:43" ht="14.1" customHeight="1" x14ac:dyDescent="0.2">
      <c r="A1" s="63">
        <v>1</v>
      </c>
      <c r="B1" s="64"/>
      <c r="C1" s="65"/>
      <c r="D1" s="65"/>
      <c r="E1" s="65"/>
      <c r="F1" s="65"/>
      <c r="G1" s="65"/>
      <c r="H1" s="65"/>
      <c r="I1" s="65"/>
      <c r="J1" s="65"/>
      <c r="K1" s="65"/>
      <c r="L1" s="65"/>
      <c r="M1" s="66"/>
      <c r="O1" s="68" t="s">
        <v>506</v>
      </c>
      <c r="P1" s="69"/>
      <c r="Q1" s="69"/>
      <c r="R1" s="69"/>
      <c r="S1" s="69"/>
      <c r="T1" s="69"/>
      <c r="U1" s="69"/>
      <c r="V1" s="69"/>
      <c r="W1" s="69"/>
      <c r="X1" s="69"/>
      <c r="Y1" s="70"/>
      <c r="AA1" s="71" t="s">
        <v>81</v>
      </c>
    </row>
    <row r="2" spans="1:43" ht="14.1" customHeight="1" x14ac:dyDescent="0.2">
      <c r="A2" s="63">
        <v>2</v>
      </c>
      <c r="B2" s="73"/>
      <c r="C2" s="74"/>
      <c r="D2" s="74"/>
      <c r="E2" s="74"/>
      <c r="F2" s="74"/>
      <c r="G2" s="74"/>
      <c r="H2" s="75" t="s">
        <v>82</v>
      </c>
      <c r="I2" s="74"/>
      <c r="J2" s="74"/>
      <c r="K2" s="74"/>
      <c r="L2" s="74"/>
      <c r="M2" s="76"/>
      <c r="O2" s="77"/>
      <c r="T2" s="78" t="s">
        <v>82</v>
      </c>
      <c r="Y2" s="79"/>
      <c r="AA2" s="80" t="s">
        <v>83</v>
      </c>
    </row>
    <row r="3" spans="1:43" ht="14.1" customHeight="1" x14ac:dyDescent="0.2">
      <c r="A3" s="63">
        <v>3</v>
      </c>
      <c r="B3" s="73"/>
      <c r="C3" s="74"/>
      <c r="D3" s="74"/>
      <c r="E3" s="74"/>
      <c r="F3" s="74"/>
      <c r="G3" s="74"/>
      <c r="H3" s="75" t="s">
        <v>84</v>
      </c>
      <c r="I3" s="74"/>
      <c r="J3" s="74"/>
      <c r="K3" s="74"/>
      <c r="L3" s="74"/>
      <c r="M3" s="76"/>
      <c r="O3" s="77"/>
      <c r="T3" s="78" t="s">
        <v>84</v>
      </c>
      <c r="Y3" s="79"/>
      <c r="AA3" s="81" t="str">
        <f>IF(AB7="","",AB7)</f>
        <v/>
      </c>
    </row>
    <row r="4" spans="1:43" ht="14.1" customHeight="1" x14ac:dyDescent="0.2">
      <c r="A4" s="63">
        <v>4</v>
      </c>
      <c r="B4" s="73"/>
      <c r="C4" s="74"/>
      <c r="D4" s="74"/>
      <c r="E4" s="74"/>
      <c r="F4" s="74"/>
      <c r="G4" s="74"/>
      <c r="H4" s="74"/>
      <c r="I4" s="74"/>
      <c r="J4" s="74"/>
      <c r="K4" s="74"/>
      <c r="L4" s="74"/>
      <c r="M4" s="76"/>
      <c r="O4" s="77"/>
      <c r="T4" s="82"/>
      <c r="Y4" s="79"/>
      <c r="AA4" s="83" t="s">
        <v>85</v>
      </c>
      <c r="AB4" s="84" t="s">
        <v>86</v>
      </c>
    </row>
    <row r="5" spans="1:43" ht="14.1" customHeight="1" x14ac:dyDescent="0.2">
      <c r="A5" s="63">
        <v>5</v>
      </c>
      <c r="B5" s="73"/>
      <c r="C5" s="74"/>
      <c r="D5" s="74"/>
      <c r="E5" s="74"/>
      <c r="F5" s="74"/>
      <c r="G5" s="74"/>
      <c r="H5" s="75" t="str">
        <f>T5</f>
        <v>Stereotactic Breast Biopsy System Compliance Inspection</v>
      </c>
      <c r="I5" s="74"/>
      <c r="J5" s="74"/>
      <c r="K5" s="74"/>
      <c r="L5" s="74"/>
      <c r="M5" s="76"/>
      <c r="O5" s="77"/>
      <c r="T5" s="78" t="s">
        <v>87</v>
      </c>
      <c r="Y5" s="79"/>
    </row>
    <row r="6" spans="1:43" ht="14.1" customHeight="1" thickBot="1" x14ac:dyDescent="0.25">
      <c r="A6" s="63">
        <v>6</v>
      </c>
      <c r="B6" s="85"/>
      <c r="C6" s="86"/>
      <c r="D6" s="86"/>
      <c r="E6" s="86"/>
      <c r="F6" s="86"/>
      <c r="G6" s="86"/>
      <c r="H6" s="86"/>
      <c r="I6" s="86"/>
      <c r="J6" s="86"/>
      <c r="K6" s="86"/>
      <c r="L6" s="86"/>
      <c r="M6" s="87"/>
      <c r="O6" s="88"/>
      <c r="P6" s="89"/>
      <c r="Q6" s="89"/>
      <c r="R6" s="89"/>
      <c r="S6" s="89"/>
      <c r="T6" s="89"/>
      <c r="U6" s="89"/>
      <c r="V6" s="89"/>
      <c r="W6" s="89"/>
      <c r="X6" s="89"/>
      <c r="Y6" s="90"/>
      <c r="AA6" s="91" t="s">
        <v>88</v>
      </c>
      <c r="AB6" s="67" t="s">
        <v>89</v>
      </c>
      <c r="AD6" s="67" t="s">
        <v>90</v>
      </c>
    </row>
    <row r="7" spans="1:43" ht="14.1" customHeight="1" thickTop="1" x14ac:dyDescent="0.2">
      <c r="A7" s="63">
        <v>7</v>
      </c>
      <c r="O7" s="67" t="s">
        <v>91</v>
      </c>
      <c r="P7" s="92"/>
      <c r="Q7" s="93"/>
      <c r="W7" s="67" t="s">
        <v>92</v>
      </c>
      <c r="X7" s="94" t="str">
        <f>IF(Y7&lt;&gt;"",Y7,IF(AB9="","",AB9))</f>
        <v>Eugene Mah</v>
      </c>
      <c r="Y7" s="95" t="s">
        <v>93</v>
      </c>
      <c r="AA7" s="83" t="s">
        <v>81</v>
      </c>
      <c r="AB7" s="96"/>
      <c r="AC7" s="97" t="str">
        <f t="shared" ref="AC7:AC19" si="0">IF(AB7&lt;&gt;AD7,"Change","")</f>
        <v>Change</v>
      </c>
      <c r="AD7" s="98" t="str">
        <f>IF(OR(AA2="",AA2=0),"",AA2)</f>
        <v>Page1,HVLPage,ExpChart,ImgQuality,Compg1,GraphAcryl,LeedsTO10</v>
      </c>
    </row>
    <row r="8" spans="1:43" ht="14.1" customHeight="1" thickBot="1" x14ac:dyDescent="0.25">
      <c r="A8" s="63">
        <v>8</v>
      </c>
      <c r="G8" s="99"/>
      <c r="H8" s="99" t="s">
        <v>94</v>
      </c>
      <c r="O8" s="67" t="s">
        <v>95</v>
      </c>
      <c r="P8" s="100" t="str">
        <f>IF(AB8="","",AB8)</f>
        <v/>
      </c>
      <c r="Q8" s="101"/>
      <c r="T8" s="102" t="s">
        <v>94</v>
      </c>
      <c r="W8" s="89"/>
      <c r="X8" s="89"/>
      <c r="Y8" s="103"/>
      <c r="AA8" s="83" t="s">
        <v>96</v>
      </c>
      <c r="AB8" s="104"/>
      <c r="AC8" s="97" t="str">
        <f t="shared" si="0"/>
        <v/>
      </c>
      <c r="AD8" s="105" t="str">
        <f>IF(P7="","",P7)</f>
        <v/>
      </c>
    </row>
    <row r="9" spans="1:43" ht="14.1" customHeight="1" thickTop="1" x14ac:dyDescent="0.2">
      <c r="A9" s="63">
        <v>9</v>
      </c>
      <c r="B9" s="106"/>
      <c r="C9" s="107"/>
      <c r="D9" s="108" t="s">
        <v>97</v>
      </c>
      <c r="E9" s="107"/>
      <c r="F9" s="107"/>
      <c r="G9" s="107"/>
      <c r="H9" s="107"/>
      <c r="I9" s="107"/>
      <c r="J9" s="107"/>
      <c r="K9" s="107"/>
      <c r="L9" s="107"/>
      <c r="M9" s="109"/>
      <c r="O9" s="110"/>
      <c r="P9" s="111" t="s">
        <v>97</v>
      </c>
      <c r="Q9" s="69"/>
      <c r="R9" s="69"/>
      <c r="S9" s="112" t="s">
        <v>98</v>
      </c>
      <c r="T9" s="69"/>
      <c r="U9" s="69"/>
      <c r="V9" s="69"/>
      <c r="W9" s="112" t="s">
        <v>98</v>
      </c>
      <c r="X9" s="69"/>
      <c r="Y9" s="70"/>
      <c r="AA9" s="83" t="s">
        <v>99</v>
      </c>
      <c r="AB9" s="113"/>
      <c r="AC9" s="97" t="str">
        <f t="shared" si="0"/>
        <v>Change</v>
      </c>
      <c r="AD9" s="114" t="str">
        <f>IF(X7="","",X7)</f>
        <v>Eugene Mah</v>
      </c>
      <c r="AH9" s="82" t="s">
        <v>100</v>
      </c>
      <c r="AI9" s="82" t="s">
        <v>101</v>
      </c>
      <c r="AJ9" s="82" t="s">
        <v>102</v>
      </c>
      <c r="AK9" s="82" t="s">
        <v>103</v>
      </c>
      <c r="AL9" s="82" t="s">
        <v>104</v>
      </c>
      <c r="AM9" s="82" t="s">
        <v>105</v>
      </c>
      <c r="AN9" s="82" t="s">
        <v>106</v>
      </c>
      <c r="AO9" s="82" t="s">
        <v>107</v>
      </c>
      <c r="AP9" s="82" t="s">
        <v>108</v>
      </c>
      <c r="AQ9" s="82" t="s">
        <v>402</v>
      </c>
    </row>
    <row r="10" spans="1:43" ht="14.1" customHeight="1" x14ac:dyDescent="0.2">
      <c r="A10" s="63">
        <v>10</v>
      </c>
      <c r="B10" s="115"/>
      <c r="C10" s="116"/>
      <c r="E10" s="83" t="s">
        <v>109</v>
      </c>
      <c r="F10" s="440" t="str">
        <f>IF(R10="","",R10)</f>
        <v/>
      </c>
      <c r="G10" s="440"/>
      <c r="J10" s="83" t="s">
        <v>110</v>
      </c>
      <c r="K10" s="440" t="str">
        <f>IF(V10="","",V10)</f>
        <v/>
      </c>
      <c r="L10" s="440"/>
      <c r="M10" s="117"/>
      <c r="O10" s="77"/>
      <c r="Q10" s="83" t="s">
        <v>109</v>
      </c>
      <c r="R10" s="94" t="str">
        <f>IF(S10&lt;&gt;"",S10,IF(AB10="","",AB10))</f>
        <v/>
      </c>
      <c r="S10" s="95"/>
      <c r="U10" s="83" t="s">
        <v>110</v>
      </c>
      <c r="V10" s="94" t="str">
        <f>IF(W10&lt;&gt;"",W10,IF(AB15="","",AB15))</f>
        <v/>
      </c>
      <c r="W10" s="95"/>
      <c r="Y10" s="79"/>
      <c r="AA10" s="83" t="s">
        <v>109</v>
      </c>
      <c r="AB10" s="113"/>
      <c r="AC10" s="97" t="str">
        <f t="shared" si="0"/>
        <v/>
      </c>
      <c r="AD10" s="114" t="str">
        <f>IF(R10="","",R10)</f>
        <v/>
      </c>
      <c r="AH10" s="416">
        <v>24</v>
      </c>
      <c r="AI10" s="416">
        <v>50</v>
      </c>
      <c r="AJ10" s="417">
        <v>0</v>
      </c>
      <c r="AK10" s="416" t="str">
        <f t="shared" ref="AK10:AK26" si="1">IF($V$21="","",$V$21)</f>
        <v>Mo</v>
      </c>
      <c r="AL10" s="416" t="str">
        <f t="shared" ref="AL10:AL26" si="2">IF($V$24="","",$V$24)</f>
        <v>Mo</v>
      </c>
      <c r="AM10" s="416"/>
      <c r="AN10" s="416"/>
      <c r="AO10" s="416"/>
      <c r="AP10" s="416"/>
      <c r="AQ10" s="418"/>
    </row>
    <row r="11" spans="1:43" ht="14.1" customHeight="1" x14ac:dyDescent="0.2">
      <c r="A11" s="63">
        <v>11</v>
      </c>
      <c r="B11" s="115"/>
      <c r="C11" s="116"/>
      <c r="E11" s="83" t="s">
        <v>111</v>
      </c>
      <c r="F11" s="441" t="str">
        <f>IF(R11="","",R11)</f>
        <v/>
      </c>
      <c r="G11" s="441"/>
      <c r="J11" s="83" t="s">
        <v>112</v>
      </c>
      <c r="K11" s="440" t="str">
        <f>IF(V11="","",V11)</f>
        <v/>
      </c>
      <c r="L11" s="440"/>
      <c r="M11" s="117"/>
      <c r="O11" s="77"/>
      <c r="Q11" s="83" t="s">
        <v>111</v>
      </c>
      <c r="R11" s="94" t="str">
        <f>IF(S11&lt;&gt;"",S11,IF(AB11="","",AB11))</f>
        <v/>
      </c>
      <c r="S11" s="95"/>
      <c r="U11" s="83" t="s">
        <v>112</v>
      </c>
      <c r="V11" s="94" t="str">
        <f>IF(W11&lt;&gt;"",W11,IF(AB16="","",AB16))</f>
        <v/>
      </c>
      <c r="W11" s="95"/>
      <c r="Y11" s="79"/>
      <c r="AA11" s="83" t="s">
        <v>111</v>
      </c>
      <c r="AB11" s="113"/>
      <c r="AC11" s="97" t="str">
        <f t="shared" si="0"/>
        <v/>
      </c>
      <c r="AD11" s="114" t="str">
        <f>IF(R11="","",R11)</f>
        <v/>
      </c>
      <c r="AH11" s="416">
        <v>24</v>
      </c>
      <c r="AI11" s="416">
        <v>50</v>
      </c>
      <c r="AJ11" s="417">
        <v>0</v>
      </c>
      <c r="AK11" s="416" t="str">
        <f t="shared" si="1"/>
        <v>Mo</v>
      </c>
      <c r="AL11" s="416" t="str">
        <f t="shared" si="2"/>
        <v>Mo</v>
      </c>
      <c r="AM11" s="416"/>
      <c r="AN11" s="416"/>
      <c r="AO11" s="416"/>
      <c r="AP11" s="416"/>
      <c r="AQ11" s="418"/>
    </row>
    <row r="12" spans="1:43" ht="14.1" customHeight="1" x14ac:dyDescent="0.2">
      <c r="A12" s="63">
        <v>12</v>
      </c>
      <c r="B12" s="115"/>
      <c r="C12" s="116"/>
      <c r="E12" s="83" t="s">
        <v>113</v>
      </c>
      <c r="F12" s="441" t="str">
        <f>IF(R12="","",R12)</f>
        <v/>
      </c>
      <c r="G12" s="441"/>
      <c r="J12" s="83" t="s">
        <v>114</v>
      </c>
      <c r="K12" s="442" t="str">
        <f>IF(V12="","",V12)</f>
        <v/>
      </c>
      <c r="L12" s="442"/>
      <c r="M12" s="117"/>
      <c r="O12" s="77"/>
      <c r="Q12" s="83" t="s">
        <v>113</v>
      </c>
      <c r="R12" s="94" t="str">
        <f>IF(S12&lt;&gt;"",S12,IF(AB12="","",AB12))</f>
        <v/>
      </c>
      <c r="S12" s="95"/>
      <c r="U12" s="83" t="s">
        <v>114</v>
      </c>
      <c r="V12" s="121" t="str">
        <f>IF(W12&lt;&gt;"",W12,IF(AB17="","",AB17))</f>
        <v/>
      </c>
      <c r="W12" s="122"/>
      <c r="Y12" s="79"/>
      <c r="AA12" s="83" t="s">
        <v>113</v>
      </c>
      <c r="AB12" s="113"/>
      <c r="AC12" s="97" t="str">
        <f t="shared" si="0"/>
        <v/>
      </c>
      <c r="AD12" s="114" t="str">
        <f>IF(R12="","",R12)</f>
        <v/>
      </c>
      <c r="AH12" s="416">
        <v>25</v>
      </c>
      <c r="AI12" s="416">
        <v>50</v>
      </c>
      <c r="AJ12" s="417">
        <v>0</v>
      </c>
      <c r="AK12" s="416" t="str">
        <f t="shared" si="1"/>
        <v>Mo</v>
      </c>
      <c r="AL12" s="416" t="str">
        <f t="shared" si="2"/>
        <v>Mo</v>
      </c>
      <c r="AM12" s="416"/>
      <c r="AN12" s="416"/>
      <c r="AO12" s="416"/>
      <c r="AP12" s="416"/>
      <c r="AQ12" s="418"/>
    </row>
    <row r="13" spans="1:43" ht="14.1" customHeight="1" x14ac:dyDescent="0.2">
      <c r="A13" s="63">
        <v>13</v>
      </c>
      <c r="B13" s="115"/>
      <c r="C13" s="116"/>
      <c r="E13" s="83" t="s">
        <v>115</v>
      </c>
      <c r="F13" s="441" t="str">
        <f>IF(R13="","",R13)</f>
        <v/>
      </c>
      <c r="G13" s="441"/>
      <c r="J13" s="83" t="s">
        <v>116</v>
      </c>
      <c r="K13" s="440" t="str">
        <f>IF(V13="","",V13)</f>
        <v/>
      </c>
      <c r="L13" s="440"/>
      <c r="M13" s="117"/>
      <c r="O13" s="77"/>
      <c r="Q13" s="83" t="s">
        <v>115</v>
      </c>
      <c r="R13" s="94" t="str">
        <f>IF(S13&lt;&gt;"",S13,IF(AB13="","",AB13))</f>
        <v/>
      </c>
      <c r="S13" s="95"/>
      <c r="U13" s="83" t="s">
        <v>116</v>
      </c>
      <c r="V13" s="94" t="str">
        <f>IF(W13&lt;&gt;"",W13,IF(AB18="","",AB18))</f>
        <v/>
      </c>
      <c r="W13" s="95"/>
      <c r="Y13" s="79"/>
      <c r="AA13" s="83" t="s">
        <v>115</v>
      </c>
      <c r="AB13" s="113"/>
      <c r="AC13" s="97" t="str">
        <f t="shared" si="0"/>
        <v/>
      </c>
      <c r="AD13" s="114" t="str">
        <f>IF(R13="","",R13)</f>
        <v/>
      </c>
      <c r="AH13" s="416">
        <v>25</v>
      </c>
      <c r="AI13" s="416">
        <v>50</v>
      </c>
      <c r="AJ13" s="417">
        <v>0</v>
      </c>
      <c r="AK13" s="416" t="str">
        <f t="shared" si="1"/>
        <v>Mo</v>
      </c>
      <c r="AL13" s="416" t="str">
        <f t="shared" si="2"/>
        <v>Mo</v>
      </c>
      <c r="AM13" s="416"/>
      <c r="AN13" s="416"/>
      <c r="AO13" s="416"/>
      <c r="AP13" s="416"/>
      <c r="AQ13" s="418"/>
    </row>
    <row r="14" spans="1:43" ht="14.1" customHeight="1" x14ac:dyDescent="0.2">
      <c r="A14" s="63">
        <v>14</v>
      </c>
      <c r="B14" s="115"/>
      <c r="C14" s="116"/>
      <c r="M14" s="117"/>
      <c r="O14" s="77"/>
      <c r="Q14" s="83" t="s">
        <v>117</v>
      </c>
      <c r="R14" s="94" t="str">
        <f>IF(S14&lt;&gt;"",S14,IF(AB14="","",AB14))</f>
        <v/>
      </c>
      <c r="S14" s="95"/>
      <c r="U14" s="83" t="s">
        <v>118</v>
      </c>
      <c r="V14" s="94" t="str">
        <f>IF(W14&lt;&gt;"",W14,IF(AB19="","",AB19))</f>
        <v/>
      </c>
      <c r="W14" s="95"/>
      <c r="Y14" s="79"/>
      <c r="AA14" s="83" t="s">
        <v>117</v>
      </c>
      <c r="AB14" s="123"/>
      <c r="AC14" s="97" t="str">
        <f t="shared" si="0"/>
        <v/>
      </c>
      <c r="AD14" s="114" t="str">
        <f>IF(R14="","",R14)</f>
        <v/>
      </c>
      <c r="AH14" s="416">
        <v>26</v>
      </c>
      <c r="AI14" s="416">
        <v>50</v>
      </c>
      <c r="AJ14" s="417">
        <v>0</v>
      </c>
      <c r="AK14" s="416" t="str">
        <f t="shared" si="1"/>
        <v>Mo</v>
      </c>
      <c r="AL14" s="416" t="str">
        <f t="shared" si="2"/>
        <v>Mo</v>
      </c>
      <c r="AM14" s="416"/>
      <c r="AN14" s="416"/>
      <c r="AO14" s="416"/>
      <c r="AP14" s="416"/>
      <c r="AQ14" s="418"/>
    </row>
    <row r="15" spans="1:43" ht="14.1" customHeight="1" x14ac:dyDescent="0.2">
      <c r="A15" s="63">
        <v>15</v>
      </c>
      <c r="B15" s="115"/>
      <c r="C15" s="116"/>
      <c r="D15" s="124" t="s">
        <v>119</v>
      </c>
      <c r="M15" s="117"/>
      <c r="O15" s="77"/>
      <c r="Y15" s="79"/>
      <c r="AA15" s="83" t="s">
        <v>110</v>
      </c>
      <c r="AB15" s="113"/>
      <c r="AC15" s="97" t="str">
        <f t="shared" si="0"/>
        <v/>
      </c>
      <c r="AD15" s="114" t="str">
        <f>IF(V10="","",V10)</f>
        <v/>
      </c>
      <c r="AH15" s="416">
        <v>28</v>
      </c>
      <c r="AI15" s="416">
        <v>20</v>
      </c>
      <c r="AJ15" s="417">
        <v>0</v>
      </c>
      <c r="AK15" s="416" t="str">
        <f t="shared" si="1"/>
        <v>Mo</v>
      </c>
      <c r="AL15" s="416" t="str">
        <f t="shared" si="2"/>
        <v>Mo</v>
      </c>
      <c r="AM15" s="416"/>
      <c r="AN15" s="416"/>
      <c r="AO15" s="416"/>
      <c r="AP15" s="416"/>
      <c r="AQ15" s="418"/>
    </row>
    <row r="16" spans="1:43" ht="14.1" customHeight="1" x14ac:dyDescent="0.2">
      <c r="A16" s="63">
        <v>16</v>
      </c>
      <c r="B16" s="115"/>
      <c r="C16" s="116"/>
      <c r="E16" s="83" t="s">
        <v>120</v>
      </c>
      <c r="F16" s="440" t="str">
        <f>IF(R17="","",R17)</f>
        <v/>
      </c>
      <c r="G16" s="440"/>
      <c r="J16" s="83" t="s">
        <v>121</v>
      </c>
      <c r="K16" s="442" t="str">
        <f>IF(V17="","",V17)</f>
        <v/>
      </c>
      <c r="L16" s="442"/>
      <c r="M16" s="117"/>
      <c r="O16" s="77"/>
      <c r="P16" s="124" t="s">
        <v>119</v>
      </c>
      <c r="Y16" s="79"/>
      <c r="AA16" s="83" t="s">
        <v>112</v>
      </c>
      <c r="AB16" s="113"/>
      <c r="AC16" s="97" t="str">
        <f t="shared" si="0"/>
        <v/>
      </c>
      <c r="AD16" s="114" t="str">
        <f>IF(V11="","",V11)</f>
        <v/>
      </c>
      <c r="AH16" s="416">
        <v>28</v>
      </c>
      <c r="AI16" s="416">
        <v>50</v>
      </c>
      <c r="AJ16" s="417">
        <v>0</v>
      </c>
      <c r="AK16" s="416" t="str">
        <f t="shared" si="1"/>
        <v>Mo</v>
      </c>
      <c r="AL16" s="416" t="str">
        <f t="shared" si="2"/>
        <v>Mo</v>
      </c>
      <c r="AM16" s="416"/>
      <c r="AN16" s="416"/>
      <c r="AO16" s="416"/>
      <c r="AP16" s="416"/>
      <c r="AQ16" s="418"/>
    </row>
    <row r="17" spans="1:43" ht="14.1" customHeight="1" x14ac:dyDescent="0.2">
      <c r="A17" s="63">
        <v>17</v>
      </c>
      <c r="B17" s="115"/>
      <c r="C17" s="116"/>
      <c r="E17" s="83" t="s">
        <v>122</v>
      </c>
      <c r="F17" s="440" t="str">
        <f>IF(R18="","",R18)</f>
        <v/>
      </c>
      <c r="G17" s="440"/>
      <c r="J17" s="83" t="s">
        <v>123</v>
      </c>
      <c r="K17" s="440" t="str">
        <f>IF(V18="","",V18)</f>
        <v/>
      </c>
      <c r="L17" s="440"/>
      <c r="M17" s="117"/>
      <c r="O17" s="77"/>
      <c r="Q17" s="83" t="s">
        <v>120</v>
      </c>
      <c r="R17" s="94" t="str">
        <f>IF(S17&lt;&gt;"",S17,IF(AB21="","",AB21))</f>
        <v/>
      </c>
      <c r="S17" s="95"/>
      <c r="U17" s="83" t="s">
        <v>121</v>
      </c>
      <c r="V17" s="121" t="str">
        <f>IF(W17&lt;&gt;"",W17,IF(AB24="","",AB24))</f>
        <v/>
      </c>
      <c r="W17" s="122"/>
      <c r="Y17" s="79"/>
      <c r="AA17" s="83" t="s">
        <v>114</v>
      </c>
      <c r="AB17" s="125"/>
      <c r="AC17" s="97" t="str">
        <f t="shared" si="0"/>
        <v/>
      </c>
      <c r="AD17" s="126" t="str">
        <f>IF(V12="","",V12)</f>
        <v/>
      </c>
      <c r="AH17" s="416">
        <v>28</v>
      </c>
      <c r="AI17" s="416">
        <v>50</v>
      </c>
      <c r="AJ17" s="417">
        <v>0</v>
      </c>
      <c r="AK17" s="416" t="str">
        <f t="shared" si="1"/>
        <v>Mo</v>
      </c>
      <c r="AL17" s="416" t="str">
        <f t="shared" si="2"/>
        <v>Mo</v>
      </c>
      <c r="AM17" s="416"/>
      <c r="AN17" s="416"/>
      <c r="AO17" s="416"/>
      <c r="AP17" s="416"/>
      <c r="AQ17" s="418"/>
    </row>
    <row r="18" spans="1:43" ht="14.1" customHeight="1" x14ac:dyDescent="0.2">
      <c r="A18" s="63">
        <v>18</v>
      </c>
      <c r="B18" s="115"/>
      <c r="C18" s="116"/>
      <c r="E18" s="83" t="s">
        <v>124</v>
      </c>
      <c r="F18" s="440" t="str">
        <f>IF(R19="","",R19)</f>
        <v/>
      </c>
      <c r="G18" s="440"/>
      <c r="J18" s="83" t="s">
        <v>125</v>
      </c>
      <c r="K18" s="440" t="str">
        <f>IF(V19="","",V19)</f>
        <v/>
      </c>
      <c r="L18" s="440"/>
      <c r="M18" s="117"/>
      <c r="O18" s="77"/>
      <c r="Q18" s="83" t="s">
        <v>122</v>
      </c>
      <c r="R18" s="94" t="str">
        <f>IF(S18&lt;&gt;"",S18,IF(AB22="","",AB22))</f>
        <v/>
      </c>
      <c r="S18" s="95"/>
      <c r="U18" s="83" t="s">
        <v>123</v>
      </c>
      <c r="V18" s="94" t="str">
        <f>IF(W18&lt;&gt;"",W18,IF(AB25="","",AB25))</f>
        <v/>
      </c>
      <c r="W18" s="95"/>
      <c r="Y18" s="79"/>
      <c r="AA18" s="83" t="s">
        <v>116</v>
      </c>
      <c r="AB18" s="113"/>
      <c r="AC18" s="97" t="str">
        <f t="shared" si="0"/>
        <v/>
      </c>
      <c r="AD18" s="114" t="str">
        <f>IF(V13="","",V13)</f>
        <v/>
      </c>
      <c r="AH18" s="416">
        <v>28</v>
      </c>
      <c r="AI18" s="416">
        <v>50</v>
      </c>
      <c r="AJ18" s="417">
        <v>0</v>
      </c>
      <c r="AK18" s="416" t="str">
        <f t="shared" si="1"/>
        <v>Mo</v>
      </c>
      <c r="AL18" s="416" t="str">
        <f t="shared" si="2"/>
        <v>Mo</v>
      </c>
      <c r="AM18" s="416"/>
      <c r="AN18" s="416"/>
      <c r="AO18" s="416"/>
      <c r="AP18" s="416"/>
      <c r="AQ18" s="418"/>
    </row>
    <row r="19" spans="1:43" ht="14.1" customHeight="1" x14ac:dyDescent="0.2">
      <c r="A19" s="63">
        <v>19</v>
      </c>
      <c r="B19" s="115"/>
      <c r="C19" s="116"/>
      <c r="M19" s="117"/>
      <c r="O19" s="77"/>
      <c r="Q19" s="83" t="s">
        <v>124</v>
      </c>
      <c r="R19" s="94" t="str">
        <f>IF(S19&lt;&gt;"",S19,IF(AB23="","",AB23))</f>
        <v/>
      </c>
      <c r="S19" s="95"/>
      <c r="U19" s="83" t="s">
        <v>125</v>
      </c>
      <c r="V19" s="94" t="str">
        <f>IF(W19&lt;&gt;"",W19,IF(AB26="","",AB26))</f>
        <v/>
      </c>
      <c r="W19" s="95"/>
      <c r="Y19" s="79"/>
      <c r="AA19" s="83" t="s">
        <v>126</v>
      </c>
      <c r="AB19" s="113"/>
      <c r="AC19" s="97" t="str">
        <f t="shared" si="0"/>
        <v/>
      </c>
      <c r="AD19" s="114" t="str">
        <f>IF(V14="","",V14)</f>
        <v/>
      </c>
      <c r="AH19" s="416">
        <v>28</v>
      </c>
      <c r="AI19" s="416">
        <v>50</v>
      </c>
      <c r="AJ19" s="417">
        <v>0</v>
      </c>
      <c r="AK19" s="416" t="str">
        <f t="shared" si="1"/>
        <v>Mo</v>
      </c>
      <c r="AL19" s="416" t="str">
        <f t="shared" si="2"/>
        <v>Mo</v>
      </c>
      <c r="AM19" s="416"/>
      <c r="AN19" s="416"/>
      <c r="AO19" s="416"/>
      <c r="AP19" s="416"/>
      <c r="AQ19" s="418"/>
    </row>
    <row r="20" spans="1:43" ht="14.1" customHeight="1" x14ac:dyDescent="0.2">
      <c r="A20" s="63">
        <v>20</v>
      </c>
      <c r="B20" s="115"/>
      <c r="C20" s="116"/>
      <c r="D20" s="124" t="s">
        <v>127</v>
      </c>
      <c r="J20" s="127"/>
      <c r="M20" s="117"/>
      <c r="O20" s="77"/>
      <c r="Y20" s="79"/>
      <c r="AA20" s="91" t="s">
        <v>119</v>
      </c>
      <c r="AH20" s="416">
        <v>28</v>
      </c>
      <c r="AI20" s="416">
        <v>100</v>
      </c>
      <c r="AJ20" s="417">
        <v>0</v>
      </c>
      <c r="AK20" s="416" t="str">
        <f t="shared" si="1"/>
        <v>Mo</v>
      </c>
      <c r="AL20" s="416" t="str">
        <f t="shared" si="2"/>
        <v>Mo</v>
      </c>
      <c r="AM20" s="416"/>
      <c r="AN20" s="416"/>
      <c r="AO20" s="416"/>
      <c r="AP20" s="416"/>
      <c r="AQ20" s="418"/>
    </row>
    <row r="21" spans="1:43" ht="14.1" customHeight="1" x14ac:dyDescent="0.2">
      <c r="A21" s="63">
        <v>21</v>
      </c>
      <c r="B21" s="115"/>
      <c r="C21" s="116"/>
      <c r="E21" s="83" t="s">
        <v>128</v>
      </c>
      <c r="F21" s="440" t="str">
        <f>IF(R22="","",R22)</f>
        <v/>
      </c>
      <c r="G21" s="440"/>
      <c r="J21" s="83" t="s">
        <v>129</v>
      </c>
      <c r="K21" s="440" t="str">
        <f>IF(V21="","",V21)</f>
        <v>Mo</v>
      </c>
      <c r="L21" s="440"/>
      <c r="M21" s="117"/>
      <c r="O21" s="77"/>
      <c r="P21" s="124" t="s">
        <v>127</v>
      </c>
      <c r="U21" s="124" t="s">
        <v>129</v>
      </c>
      <c r="V21" s="94" t="str">
        <f>IF(W21&lt;&gt;"",W21,IF(AB38="","",AB38))</f>
        <v>Mo</v>
      </c>
      <c r="W21" s="95" t="s">
        <v>130</v>
      </c>
      <c r="Y21" s="79"/>
      <c r="AA21" s="83" t="s">
        <v>120</v>
      </c>
      <c r="AB21" s="113"/>
      <c r="AC21" s="97" t="str">
        <f t="shared" ref="AC21:AC26" si="3">IF(AB21&lt;&gt;AD21,"Change","")</f>
        <v/>
      </c>
      <c r="AD21" s="114" t="str">
        <f>IF(R17="","",R17)</f>
        <v/>
      </c>
      <c r="AH21" s="416">
        <v>28</v>
      </c>
      <c r="AI21" s="416">
        <v>300</v>
      </c>
      <c r="AJ21" s="417">
        <v>0</v>
      </c>
      <c r="AK21" s="416" t="str">
        <f t="shared" si="1"/>
        <v>Mo</v>
      </c>
      <c r="AL21" s="416" t="str">
        <f t="shared" si="2"/>
        <v>Mo</v>
      </c>
      <c r="AM21" s="416"/>
      <c r="AN21" s="416"/>
      <c r="AO21" s="416"/>
      <c r="AP21" s="416"/>
      <c r="AQ21" s="418"/>
    </row>
    <row r="22" spans="1:43" ht="14.1" customHeight="1" x14ac:dyDescent="0.2">
      <c r="A22" s="63">
        <v>22</v>
      </c>
      <c r="B22" s="115"/>
      <c r="C22" s="116"/>
      <c r="E22" s="83" t="s">
        <v>121</v>
      </c>
      <c r="F22" s="442" t="str">
        <f>IF(R23="","",R23)</f>
        <v/>
      </c>
      <c r="G22" s="442"/>
      <c r="J22" s="83"/>
      <c r="K22" s="440" t="str">
        <f>IF(V22="","",V22)</f>
        <v/>
      </c>
      <c r="L22" s="440"/>
      <c r="M22" s="117"/>
      <c r="O22" s="77"/>
      <c r="Q22" s="83" t="s">
        <v>128</v>
      </c>
      <c r="R22" s="94" t="str">
        <f>IF(S22&lt;&gt;"",S22,IF(AB28="","",AB28))</f>
        <v/>
      </c>
      <c r="S22" s="95"/>
      <c r="V22" s="94" t="str">
        <f>IF(W22&lt;&gt;"",W22,IF(AB39="","",AB39))</f>
        <v/>
      </c>
      <c r="W22" s="95"/>
      <c r="Y22" s="79"/>
      <c r="AA22" s="83" t="s">
        <v>122</v>
      </c>
      <c r="AB22" s="113"/>
      <c r="AC22" s="97" t="str">
        <f t="shared" si="3"/>
        <v/>
      </c>
      <c r="AD22" s="114" t="str">
        <f>IF(R18="","",R18)</f>
        <v/>
      </c>
      <c r="AH22" s="416">
        <v>30</v>
      </c>
      <c r="AI22" s="416">
        <v>50</v>
      </c>
      <c r="AJ22" s="417">
        <v>0</v>
      </c>
      <c r="AK22" s="416" t="str">
        <f t="shared" si="1"/>
        <v>Mo</v>
      </c>
      <c r="AL22" s="416" t="str">
        <f t="shared" si="2"/>
        <v>Mo</v>
      </c>
      <c r="AM22" s="416"/>
      <c r="AN22" s="416"/>
      <c r="AO22" s="416"/>
      <c r="AP22" s="416"/>
      <c r="AQ22" s="418"/>
    </row>
    <row r="23" spans="1:43" ht="14.1" customHeight="1" x14ac:dyDescent="0.2">
      <c r="A23" s="63">
        <v>23</v>
      </c>
      <c r="B23" s="115"/>
      <c r="C23" s="116"/>
      <c r="D23" s="124" t="s">
        <v>131</v>
      </c>
      <c r="J23" s="83" t="s">
        <v>132</v>
      </c>
      <c r="K23" s="440" t="str">
        <f>IF(V24="","",V24)</f>
        <v>Mo</v>
      </c>
      <c r="L23" s="440"/>
      <c r="M23" s="117"/>
      <c r="O23" s="77"/>
      <c r="Q23" s="83" t="s">
        <v>121</v>
      </c>
      <c r="R23" s="121" t="str">
        <f>IF(S23&lt;&gt;"",S23,IF(AB29="","",AB29))</f>
        <v/>
      </c>
      <c r="S23" s="122"/>
      <c r="V23" s="74"/>
      <c r="W23" s="74"/>
      <c r="Y23" s="79"/>
      <c r="AA23" s="83" t="s">
        <v>124</v>
      </c>
      <c r="AB23" s="113"/>
      <c r="AC23" s="97" t="str">
        <f t="shared" si="3"/>
        <v/>
      </c>
      <c r="AD23" s="114" t="str">
        <f>IF(R19="","",R19)</f>
        <v/>
      </c>
      <c r="AH23" s="416">
        <v>32</v>
      </c>
      <c r="AI23" s="416">
        <v>50</v>
      </c>
      <c r="AJ23" s="417">
        <v>0</v>
      </c>
      <c r="AK23" s="416" t="str">
        <f t="shared" si="1"/>
        <v>Mo</v>
      </c>
      <c r="AL23" s="416" t="str">
        <f t="shared" si="2"/>
        <v>Mo</v>
      </c>
      <c r="AM23" s="416"/>
      <c r="AN23" s="416"/>
      <c r="AO23" s="416"/>
      <c r="AP23" s="416"/>
      <c r="AQ23" s="418"/>
    </row>
    <row r="24" spans="1:43" ht="14.1" customHeight="1" x14ac:dyDescent="0.2">
      <c r="A24" s="63">
        <v>24</v>
      </c>
      <c r="B24" s="115"/>
      <c r="C24" s="116"/>
      <c r="E24" s="83" t="s">
        <v>120</v>
      </c>
      <c r="F24" s="440" t="str">
        <f>IF(R25="","",R25)</f>
        <v/>
      </c>
      <c r="G24" s="440"/>
      <c r="K24" s="440" t="str">
        <f>IF(V25="","",V25)</f>
        <v/>
      </c>
      <c r="L24" s="440"/>
      <c r="M24" s="117"/>
      <c r="O24" s="77"/>
      <c r="P24" s="124" t="s">
        <v>131</v>
      </c>
      <c r="U24" s="124" t="s">
        <v>132</v>
      </c>
      <c r="V24" s="94" t="str">
        <f>IF(W24&lt;&gt;"",W24,IF(AB40="","",AB40))</f>
        <v>Mo</v>
      </c>
      <c r="W24" s="95" t="s">
        <v>130</v>
      </c>
      <c r="Y24" s="79"/>
      <c r="AA24" s="83" t="s">
        <v>121</v>
      </c>
      <c r="AB24" s="125"/>
      <c r="AC24" s="97" t="str">
        <f t="shared" si="3"/>
        <v/>
      </c>
      <c r="AD24" s="126" t="str">
        <f>IF(V17="","",V17)</f>
        <v/>
      </c>
      <c r="AH24" s="416">
        <v>32</v>
      </c>
      <c r="AI24" s="416">
        <v>50</v>
      </c>
      <c r="AJ24" s="417">
        <v>0</v>
      </c>
      <c r="AK24" s="416" t="str">
        <f t="shared" si="1"/>
        <v>Mo</v>
      </c>
      <c r="AL24" s="416" t="str">
        <f t="shared" si="2"/>
        <v>Mo</v>
      </c>
      <c r="AM24" s="416"/>
      <c r="AN24" s="416"/>
      <c r="AO24" s="416"/>
      <c r="AP24" s="416"/>
      <c r="AQ24" s="418"/>
    </row>
    <row r="25" spans="1:43" ht="14.1" customHeight="1" x14ac:dyDescent="0.2">
      <c r="A25" s="63">
        <v>25</v>
      </c>
      <c r="B25" s="115"/>
      <c r="C25" s="116"/>
      <c r="E25" s="83" t="s">
        <v>122</v>
      </c>
      <c r="F25" s="440" t="str">
        <f>IF(R26="","",R26)</f>
        <v/>
      </c>
      <c r="G25" s="440"/>
      <c r="J25" s="74"/>
      <c r="K25" s="74"/>
      <c r="L25" s="74"/>
      <c r="M25" s="117"/>
      <c r="O25" s="77"/>
      <c r="Q25" s="83" t="s">
        <v>120</v>
      </c>
      <c r="R25" s="94" t="str">
        <f>IF(S25&lt;&gt;"",S25,IF(AB30="","",AB30))</f>
        <v/>
      </c>
      <c r="S25" s="95"/>
      <c r="V25" s="94" t="str">
        <f>IF(W25&lt;&gt;"",W25,IF(AB44="","",AB44))</f>
        <v/>
      </c>
      <c r="W25" s="95"/>
      <c r="Y25" s="79"/>
      <c r="AA25" s="83" t="s">
        <v>123</v>
      </c>
      <c r="AB25" s="113"/>
      <c r="AC25" s="97" t="str">
        <f t="shared" si="3"/>
        <v/>
      </c>
      <c r="AD25" s="114" t="str">
        <f>IF(V18="","",V18)</f>
        <v/>
      </c>
      <c r="AH25" s="416">
        <v>34</v>
      </c>
      <c r="AI25" s="416">
        <v>50</v>
      </c>
      <c r="AJ25" s="417">
        <v>0</v>
      </c>
      <c r="AK25" s="416" t="str">
        <f t="shared" si="1"/>
        <v>Mo</v>
      </c>
      <c r="AL25" s="416" t="str">
        <f t="shared" si="2"/>
        <v>Mo</v>
      </c>
      <c r="AM25" s="416"/>
      <c r="AN25" s="416"/>
      <c r="AO25" s="416"/>
      <c r="AP25" s="416"/>
      <c r="AQ25" s="418"/>
    </row>
    <row r="26" spans="1:43" ht="14.1" customHeight="1" x14ac:dyDescent="0.2">
      <c r="A26" s="63">
        <v>26</v>
      </c>
      <c r="B26" s="115"/>
      <c r="C26" s="116"/>
      <c r="E26" s="83" t="s">
        <v>123</v>
      </c>
      <c r="F26" s="440" t="str">
        <f>IF(R27="","",R27)</f>
        <v/>
      </c>
      <c r="G26" s="440"/>
      <c r="I26" s="124" t="s">
        <v>133</v>
      </c>
      <c r="J26" s="74"/>
      <c r="K26" s="74"/>
      <c r="L26" s="74"/>
      <c r="M26" s="117"/>
      <c r="O26" s="77"/>
      <c r="Q26" s="83" t="s">
        <v>122</v>
      </c>
      <c r="R26" s="94" t="str">
        <f>IF(S26&lt;&gt;"",S26,IF(AB31="","",AB31))</f>
        <v/>
      </c>
      <c r="S26" s="95"/>
      <c r="V26" s="74"/>
      <c r="W26" s="74"/>
      <c r="Y26" s="79"/>
      <c r="AA26" s="83" t="s">
        <v>125</v>
      </c>
      <c r="AB26" s="113"/>
      <c r="AC26" s="97" t="str">
        <f t="shared" si="3"/>
        <v/>
      </c>
      <c r="AD26" s="114" t="str">
        <f>IF(V19="","",V19)</f>
        <v/>
      </c>
      <c r="AH26" s="416">
        <v>34</v>
      </c>
      <c r="AI26" s="416">
        <v>50</v>
      </c>
      <c r="AJ26" s="417">
        <v>0</v>
      </c>
      <c r="AK26" s="416" t="str">
        <f t="shared" si="1"/>
        <v>Mo</v>
      </c>
      <c r="AL26" s="416" t="str">
        <f t="shared" si="2"/>
        <v>Mo</v>
      </c>
      <c r="AM26" s="416"/>
      <c r="AN26" s="416"/>
      <c r="AO26" s="416"/>
      <c r="AP26" s="416"/>
      <c r="AQ26" s="418"/>
    </row>
    <row r="27" spans="1:43" ht="14.1" customHeight="1" x14ac:dyDescent="0.2">
      <c r="A27" s="63">
        <v>27</v>
      </c>
      <c r="B27" s="115"/>
      <c r="C27" s="116"/>
      <c r="D27" s="124" t="s">
        <v>134</v>
      </c>
      <c r="J27" s="83" t="s">
        <v>135</v>
      </c>
      <c r="K27" s="440" t="str">
        <f>IF(V28="","",V28)</f>
        <v/>
      </c>
      <c r="L27" s="440"/>
      <c r="M27" s="117"/>
      <c r="O27" s="77"/>
      <c r="Q27" s="83" t="s">
        <v>123</v>
      </c>
      <c r="R27" s="94" t="str">
        <f>IF(S27&lt;&gt;"",S27,IF(AB32="","",AB32))</f>
        <v/>
      </c>
      <c r="S27" s="95"/>
      <c r="U27" s="127" t="s">
        <v>133</v>
      </c>
      <c r="Y27" s="79"/>
      <c r="AA27" s="124" t="s">
        <v>127</v>
      </c>
    </row>
    <row r="28" spans="1:43" ht="14.1" customHeight="1" x14ac:dyDescent="0.2">
      <c r="A28" s="63">
        <v>28</v>
      </c>
      <c r="B28" s="115"/>
      <c r="C28" s="116"/>
      <c r="E28" s="83" t="s">
        <v>120</v>
      </c>
      <c r="F28" s="440" t="str">
        <f>IF(R29="","",R29)</f>
        <v/>
      </c>
      <c r="G28" s="440"/>
      <c r="I28" s="74"/>
      <c r="J28" s="83" t="s">
        <v>136</v>
      </c>
      <c r="K28" s="440" t="str">
        <f>IF(V29="","",V29)</f>
        <v/>
      </c>
      <c r="L28" s="440"/>
      <c r="M28" s="117"/>
      <c r="O28" s="77"/>
      <c r="P28" s="124" t="s">
        <v>134</v>
      </c>
      <c r="U28" s="83" t="s">
        <v>135</v>
      </c>
      <c r="V28" s="94" t="str">
        <f>IF(W28&lt;&gt;"",W28,IF(AB36="","",AB36))</f>
        <v/>
      </c>
      <c r="W28" s="95"/>
      <c r="Y28" s="79"/>
      <c r="AA28" s="83" t="s">
        <v>128</v>
      </c>
      <c r="AB28" s="113"/>
      <c r="AC28" s="97" t="str">
        <f t="shared" ref="AC28:AC43" si="4">IF(AB28&lt;&gt;AD28,"Change","")</f>
        <v/>
      </c>
      <c r="AD28" s="114" t="str">
        <f>IF(R22="","",R22)</f>
        <v/>
      </c>
    </row>
    <row r="29" spans="1:43" ht="14.1" customHeight="1" x14ac:dyDescent="0.2">
      <c r="A29" s="63">
        <v>29</v>
      </c>
      <c r="B29" s="115"/>
      <c r="C29" s="116"/>
      <c r="E29" s="83" t="s">
        <v>122</v>
      </c>
      <c r="F29" s="440" t="str">
        <f>IF(R30="","",R30)</f>
        <v/>
      </c>
      <c r="G29" s="440"/>
      <c r="I29" s="124" t="s">
        <v>137</v>
      </c>
      <c r="J29" s="83" t="s">
        <v>138</v>
      </c>
      <c r="K29" s="440" t="str">
        <f>IF(V32="","",V32)</f>
        <v/>
      </c>
      <c r="L29" s="440"/>
      <c r="M29" s="117"/>
      <c r="O29" s="77"/>
      <c r="Q29" s="83" t="s">
        <v>120</v>
      </c>
      <c r="R29" s="94" t="str">
        <f>IF(S29&lt;&gt;"",S29,IF(AB33="","",AB33))</f>
        <v/>
      </c>
      <c r="S29" s="95"/>
      <c r="U29" s="83" t="s">
        <v>136</v>
      </c>
      <c r="V29" s="94" t="str">
        <f>IF(W29&lt;&gt;"",W29,IF(AB37="","",AB37))</f>
        <v/>
      </c>
      <c r="W29" s="95"/>
      <c r="Y29" s="79"/>
      <c r="AA29" s="83" t="s">
        <v>121</v>
      </c>
      <c r="AB29" s="125"/>
      <c r="AC29" s="97" t="str">
        <f t="shared" si="4"/>
        <v/>
      </c>
      <c r="AD29" s="126" t="str">
        <f>IF(R23="","",R23)</f>
        <v/>
      </c>
      <c r="AH29"/>
      <c r="AI29"/>
      <c r="AJ29"/>
      <c r="AK29"/>
      <c r="AL29"/>
      <c r="AM29"/>
      <c r="AN29"/>
      <c r="AO29"/>
      <c r="AP29"/>
      <c r="AQ29"/>
    </row>
    <row r="30" spans="1:43" ht="14.1" customHeight="1" x14ac:dyDescent="0.2">
      <c r="A30" s="63">
        <v>30</v>
      </c>
      <c r="B30" s="115"/>
      <c r="C30" s="116"/>
      <c r="E30" s="83" t="s">
        <v>123</v>
      </c>
      <c r="F30" s="440" t="str">
        <f>IF(R31="","",R31)</f>
        <v/>
      </c>
      <c r="G30" s="440"/>
      <c r="J30" s="83" t="s">
        <v>139</v>
      </c>
      <c r="K30" s="440" t="str">
        <f>IF(V33="","",V33)</f>
        <v/>
      </c>
      <c r="L30" s="440"/>
      <c r="M30" s="117"/>
      <c r="O30" s="77"/>
      <c r="Q30" s="83" t="s">
        <v>122</v>
      </c>
      <c r="R30" s="94" t="str">
        <f>IF(S30&lt;&gt;"",S30,IF(AB34="","",AB34))</f>
        <v/>
      </c>
      <c r="S30" s="95"/>
      <c r="Y30" s="79"/>
      <c r="AA30" s="83" t="s">
        <v>120</v>
      </c>
      <c r="AB30" s="113"/>
      <c r="AC30" s="97" t="str">
        <f t="shared" si="4"/>
        <v/>
      </c>
      <c r="AD30" s="114" t="str">
        <f>IF(R25="","",R25)</f>
        <v/>
      </c>
      <c r="AH30"/>
      <c r="AI30"/>
      <c r="AJ30"/>
      <c r="AK30"/>
      <c r="AL30"/>
      <c r="AM30"/>
      <c r="AN30"/>
      <c r="AO30"/>
      <c r="AP30"/>
      <c r="AQ30"/>
    </row>
    <row r="31" spans="1:43" ht="14.1" customHeight="1" thickBot="1" x14ac:dyDescent="0.25">
      <c r="A31" s="63">
        <v>31</v>
      </c>
      <c r="B31" s="128"/>
      <c r="C31" s="129"/>
      <c r="D31" s="129"/>
      <c r="E31" s="129"/>
      <c r="F31" s="129"/>
      <c r="G31" s="129"/>
      <c r="H31" s="129"/>
      <c r="I31" s="129"/>
      <c r="J31" s="129"/>
      <c r="K31" s="129"/>
      <c r="L31" s="129"/>
      <c r="M31" s="130"/>
      <c r="O31" s="77"/>
      <c r="Q31" s="83" t="s">
        <v>123</v>
      </c>
      <c r="R31" s="94" t="str">
        <f>IF(S31&lt;&gt;"",S31,IF(AB35="","",AB35))</f>
        <v/>
      </c>
      <c r="S31" s="95"/>
      <c r="U31" s="124" t="s">
        <v>137</v>
      </c>
      <c r="Y31" s="79"/>
      <c r="AA31" s="83" t="s">
        <v>122</v>
      </c>
      <c r="AB31" s="113"/>
      <c r="AC31" s="97" t="str">
        <f t="shared" si="4"/>
        <v/>
      </c>
      <c r="AD31" s="114" t="str">
        <f>IF(R26="","",R26)</f>
        <v/>
      </c>
      <c r="AH31"/>
      <c r="AI31"/>
      <c r="AJ31"/>
      <c r="AK31"/>
      <c r="AL31"/>
      <c r="AM31"/>
      <c r="AN31"/>
      <c r="AO31"/>
      <c r="AP31"/>
      <c r="AQ31"/>
    </row>
    <row r="32" spans="1:43" ht="14.1" customHeight="1" thickTop="1" x14ac:dyDescent="0.2">
      <c r="A32" s="63">
        <v>32</v>
      </c>
      <c r="O32" s="77"/>
      <c r="U32" s="83" t="s">
        <v>138</v>
      </c>
      <c r="V32" s="94" t="str">
        <f>IF(W32&lt;&gt;"",W32,IF(AB45="","",AB45))</f>
        <v/>
      </c>
      <c r="W32" s="95"/>
      <c r="Y32" s="79"/>
      <c r="AA32" s="83" t="s">
        <v>123</v>
      </c>
      <c r="AB32" s="113"/>
      <c r="AC32" s="97" t="str">
        <f t="shared" si="4"/>
        <v/>
      </c>
      <c r="AD32" s="114" t="str">
        <f>IF(R27="","",R27)</f>
        <v/>
      </c>
      <c r="AH32"/>
      <c r="AI32"/>
      <c r="AJ32"/>
      <c r="AK32"/>
      <c r="AL32"/>
      <c r="AM32"/>
      <c r="AN32"/>
      <c r="AO32"/>
      <c r="AP32"/>
      <c r="AQ32"/>
    </row>
    <row r="33" spans="1:43" ht="14.1" customHeight="1" thickBot="1" x14ac:dyDescent="0.25">
      <c r="A33" s="63">
        <v>33</v>
      </c>
      <c r="H33" s="99" t="s">
        <v>140</v>
      </c>
      <c r="O33" s="77"/>
      <c r="U33" s="83" t="s">
        <v>139</v>
      </c>
      <c r="V33" s="94" t="str">
        <f>IF(W33&lt;&gt;"",W33,IF(AB46="","",AB46))</f>
        <v/>
      </c>
      <c r="W33" s="95"/>
      <c r="Y33" s="79"/>
      <c r="AA33" s="83" t="s">
        <v>120</v>
      </c>
      <c r="AB33" s="113"/>
      <c r="AC33" s="97" t="str">
        <f t="shared" si="4"/>
        <v/>
      </c>
      <c r="AD33" s="114" t="str">
        <f>IF(R29="","",R29)</f>
        <v/>
      </c>
      <c r="AH33"/>
      <c r="AI33"/>
      <c r="AJ33"/>
      <c r="AK33"/>
      <c r="AL33"/>
      <c r="AM33"/>
      <c r="AN33"/>
      <c r="AO33"/>
      <c r="AP33"/>
      <c r="AQ33"/>
    </row>
    <row r="34" spans="1:43" ht="14.1" customHeight="1" thickTop="1" thickBot="1" x14ac:dyDescent="0.25">
      <c r="A34" s="63">
        <v>34</v>
      </c>
      <c r="B34" s="106"/>
      <c r="C34" s="107"/>
      <c r="D34" s="107"/>
      <c r="E34" s="107"/>
      <c r="F34" s="107"/>
      <c r="G34" s="107"/>
      <c r="H34" s="107"/>
      <c r="I34" s="107"/>
      <c r="J34" s="107"/>
      <c r="K34" s="107"/>
      <c r="L34" s="107"/>
      <c r="M34" s="109"/>
      <c r="O34" s="77"/>
      <c r="U34" s="74"/>
      <c r="V34" s="74"/>
      <c r="W34" s="74"/>
      <c r="Y34" s="79"/>
      <c r="AA34" s="83" t="s">
        <v>122</v>
      </c>
      <c r="AB34" s="113"/>
      <c r="AC34" s="97" t="str">
        <f t="shared" si="4"/>
        <v/>
      </c>
      <c r="AD34" s="114" t="str">
        <f>IF(R30="","",R30)</f>
        <v/>
      </c>
      <c r="AH34"/>
      <c r="AI34"/>
      <c r="AJ34"/>
      <c r="AK34"/>
      <c r="AL34"/>
      <c r="AM34"/>
      <c r="AN34"/>
      <c r="AO34"/>
      <c r="AP34"/>
      <c r="AQ34"/>
    </row>
    <row r="35" spans="1:43" ht="14.1" customHeight="1" thickTop="1" thickBot="1" x14ac:dyDescent="0.25">
      <c r="A35" s="63">
        <v>35</v>
      </c>
      <c r="B35" s="115"/>
      <c r="C35" s="131" t="s">
        <v>141</v>
      </c>
      <c r="D35" s="443" t="s">
        <v>142</v>
      </c>
      <c r="E35" s="443"/>
      <c r="F35" s="443"/>
      <c r="G35" s="443" t="s">
        <v>143</v>
      </c>
      <c r="H35" s="443"/>
      <c r="I35" s="443"/>
      <c r="J35" s="443" t="s">
        <v>144</v>
      </c>
      <c r="K35" s="443"/>
      <c r="L35" s="443"/>
      <c r="M35" s="117"/>
      <c r="O35" s="88"/>
      <c r="P35" s="89"/>
      <c r="Q35" s="89"/>
      <c r="R35" s="89"/>
      <c r="S35" s="89"/>
      <c r="T35" s="89"/>
      <c r="U35" s="89"/>
      <c r="V35" s="89"/>
      <c r="W35" s="89"/>
      <c r="X35" s="89"/>
      <c r="Y35" s="90"/>
      <c r="AA35" s="83" t="s">
        <v>123</v>
      </c>
      <c r="AB35" s="113"/>
      <c r="AC35" s="97" t="str">
        <f t="shared" si="4"/>
        <v/>
      </c>
      <c r="AD35" s="114" t="str">
        <f>IF(R31="","",R31)</f>
        <v/>
      </c>
      <c r="AH35"/>
      <c r="AI35"/>
      <c r="AJ35"/>
      <c r="AK35"/>
      <c r="AL35"/>
      <c r="AM35"/>
      <c r="AN35"/>
      <c r="AO35"/>
      <c r="AP35"/>
      <c r="AQ35"/>
    </row>
    <row r="36" spans="1:43" ht="14.1" customHeight="1" x14ac:dyDescent="0.2">
      <c r="A36" s="63">
        <v>36</v>
      </c>
      <c r="B36" s="115"/>
      <c r="C36" s="132" t="s">
        <v>145</v>
      </c>
      <c r="D36" s="133"/>
      <c r="E36" s="134"/>
      <c r="F36" s="135"/>
      <c r="G36" s="444" t="s">
        <v>146</v>
      </c>
      <c r="H36" s="444"/>
      <c r="I36" s="444"/>
      <c r="J36" s="133"/>
      <c r="K36" s="134"/>
      <c r="L36" s="135"/>
      <c r="M36" s="117"/>
      <c r="AA36" s="83" t="s">
        <v>135</v>
      </c>
      <c r="AB36" s="113"/>
      <c r="AC36" s="97" t="str">
        <f t="shared" si="4"/>
        <v/>
      </c>
      <c r="AD36" s="114" t="str">
        <f>IF(V28="","",V28)</f>
        <v/>
      </c>
      <c r="AH36"/>
      <c r="AI36"/>
      <c r="AJ36"/>
      <c r="AK36"/>
      <c r="AL36"/>
      <c r="AM36"/>
      <c r="AN36"/>
      <c r="AO36"/>
      <c r="AP36"/>
      <c r="AQ36"/>
    </row>
    <row r="37" spans="1:43" ht="14.1" customHeight="1" thickBot="1" x14ac:dyDescent="0.25">
      <c r="A37" s="63">
        <v>37</v>
      </c>
      <c r="B37" s="115"/>
      <c r="C37" s="132" t="s">
        <v>147</v>
      </c>
      <c r="D37" s="136" t="s">
        <v>148</v>
      </c>
      <c r="E37" s="137" t="s">
        <v>105</v>
      </c>
      <c r="F37" s="138" t="s">
        <v>149</v>
      </c>
      <c r="G37" s="136" t="s">
        <v>148</v>
      </c>
      <c r="H37" s="137" t="s">
        <v>105</v>
      </c>
      <c r="I37" s="138" t="s">
        <v>149</v>
      </c>
      <c r="J37" s="136" t="s">
        <v>148</v>
      </c>
      <c r="K37" s="137" t="s">
        <v>105</v>
      </c>
      <c r="L37" s="138" t="s">
        <v>149</v>
      </c>
      <c r="M37" s="117"/>
      <c r="T37" s="102" t="s">
        <v>150</v>
      </c>
      <c r="AA37" s="83" t="s">
        <v>136</v>
      </c>
      <c r="AB37" s="113"/>
      <c r="AC37" s="97" t="str">
        <f t="shared" si="4"/>
        <v/>
      </c>
      <c r="AD37" s="114" t="str">
        <f>IF(V29="","",V29)</f>
        <v/>
      </c>
      <c r="AH37"/>
      <c r="AI37"/>
      <c r="AJ37"/>
      <c r="AK37"/>
      <c r="AL37"/>
      <c r="AM37"/>
      <c r="AN37"/>
      <c r="AO37"/>
      <c r="AP37"/>
      <c r="AQ37"/>
    </row>
    <row r="38" spans="1:43" ht="14.1" customHeight="1" thickTop="1" x14ac:dyDescent="0.2">
      <c r="A38" s="63">
        <v>38</v>
      </c>
      <c r="B38" s="115"/>
      <c r="C38" s="139" t="s">
        <v>151</v>
      </c>
      <c r="D38" s="140" t="str">
        <f t="shared" ref="D38:L41" si="5">P100</f>
        <v/>
      </c>
      <c r="E38" s="141" t="str">
        <f t="shared" si="5"/>
        <v/>
      </c>
      <c r="F38" s="142" t="str">
        <f t="shared" si="5"/>
        <v/>
      </c>
      <c r="G38" s="140" t="str">
        <f t="shared" si="5"/>
        <v/>
      </c>
      <c r="H38" s="141" t="str">
        <f t="shared" si="5"/>
        <v/>
      </c>
      <c r="I38" s="142" t="str">
        <f t="shared" si="5"/>
        <v/>
      </c>
      <c r="J38" s="140" t="str">
        <f t="shared" si="5"/>
        <v/>
      </c>
      <c r="K38" s="141" t="str">
        <f t="shared" si="5"/>
        <v/>
      </c>
      <c r="L38" s="142" t="str">
        <f t="shared" si="5"/>
        <v/>
      </c>
      <c r="M38" s="117"/>
      <c r="O38" s="143" t="s">
        <v>152</v>
      </c>
      <c r="P38" s="69"/>
      <c r="Q38" s="69"/>
      <c r="R38" s="69"/>
      <c r="S38" s="69"/>
      <c r="T38" s="69"/>
      <c r="U38" s="69"/>
      <c r="V38" s="69"/>
      <c r="W38" s="69"/>
      <c r="X38" s="69"/>
      <c r="Y38" s="70"/>
      <c r="AA38" s="83" t="s">
        <v>153</v>
      </c>
      <c r="AB38" s="113"/>
      <c r="AC38" s="97" t="str">
        <f t="shared" si="4"/>
        <v>Change</v>
      </c>
      <c r="AD38" s="114" t="str">
        <f>IF(V21="","",V21)</f>
        <v>Mo</v>
      </c>
      <c r="AH38"/>
      <c r="AI38"/>
      <c r="AJ38"/>
      <c r="AK38"/>
      <c r="AL38"/>
      <c r="AM38"/>
      <c r="AN38"/>
      <c r="AO38"/>
      <c r="AP38"/>
      <c r="AQ38"/>
    </row>
    <row r="39" spans="1:43" ht="14.1" customHeight="1" x14ac:dyDescent="0.2">
      <c r="A39" s="63">
        <v>39</v>
      </c>
      <c r="B39" s="115"/>
      <c r="C39" s="144" t="s">
        <v>154</v>
      </c>
      <c r="D39" s="145" t="str">
        <f t="shared" si="5"/>
        <v/>
      </c>
      <c r="E39" s="118" t="str">
        <f t="shared" si="5"/>
        <v/>
      </c>
      <c r="F39" s="146" t="str">
        <f t="shared" si="5"/>
        <v/>
      </c>
      <c r="G39" s="145" t="str">
        <f t="shared" si="5"/>
        <v/>
      </c>
      <c r="H39" s="118" t="str">
        <f t="shared" si="5"/>
        <v/>
      </c>
      <c r="I39" s="146" t="str">
        <f t="shared" si="5"/>
        <v/>
      </c>
      <c r="J39" s="145" t="str">
        <f t="shared" si="5"/>
        <v/>
      </c>
      <c r="K39" s="118" t="str">
        <f t="shared" si="5"/>
        <v/>
      </c>
      <c r="L39" s="146" t="str">
        <f t="shared" si="5"/>
        <v/>
      </c>
      <c r="M39" s="117"/>
      <c r="O39" s="147"/>
      <c r="P39" s="84" t="s">
        <v>155</v>
      </c>
      <c r="Y39" s="79"/>
      <c r="AA39" s="83" t="s">
        <v>156</v>
      </c>
      <c r="AB39" s="113"/>
      <c r="AC39" s="97" t="str">
        <f t="shared" si="4"/>
        <v/>
      </c>
      <c r="AD39" s="114" t="str">
        <f>IF(V22="","",V22)</f>
        <v/>
      </c>
      <c r="AH39"/>
      <c r="AI39"/>
      <c r="AJ39"/>
      <c r="AK39"/>
      <c r="AL39"/>
      <c r="AM39"/>
      <c r="AN39"/>
      <c r="AO39"/>
      <c r="AP39"/>
      <c r="AQ39"/>
    </row>
    <row r="40" spans="1:43" ht="14.1" customHeight="1" x14ac:dyDescent="0.2">
      <c r="A40" s="63">
        <v>40</v>
      </c>
      <c r="B40" s="115"/>
      <c r="C40" s="144" t="s">
        <v>157</v>
      </c>
      <c r="D40" s="145" t="str">
        <f t="shared" si="5"/>
        <v/>
      </c>
      <c r="E40" s="118" t="str">
        <f t="shared" si="5"/>
        <v/>
      </c>
      <c r="F40" s="146" t="str">
        <f t="shared" si="5"/>
        <v/>
      </c>
      <c r="G40" s="145" t="str">
        <f t="shared" si="5"/>
        <v/>
      </c>
      <c r="H40" s="118" t="str">
        <f t="shared" si="5"/>
        <v/>
      </c>
      <c r="I40" s="146" t="str">
        <f t="shared" si="5"/>
        <v/>
      </c>
      <c r="J40" s="145" t="str">
        <f t="shared" si="5"/>
        <v/>
      </c>
      <c r="K40" s="118" t="str">
        <f t="shared" si="5"/>
        <v/>
      </c>
      <c r="L40" s="146" t="str">
        <f t="shared" si="5"/>
        <v/>
      </c>
      <c r="M40" s="117"/>
      <c r="O40" s="147"/>
      <c r="P40" s="84" t="s">
        <v>158</v>
      </c>
      <c r="Y40" s="79"/>
      <c r="AA40" s="83" t="s">
        <v>159</v>
      </c>
      <c r="AB40" s="113"/>
      <c r="AC40" s="97" t="str">
        <f t="shared" si="4"/>
        <v>Change</v>
      </c>
      <c r="AD40" s="114" t="str">
        <f>IF(V24="","",V24)</f>
        <v>Mo</v>
      </c>
      <c r="AH40"/>
      <c r="AI40"/>
      <c r="AJ40"/>
      <c r="AK40"/>
      <c r="AL40"/>
      <c r="AM40"/>
      <c r="AN40"/>
      <c r="AO40"/>
      <c r="AP40"/>
      <c r="AQ40"/>
    </row>
    <row r="41" spans="1:43" ht="14.1" customHeight="1" thickBot="1" x14ac:dyDescent="0.25">
      <c r="A41" s="63">
        <v>41</v>
      </c>
      <c r="B41" s="115"/>
      <c r="C41" s="148" t="s">
        <v>160</v>
      </c>
      <c r="D41" s="149" t="str">
        <f t="shared" si="5"/>
        <v/>
      </c>
      <c r="E41" s="150" t="str">
        <f t="shared" si="5"/>
        <v/>
      </c>
      <c r="F41" s="151" t="str">
        <f t="shared" si="5"/>
        <v/>
      </c>
      <c r="G41" s="149" t="str">
        <f t="shared" si="5"/>
        <v/>
      </c>
      <c r="H41" s="150" t="str">
        <f t="shared" si="5"/>
        <v/>
      </c>
      <c r="I41" s="151" t="str">
        <f t="shared" si="5"/>
        <v/>
      </c>
      <c r="J41" s="149" t="str">
        <f t="shared" si="5"/>
        <v/>
      </c>
      <c r="K41" s="150" t="str">
        <f t="shared" si="5"/>
        <v/>
      </c>
      <c r="L41" s="151" t="str">
        <f t="shared" si="5"/>
        <v/>
      </c>
      <c r="M41" s="117"/>
      <c r="O41" s="147"/>
      <c r="P41" s="84" t="s">
        <v>161</v>
      </c>
      <c r="Y41" s="79"/>
      <c r="AA41" s="83" t="s">
        <v>162</v>
      </c>
      <c r="AB41" s="113"/>
      <c r="AC41" s="97" t="str">
        <f t="shared" si="4"/>
        <v/>
      </c>
      <c r="AD41" s="114" t="str">
        <f>IF(V25="","",V25)</f>
        <v/>
      </c>
    </row>
    <row r="42" spans="1:43" ht="14.1" customHeight="1" thickTop="1" x14ac:dyDescent="0.2">
      <c r="A42" s="63">
        <v>42</v>
      </c>
      <c r="B42" s="115"/>
      <c r="M42" s="117"/>
      <c r="O42" s="147"/>
      <c r="P42" s="84" t="s">
        <v>163</v>
      </c>
      <c r="Y42" s="79"/>
      <c r="AA42" s="83" t="s">
        <v>138</v>
      </c>
      <c r="AB42" s="113"/>
      <c r="AC42" s="97" t="str">
        <f t="shared" si="4"/>
        <v/>
      </c>
      <c r="AD42" s="114" t="str">
        <f>IF(V32="","",V32)</f>
        <v/>
      </c>
    </row>
    <row r="43" spans="1:43" ht="14.1" customHeight="1" x14ac:dyDescent="0.2">
      <c r="A43" s="63">
        <v>43</v>
      </c>
      <c r="B43" s="115"/>
      <c r="H43" s="99" t="s">
        <v>150</v>
      </c>
      <c r="M43" s="117"/>
      <c r="O43" s="147"/>
      <c r="P43" s="84" t="s">
        <v>164</v>
      </c>
      <c r="Y43" s="79"/>
      <c r="AA43" s="83" t="s">
        <v>165</v>
      </c>
      <c r="AB43" s="113"/>
      <c r="AC43" s="97" t="str">
        <f t="shared" si="4"/>
        <v/>
      </c>
      <c r="AD43" s="114" t="str">
        <f>IF(V33="","",V33)</f>
        <v/>
      </c>
      <c r="AH43" s="152"/>
      <c r="AI43" s="152"/>
      <c r="AJ43" s="153"/>
      <c r="AK43" s="152"/>
      <c r="AL43" s="152"/>
      <c r="AM43" s="152"/>
      <c r="AN43" s="152"/>
      <c r="AO43" s="152"/>
      <c r="AP43" s="152"/>
      <c r="AQ43" s="154"/>
    </row>
    <row r="44" spans="1:43" ht="14.1" customHeight="1" x14ac:dyDescent="0.2">
      <c r="A44" s="63">
        <v>44</v>
      </c>
      <c r="B44" s="115"/>
      <c r="C44" s="155" t="s">
        <v>166</v>
      </c>
      <c r="L44" s="445" t="s">
        <v>167</v>
      </c>
      <c r="M44" s="445"/>
      <c r="O44" s="77"/>
      <c r="Y44" s="79"/>
      <c r="AA44" s="124" t="s">
        <v>140</v>
      </c>
      <c r="AH44" s="152"/>
      <c r="AI44" s="152"/>
      <c r="AJ44" s="153"/>
      <c r="AK44" s="152"/>
      <c r="AL44" s="152"/>
      <c r="AM44" s="152"/>
      <c r="AN44" s="152"/>
      <c r="AO44" s="152"/>
      <c r="AP44" s="152"/>
      <c r="AQ44" s="154"/>
    </row>
    <row r="45" spans="1:43" ht="14.1" customHeight="1" x14ac:dyDescent="0.2">
      <c r="A45" s="63">
        <v>45</v>
      </c>
      <c r="B45" s="115"/>
      <c r="C45" s="156" t="s">
        <v>168</v>
      </c>
      <c r="E45" s="84" t="s">
        <v>155</v>
      </c>
      <c r="L45" s="157" t="str">
        <f>IF(O39="","TBD",IF(O39=1,"YES",IF(O39=3,"NA","")))</f>
        <v>TBD</v>
      </c>
      <c r="M45" s="158" t="str">
        <f>IF(O39=2,"NO","")</f>
        <v/>
      </c>
      <c r="O45" s="77"/>
      <c r="T45" s="102" t="s">
        <v>169</v>
      </c>
      <c r="Y45" s="79"/>
      <c r="AA45" s="91" t="s">
        <v>142</v>
      </c>
      <c r="AH45" s="152"/>
      <c r="AI45" s="152"/>
      <c r="AJ45" s="153"/>
      <c r="AK45" s="152"/>
      <c r="AL45" s="152"/>
      <c r="AM45" s="152"/>
      <c r="AN45" s="152"/>
      <c r="AO45" s="152"/>
      <c r="AP45" s="152"/>
      <c r="AQ45" s="154"/>
    </row>
    <row r="46" spans="1:43" ht="14.1" customHeight="1" x14ac:dyDescent="0.2">
      <c r="A46" s="63">
        <v>46</v>
      </c>
      <c r="B46" s="115"/>
      <c r="C46" s="156" t="s">
        <v>170</v>
      </c>
      <c r="E46" s="84" t="s">
        <v>158</v>
      </c>
      <c r="L46" s="157" t="str">
        <f>IF(O40="","TBD",IF(O40=1,"YES",IF(O40=3,"NA","")))</f>
        <v>TBD</v>
      </c>
      <c r="M46" s="158" t="str">
        <f>IF(O40=2,"NO","")</f>
        <v/>
      </c>
      <c r="O46" s="147"/>
      <c r="P46" s="116" t="s">
        <v>171</v>
      </c>
      <c r="Y46" s="79"/>
      <c r="AA46" s="83" t="s">
        <v>172</v>
      </c>
      <c r="AB46" s="113"/>
      <c r="AD46" s="114" t="str">
        <f>IF(P100="","",P100)</f>
        <v/>
      </c>
      <c r="AH46" s="152"/>
      <c r="AI46" s="152"/>
      <c r="AJ46" s="153"/>
      <c r="AK46" s="152"/>
      <c r="AL46" s="152"/>
      <c r="AM46" s="152"/>
      <c r="AN46" s="152"/>
      <c r="AO46" s="152"/>
      <c r="AP46" s="152"/>
      <c r="AQ46" s="154"/>
    </row>
    <row r="47" spans="1:43" ht="14.1" customHeight="1" x14ac:dyDescent="0.2">
      <c r="A47" s="63">
        <v>47</v>
      </c>
      <c r="B47" s="115"/>
      <c r="C47" s="156" t="s">
        <v>173</v>
      </c>
      <c r="E47" s="84" t="s">
        <v>161</v>
      </c>
      <c r="L47" s="157" t="str">
        <f>IF(O41="","TBD",IF(O41=1,"YES",IF(O41=3,"NA","")))</f>
        <v>TBD</v>
      </c>
      <c r="M47" s="158" t="str">
        <f>IF(O41=2,"NO","")</f>
        <v/>
      </c>
      <c r="O47" s="147"/>
      <c r="P47" s="116" t="s">
        <v>174</v>
      </c>
      <c r="Y47" s="79"/>
      <c r="AA47" s="83" t="s">
        <v>175</v>
      </c>
      <c r="AB47" s="113"/>
      <c r="AD47" s="114" t="str">
        <f>IF(Q100="","",Q100)</f>
        <v/>
      </c>
      <c r="AH47" s="152"/>
      <c r="AI47" s="152"/>
      <c r="AJ47" s="153"/>
      <c r="AK47" s="152"/>
      <c r="AL47" s="152"/>
      <c r="AM47" s="152"/>
      <c r="AN47" s="152"/>
      <c r="AO47" s="152"/>
      <c r="AP47" s="152"/>
      <c r="AQ47" s="154"/>
    </row>
    <row r="48" spans="1:43" ht="14.1" customHeight="1" x14ac:dyDescent="0.2">
      <c r="A48" s="63">
        <v>48</v>
      </c>
      <c r="B48" s="115"/>
      <c r="E48" s="84" t="s">
        <v>163</v>
      </c>
      <c r="L48" s="157" t="str">
        <f>IF(O42="","TBD",IF(O42=1,"YES",IF(O42=3,"NA","")))</f>
        <v>TBD</v>
      </c>
      <c r="M48" s="158" t="str">
        <f>IF(O42=2,"NO","")</f>
        <v/>
      </c>
      <c r="O48" s="147"/>
      <c r="P48" s="116" t="s">
        <v>176</v>
      </c>
      <c r="Y48" s="79"/>
      <c r="AA48" s="83" t="s">
        <v>177</v>
      </c>
      <c r="AB48" s="113"/>
      <c r="AD48" s="114" t="str">
        <f>IF(R100="","",R100)</f>
        <v/>
      </c>
      <c r="AH48" s="152"/>
      <c r="AI48" s="152"/>
      <c r="AJ48" s="153"/>
      <c r="AK48" s="152"/>
      <c r="AL48" s="152"/>
      <c r="AM48" s="152"/>
      <c r="AN48" s="152"/>
      <c r="AO48" s="152"/>
      <c r="AP48" s="152"/>
      <c r="AQ48" s="154"/>
    </row>
    <row r="49" spans="1:43" ht="14.1" customHeight="1" x14ac:dyDescent="0.2">
      <c r="A49" s="63">
        <v>49</v>
      </c>
      <c r="B49" s="115"/>
      <c r="E49" s="84" t="s">
        <v>164</v>
      </c>
      <c r="L49" s="157" t="str">
        <f>IF(O43="","TBD",IF(O43=1,"YES",IF(O43=3,"NA","")))</f>
        <v>TBD</v>
      </c>
      <c r="M49" s="158" t="str">
        <f>IF(O43=2,"NO","")</f>
        <v/>
      </c>
      <c r="O49" s="147"/>
      <c r="P49" s="116" t="s">
        <v>178</v>
      </c>
      <c r="Y49" s="79"/>
      <c r="AA49" s="83" t="s">
        <v>172</v>
      </c>
      <c r="AB49" s="113"/>
      <c r="AD49" s="114" t="str">
        <f>IF(P101="","",P101)</f>
        <v/>
      </c>
      <c r="AH49" s="152"/>
      <c r="AI49" s="152"/>
      <c r="AJ49" s="153"/>
      <c r="AK49" s="152"/>
      <c r="AL49" s="152"/>
      <c r="AM49" s="152"/>
      <c r="AN49" s="152"/>
      <c r="AO49" s="152"/>
      <c r="AP49" s="152"/>
      <c r="AQ49" s="154"/>
    </row>
    <row r="50" spans="1:43" ht="14.1" customHeight="1" x14ac:dyDescent="0.2">
      <c r="A50" s="63">
        <v>50</v>
      </c>
      <c r="B50" s="115"/>
      <c r="H50" s="102" t="s">
        <v>169</v>
      </c>
      <c r="M50" s="117"/>
      <c r="O50" s="147"/>
      <c r="P50" s="116" t="s">
        <v>179</v>
      </c>
      <c r="Y50" s="79"/>
      <c r="AA50" s="83" t="s">
        <v>175</v>
      </c>
      <c r="AB50" s="113"/>
      <c r="AD50" s="114" t="str">
        <f>IF(Q101="","",Q101)</f>
        <v/>
      </c>
      <c r="AH50" s="152"/>
      <c r="AI50" s="152"/>
      <c r="AJ50" s="153"/>
      <c r="AK50" s="152"/>
      <c r="AL50" s="152"/>
      <c r="AM50" s="152"/>
      <c r="AN50" s="152"/>
      <c r="AO50" s="152"/>
      <c r="AP50" s="152"/>
      <c r="AQ50" s="154"/>
    </row>
    <row r="51" spans="1:43" ht="14.1" customHeight="1" x14ac:dyDescent="0.2">
      <c r="A51" s="63">
        <v>51</v>
      </c>
      <c r="B51" s="115"/>
      <c r="E51" s="116" t="s">
        <v>171</v>
      </c>
      <c r="L51" s="157" t="str">
        <f t="shared" ref="L51:L62" si="6">IF(O46="","TBD",IF(O46=1,"YES",IF(O46=3,"NA","")))</f>
        <v>TBD</v>
      </c>
      <c r="M51" s="158" t="str">
        <f t="shared" ref="M51:M62" si="7">IF(O46=2,"NO","")</f>
        <v/>
      </c>
      <c r="O51" s="147"/>
      <c r="P51" s="116" t="s">
        <v>180</v>
      </c>
      <c r="Y51" s="79"/>
      <c r="AA51" s="83" t="s">
        <v>177</v>
      </c>
      <c r="AB51" s="113"/>
      <c r="AD51" s="114" t="str">
        <f>IF(R101="","",R101)</f>
        <v/>
      </c>
      <c r="AH51" s="152"/>
      <c r="AI51" s="152"/>
      <c r="AJ51" s="153"/>
      <c r="AK51" s="152"/>
      <c r="AL51" s="152"/>
      <c r="AM51" s="152"/>
      <c r="AN51" s="152"/>
      <c r="AO51" s="152"/>
      <c r="AP51" s="152"/>
      <c r="AQ51" s="154"/>
    </row>
    <row r="52" spans="1:43" ht="14.1" customHeight="1" x14ac:dyDescent="0.2">
      <c r="A52" s="63">
        <v>52</v>
      </c>
      <c r="B52" s="115"/>
      <c r="E52" s="116" t="s">
        <v>174</v>
      </c>
      <c r="L52" s="157" t="str">
        <f t="shared" si="6"/>
        <v>TBD</v>
      </c>
      <c r="M52" s="158" t="str">
        <f t="shared" si="7"/>
        <v/>
      </c>
      <c r="O52" s="159">
        <v>1</v>
      </c>
      <c r="P52" s="116" t="s">
        <v>181</v>
      </c>
      <c r="Y52" s="79"/>
      <c r="AA52" s="83" t="s">
        <v>172</v>
      </c>
      <c r="AB52" s="113"/>
      <c r="AD52" s="114" t="str">
        <f>IF(P102="","",P102)</f>
        <v/>
      </c>
      <c r="AH52" s="152"/>
      <c r="AI52" s="152"/>
      <c r="AJ52" s="153"/>
      <c r="AK52" s="152"/>
      <c r="AL52" s="152"/>
      <c r="AM52" s="152"/>
      <c r="AN52" s="152"/>
      <c r="AO52" s="152"/>
      <c r="AP52" s="152"/>
      <c r="AQ52" s="154"/>
    </row>
    <row r="53" spans="1:43" ht="14.1" customHeight="1" x14ac:dyDescent="0.2">
      <c r="A53" s="63">
        <v>53</v>
      </c>
      <c r="B53" s="115"/>
      <c r="E53" s="116" t="s">
        <v>176</v>
      </c>
      <c r="L53" s="157" t="str">
        <f t="shared" si="6"/>
        <v>TBD</v>
      </c>
      <c r="M53" s="158" t="str">
        <f t="shared" si="7"/>
        <v/>
      </c>
      <c r="O53" s="147"/>
      <c r="P53" s="116" t="s">
        <v>182</v>
      </c>
      <c r="Y53" s="79"/>
      <c r="AA53" s="83" t="s">
        <v>175</v>
      </c>
      <c r="AB53" s="113"/>
      <c r="AD53" s="114" t="str">
        <f>IF(Q102="","",Q102)</f>
        <v/>
      </c>
      <c r="AH53" s="152"/>
      <c r="AI53" s="152"/>
      <c r="AJ53" s="153"/>
      <c r="AK53" s="152"/>
      <c r="AL53" s="152"/>
      <c r="AM53" s="152"/>
      <c r="AN53" s="152"/>
      <c r="AO53" s="152"/>
      <c r="AP53" s="152"/>
      <c r="AQ53" s="154"/>
    </row>
    <row r="54" spans="1:43" ht="14.1" customHeight="1" x14ac:dyDescent="0.2">
      <c r="A54" s="63">
        <v>54</v>
      </c>
      <c r="B54" s="115"/>
      <c r="E54" s="116" t="s">
        <v>178</v>
      </c>
      <c r="L54" s="157" t="str">
        <f t="shared" si="6"/>
        <v>TBD</v>
      </c>
      <c r="M54" s="158" t="str">
        <f t="shared" si="7"/>
        <v/>
      </c>
      <c r="O54" s="147"/>
      <c r="P54" s="116" t="s">
        <v>183</v>
      </c>
      <c r="Y54" s="79"/>
      <c r="AA54" s="83" t="s">
        <v>177</v>
      </c>
      <c r="AB54" s="113"/>
      <c r="AD54" s="114" t="str">
        <f>IF(R102="","",R102)</f>
        <v/>
      </c>
      <c r="AH54" s="152"/>
      <c r="AI54" s="152"/>
      <c r="AJ54" s="153"/>
      <c r="AK54" s="152"/>
      <c r="AL54" s="152"/>
      <c r="AM54" s="152"/>
      <c r="AN54" s="152"/>
      <c r="AO54" s="152"/>
      <c r="AP54" s="152"/>
      <c r="AQ54" s="154"/>
    </row>
    <row r="55" spans="1:43" ht="14.1" customHeight="1" x14ac:dyDescent="0.2">
      <c r="A55" s="63">
        <v>55</v>
      </c>
      <c r="B55" s="115"/>
      <c r="E55" s="116" t="s">
        <v>179</v>
      </c>
      <c r="L55" s="157" t="str">
        <f t="shared" si="6"/>
        <v>TBD</v>
      </c>
      <c r="M55" s="158" t="str">
        <f t="shared" si="7"/>
        <v/>
      </c>
      <c r="O55" s="147"/>
      <c r="P55" s="116" t="s">
        <v>184</v>
      </c>
      <c r="Y55" s="79"/>
      <c r="AA55" s="83" t="s">
        <v>172</v>
      </c>
      <c r="AB55" s="113"/>
      <c r="AD55" s="114" t="str">
        <f>IF(P103="","",P103)</f>
        <v/>
      </c>
      <c r="AH55" s="152"/>
      <c r="AI55" s="152"/>
      <c r="AJ55" s="153"/>
      <c r="AK55" s="152"/>
      <c r="AL55" s="152"/>
      <c r="AM55" s="152"/>
      <c r="AN55" s="152"/>
      <c r="AO55" s="152"/>
      <c r="AP55" s="152"/>
      <c r="AQ55" s="154"/>
    </row>
    <row r="56" spans="1:43" ht="14.1" customHeight="1" x14ac:dyDescent="0.2">
      <c r="A56" s="63">
        <v>56</v>
      </c>
      <c r="B56" s="115"/>
      <c r="E56" s="116" t="s">
        <v>180</v>
      </c>
      <c r="L56" s="157" t="str">
        <f t="shared" si="6"/>
        <v>TBD</v>
      </c>
      <c r="M56" s="158" t="str">
        <f t="shared" si="7"/>
        <v/>
      </c>
      <c r="O56" s="147"/>
      <c r="P56" s="116" t="s">
        <v>185</v>
      </c>
      <c r="Y56" s="79"/>
      <c r="AA56" s="83" t="s">
        <v>175</v>
      </c>
      <c r="AB56" s="113"/>
      <c r="AD56" s="114"/>
      <c r="AH56" s="152"/>
      <c r="AI56" s="152"/>
      <c r="AJ56" s="153"/>
      <c r="AK56" s="152"/>
      <c r="AL56" s="152"/>
      <c r="AM56" s="152"/>
      <c r="AN56" s="152"/>
      <c r="AO56" s="152"/>
      <c r="AP56" s="152"/>
      <c r="AQ56" s="154"/>
    </row>
    <row r="57" spans="1:43" ht="14.1" customHeight="1" x14ac:dyDescent="0.2">
      <c r="A57" s="63">
        <v>57</v>
      </c>
      <c r="B57" s="115"/>
      <c r="E57" s="116" t="s">
        <v>186</v>
      </c>
      <c r="L57" s="157" t="str">
        <f t="shared" si="6"/>
        <v>YES</v>
      </c>
      <c r="M57" s="158" t="str">
        <f t="shared" si="7"/>
        <v/>
      </c>
      <c r="O57" s="147"/>
      <c r="P57" s="116" t="s">
        <v>187</v>
      </c>
      <c r="Y57" s="79"/>
      <c r="AA57" s="83" t="s">
        <v>177</v>
      </c>
      <c r="AB57" s="113"/>
      <c r="AD57" s="114"/>
      <c r="AH57" s="152"/>
      <c r="AI57" s="152"/>
      <c r="AJ57" s="153"/>
      <c r="AK57" s="152"/>
      <c r="AL57" s="152"/>
      <c r="AM57" s="152"/>
      <c r="AN57" s="152"/>
      <c r="AO57" s="152"/>
      <c r="AP57" s="152"/>
      <c r="AQ57" s="154"/>
    </row>
    <row r="58" spans="1:43" ht="14.1" customHeight="1" x14ac:dyDescent="0.2">
      <c r="A58" s="63">
        <v>58</v>
      </c>
      <c r="B58" s="115"/>
      <c r="E58" s="116" t="s">
        <v>182</v>
      </c>
      <c r="L58" s="157" t="str">
        <f t="shared" si="6"/>
        <v>TBD</v>
      </c>
      <c r="M58" s="158" t="str">
        <f t="shared" si="7"/>
        <v/>
      </c>
      <c r="O58" s="77"/>
      <c r="Y58" s="79"/>
      <c r="AA58" s="91" t="s">
        <v>188</v>
      </c>
      <c r="AH58" s="152"/>
      <c r="AI58" s="152"/>
      <c r="AJ58" s="153"/>
      <c r="AK58" s="152"/>
      <c r="AL58" s="152"/>
      <c r="AM58" s="152"/>
      <c r="AN58" s="152"/>
      <c r="AO58" s="152"/>
      <c r="AP58" s="152"/>
      <c r="AQ58" s="154"/>
    </row>
    <row r="59" spans="1:43" ht="14.1" customHeight="1" x14ac:dyDescent="0.2">
      <c r="A59" s="63">
        <v>59</v>
      </c>
      <c r="B59" s="115"/>
      <c r="E59" s="116" t="s">
        <v>183</v>
      </c>
      <c r="L59" s="157" t="str">
        <f t="shared" si="6"/>
        <v>TBD</v>
      </c>
      <c r="M59" s="158" t="str">
        <f t="shared" si="7"/>
        <v/>
      </c>
      <c r="O59" s="77"/>
      <c r="Y59" s="79"/>
      <c r="AA59" s="83" t="s">
        <v>172</v>
      </c>
      <c r="AB59" s="113"/>
      <c r="AD59" s="114" t="str">
        <f>IF(S100="","",S100)</f>
        <v/>
      </c>
      <c r="AH59" s="152"/>
      <c r="AI59" s="152"/>
      <c r="AJ59" s="153"/>
      <c r="AK59" s="152"/>
      <c r="AL59" s="152"/>
      <c r="AM59" s="152"/>
      <c r="AN59" s="152"/>
      <c r="AO59" s="152"/>
      <c r="AP59" s="152"/>
      <c r="AQ59" s="154"/>
    </row>
    <row r="60" spans="1:43" ht="14.1" customHeight="1" x14ac:dyDescent="0.2">
      <c r="A60" s="63">
        <v>60</v>
      </c>
      <c r="B60" s="115"/>
      <c r="E60" s="116" t="s">
        <v>184</v>
      </c>
      <c r="L60" s="157" t="str">
        <f t="shared" si="6"/>
        <v>TBD</v>
      </c>
      <c r="M60" s="158" t="str">
        <f t="shared" si="7"/>
        <v/>
      </c>
      <c r="O60" s="77"/>
      <c r="T60" s="102" t="s">
        <v>189</v>
      </c>
      <c r="Y60" s="79"/>
      <c r="AA60" s="83" t="s">
        <v>175</v>
      </c>
      <c r="AB60" s="113"/>
      <c r="AD60" s="114" t="str">
        <f>IF(T100="","",T100)</f>
        <v/>
      </c>
      <c r="AH60" s="152"/>
      <c r="AI60" s="152"/>
      <c r="AJ60" s="153"/>
      <c r="AK60" s="152"/>
      <c r="AL60" s="152"/>
      <c r="AM60" s="152"/>
      <c r="AN60" s="152"/>
      <c r="AO60" s="152"/>
      <c r="AP60" s="152"/>
      <c r="AQ60" s="154"/>
    </row>
    <row r="61" spans="1:43" ht="14.1" customHeight="1" x14ac:dyDescent="0.2">
      <c r="A61" s="63">
        <v>61</v>
      </c>
      <c r="B61" s="115"/>
      <c r="E61" s="116" t="s">
        <v>185</v>
      </c>
      <c r="L61" s="157" t="str">
        <f t="shared" si="6"/>
        <v>TBD</v>
      </c>
      <c r="M61" s="158" t="str">
        <f t="shared" si="7"/>
        <v/>
      </c>
      <c r="O61" s="147"/>
      <c r="P61" s="67" t="s">
        <v>190</v>
      </c>
      <c r="Y61" s="79"/>
      <c r="AA61" s="83" t="s">
        <v>177</v>
      </c>
      <c r="AB61" s="113"/>
      <c r="AD61" s="114" t="str">
        <f>IF(U100="","",U100)</f>
        <v/>
      </c>
      <c r="AH61" s="152"/>
      <c r="AI61" s="152"/>
      <c r="AJ61" s="153"/>
      <c r="AK61" s="152"/>
      <c r="AL61" s="152"/>
      <c r="AM61" s="152"/>
      <c r="AN61" s="152"/>
      <c r="AO61" s="152"/>
      <c r="AP61" s="152"/>
      <c r="AQ61" s="154"/>
    </row>
    <row r="62" spans="1:43" ht="14.1" customHeight="1" x14ac:dyDescent="0.2">
      <c r="A62" s="63">
        <v>62</v>
      </c>
      <c r="B62" s="115"/>
      <c r="E62" s="116" t="s">
        <v>187</v>
      </c>
      <c r="L62" s="157" t="str">
        <f t="shared" si="6"/>
        <v>TBD</v>
      </c>
      <c r="M62" s="158" t="str">
        <f t="shared" si="7"/>
        <v/>
      </c>
      <c r="O62" s="147"/>
      <c r="P62" s="67" t="s">
        <v>191</v>
      </c>
      <c r="Y62" s="79"/>
      <c r="AA62" s="83" t="s">
        <v>172</v>
      </c>
      <c r="AB62" s="113"/>
      <c r="AD62" s="114" t="str">
        <f>IF(S101="","",S101)</f>
        <v/>
      </c>
      <c r="AH62" s="152"/>
      <c r="AI62" s="152"/>
      <c r="AJ62" s="153"/>
      <c r="AK62" s="152"/>
      <c r="AL62" s="152"/>
      <c r="AM62" s="152"/>
      <c r="AN62" s="152"/>
      <c r="AO62" s="152"/>
      <c r="AP62" s="152"/>
      <c r="AQ62" s="154"/>
    </row>
    <row r="63" spans="1:43" ht="14.1" customHeight="1" x14ac:dyDescent="0.2">
      <c r="A63" s="63">
        <v>63</v>
      </c>
      <c r="B63" s="115"/>
      <c r="L63" s="157"/>
      <c r="M63" s="158"/>
      <c r="O63" s="147">
        <v>3</v>
      </c>
      <c r="P63" s="67" t="s">
        <v>192</v>
      </c>
      <c r="Y63" s="79"/>
      <c r="AA63" s="83" t="s">
        <v>175</v>
      </c>
      <c r="AB63" s="113"/>
      <c r="AD63" s="114" t="str">
        <f>IF(T101="","",T101)</f>
        <v/>
      </c>
      <c r="AH63" s="152"/>
      <c r="AI63" s="152"/>
      <c r="AJ63" s="153"/>
      <c r="AK63" s="152"/>
      <c r="AL63" s="152"/>
      <c r="AM63" s="152"/>
      <c r="AN63" s="152"/>
      <c r="AO63" s="152"/>
      <c r="AP63" s="152"/>
      <c r="AQ63" s="154"/>
    </row>
    <row r="64" spans="1:43" ht="14.1" customHeight="1" x14ac:dyDescent="0.2">
      <c r="A64" s="63">
        <v>64</v>
      </c>
      <c r="B64" s="115"/>
      <c r="L64" s="157"/>
      <c r="M64" s="158"/>
      <c r="O64" s="147"/>
      <c r="P64" s="67" t="s">
        <v>193</v>
      </c>
      <c r="Y64" s="79"/>
      <c r="AA64" s="83" t="s">
        <v>177</v>
      </c>
      <c r="AB64" s="113"/>
      <c r="AD64" s="114" t="str">
        <f>IF(U101="","",U101)</f>
        <v/>
      </c>
      <c r="AH64" s="152"/>
      <c r="AI64" s="152"/>
      <c r="AJ64" s="153"/>
      <c r="AK64" s="152"/>
      <c r="AL64" s="152"/>
      <c r="AM64" s="152"/>
      <c r="AN64" s="152"/>
      <c r="AO64" s="152"/>
      <c r="AP64" s="152"/>
      <c r="AQ64" s="154"/>
    </row>
    <row r="65" spans="1:43" ht="14.1" customHeight="1" x14ac:dyDescent="0.2">
      <c r="A65" s="63">
        <v>65</v>
      </c>
      <c r="B65" s="115"/>
      <c r="L65" s="157"/>
      <c r="M65" s="158"/>
      <c r="O65" s="147">
        <v>3</v>
      </c>
      <c r="P65" s="67" t="s">
        <v>194</v>
      </c>
      <c r="Y65" s="79"/>
      <c r="AA65" s="83" t="s">
        <v>172</v>
      </c>
      <c r="AB65" s="113"/>
      <c r="AD65" s="114" t="str">
        <f>IF(S102="","",S102)</f>
        <v/>
      </c>
      <c r="AH65" s="152"/>
      <c r="AI65" s="152"/>
      <c r="AJ65" s="153"/>
      <c r="AK65" s="152"/>
      <c r="AL65" s="152"/>
      <c r="AM65" s="152"/>
      <c r="AN65" s="152"/>
      <c r="AO65" s="152"/>
      <c r="AP65" s="152"/>
      <c r="AQ65" s="154"/>
    </row>
    <row r="66" spans="1:43" ht="14.1" customHeight="1" thickBot="1" x14ac:dyDescent="0.25">
      <c r="A66" s="63">
        <v>66</v>
      </c>
      <c r="B66" s="128"/>
      <c r="C66" s="129"/>
      <c r="D66" s="129"/>
      <c r="E66" s="129"/>
      <c r="F66" s="129"/>
      <c r="G66" s="129"/>
      <c r="H66" s="129"/>
      <c r="I66" s="129"/>
      <c r="J66" s="129"/>
      <c r="K66" s="129"/>
      <c r="L66" s="160"/>
      <c r="M66" s="161"/>
      <c r="O66" s="147"/>
      <c r="P66" s="67" t="s">
        <v>195</v>
      </c>
      <c r="Y66" s="79"/>
      <c r="AA66" s="83" t="s">
        <v>175</v>
      </c>
      <c r="AB66" s="113"/>
      <c r="AD66" s="114" t="str">
        <f>IF(T102="","",T102)</f>
        <v/>
      </c>
      <c r="AH66" s="152"/>
      <c r="AI66" s="152"/>
      <c r="AJ66" s="153"/>
      <c r="AK66" s="152"/>
      <c r="AL66" s="152"/>
      <c r="AM66" s="152"/>
      <c r="AN66" s="152"/>
      <c r="AO66" s="152"/>
      <c r="AP66" s="152"/>
      <c r="AQ66" s="154"/>
    </row>
    <row r="67" spans="1:43" ht="14.1" customHeight="1" thickTop="1" x14ac:dyDescent="0.2">
      <c r="A67" s="63">
        <v>67</v>
      </c>
      <c r="C67" s="162" t="s">
        <v>91</v>
      </c>
      <c r="D67" s="163" t="str">
        <f>IF($P$7="","",$P$7)</f>
        <v/>
      </c>
      <c r="E67" s="74"/>
      <c r="F67" s="74"/>
      <c r="G67" s="74"/>
      <c r="H67" s="74"/>
      <c r="I67" s="74"/>
      <c r="J67" s="74"/>
      <c r="K67" s="74"/>
      <c r="L67" s="162" t="s">
        <v>92</v>
      </c>
      <c r="M67" s="164" t="str">
        <f>IF($X$7="","",$X$7)</f>
        <v>Eugene Mah</v>
      </c>
      <c r="O67" s="159">
        <v>3</v>
      </c>
      <c r="P67" s="67" t="s">
        <v>196</v>
      </c>
      <c r="Y67" s="79"/>
      <c r="AA67" s="83" t="s">
        <v>177</v>
      </c>
      <c r="AB67" s="113"/>
      <c r="AD67" s="114" t="str">
        <f>IF(U102="","",U102)</f>
        <v/>
      </c>
      <c r="AH67" s="152"/>
      <c r="AI67" s="152"/>
      <c r="AJ67" s="153"/>
      <c r="AK67" s="152"/>
      <c r="AL67" s="152"/>
      <c r="AM67" s="152"/>
      <c r="AN67" s="152"/>
      <c r="AO67" s="152"/>
      <c r="AP67" s="152"/>
      <c r="AQ67" s="154"/>
    </row>
    <row r="68" spans="1:43" ht="14.1" customHeight="1" x14ac:dyDescent="0.2">
      <c r="A68" s="63">
        <v>68</v>
      </c>
      <c r="C68" s="162" t="s">
        <v>197</v>
      </c>
      <c r="D68" s="165" t="str">
        <f>IF($R$14="","",$R$14)</f>
        <v/>
      </c>
      <c r="E68" s="74"/>
      <c r="F68" s="74"/>
      <c r="G68" s="74"/>
      <c r="H68" s="74"/>
      <c r="I68" s="74"/>
      <c r="J68" s="74"/>
      <c r="K68" s="74"/>
      <c r="L68" s="162" t="s">
        <v>115</v>
      </c>
      <c r="M68" s="164" t="str">
        <f>IF($R$13="","",$R$13)</f>
        <v/>
      </c>
      <c r="O68" s="147">
        <v>3</v>
      </c>
      <c r="P68" s="67" t="s">
        <v>198</v>
      </c>
      <c r="Y68" s="79"/>
      <c r="AA68" s="83" t="s">
        <v>172</v>
      </c>
      <c r="AB68" s="113"/>
      <c r="AD68" s="114" t="str">
        <f>IF(S103="","",S103)</f>
        <v/>
      </c>
      <c r="AH68" s="152"/>
      <c r="AI68" s="152"/>
      <c r="AJ68" s="152"/>
      <c r="AK68" s="152"/>
      <c r="AL68" s="152"/>
      <c r="AM68" s="152"/>
      <c r="AN68" s="152"/>
      <c r="AO68" s="152"/>
      <c r="AP68" s="152"/>
      <c r="AQ68" s="154"/>
    </row>
    <row r="69" spans="1:43" ht="14.1" customHeight="1" x14ac:dyDescent="0.2">
      <c r="A69" s="63">
        <v>1</v>
      </c>
      <c r="M69" s="166" t="str">
        <f>$H$2</f>
        <v>Medical University of South Carolina</v>
      </c>
      <c r="O69" s="147">
        <v>3</v>
      </c>
      <c r="P69" s="67" t="s">
        <v>199</v>
      </c>
      <c r="Y69" s="79"/>
      <c r="AA69" s="83" t="s">
        <v>175</v>
      </c>
      <c r="AB69" s="113"/>
      <c r="AD69" s="114" t="str">
        <f>IF(T103="","",T103)</f>
        <v/>
      </c>
    </row>
    <row r="70" spans="1:43" ht="14.1" customHeight="1" thickBot="1" x14ac:dyDescent="0.25">
      <c r="A70" s="63">
        <v>2</v>
      </c>
      <c r="H70" s="99" t="s">
        <v>150</v>
      </c>
      <c r="M70" s="167" t="str">
        <f>$H$5</f>
        <v>Stereotactic Breast Biopsy System Compliance Inspection</v>
      </c>
      <c r="O70" s="147"/>
      <c r="P70" s="67" t="s">
        <v>200</v>
      </c>
      <c r="Y70" s="79"/>
      <c r="AA70" s="83" t="s">
        <v>177</v>
      </c>
      <c r="AB70" s="113"/>
      <c r="AD70" s="114" t="str">
        <f>IF(U103="","",U103)</f>
        <v/>
      </c>
    </row>
    <row r="71" spans="1:43" ht="14.1" customHeight="1" thickTop="1" x14ac:dyDescent="0.2">
      <c r="A71" s="63">
        <v>3</v>
      </c>
      <c r="B71" s="106"/>
      <c r="C71" s="168" t="s">
        <v>166</v>
      </c>
      <c r="D71" s="107"/>
      <c r="E71" s="107"/>
      <c r="F71" s="107"/>
      <c r="G71" s="107"/>
      <c r="H71" s="169" t="s">
        <v>189</v>
      </c>
      <c r="I71" s="107"/>
      <c r="J71" s="107"/>
      <c r="K71" s="107"/>
      <c r="L71" s="107"/>
      <c r="M71" s="109"/>
      <c r="O71" s="147"/>
      <c r="P71" s="67" t="s">
        <v>201</v>
      </c>
      <c r="Y71" s="79"/>
      <c r="AA71" s="91" t="s">
        <v>144</v>
      </c>
    </row>
    <row r="72" spans="1:43" ht="14.1" customHeight="1" x14ac:dyDescent="0.2">
      <c r="A72" s="63">
        <v>4</v>
      </c>
      <c r="B72" s="115"/>
      <c r="C72" s="67" t="s">
        <v>202</v>
      </c>
      <c r="E72" s="67" t="s">
        <v>203</v>
      </c>
      <c r="L72" s="157" t="str">
        <f t="shared" ref="L72:L103" si="8">IF(O61="","TBD",IF(O61=1,"YES",IF(O61=3,"NA","")))</f>
        <v>TBD</v>
      </c>
      <c r="M72" s="158" t="str">
        <f t="shared" ref="M72:M103" si="9">IF(O61=2,"NO","")</f>
        <v/>
      </c>
      <c r="O72" s="147"/>
      <c r="P72" s="67" t="s">
        <v>204</v>
      </c>
      <c r="Y72" s="79"/>
      <c r="AA72" s="83" t="s">
        <v>172</v>
      </c>
      <c r="AB72" s="113"/>
      <c r="AD72" s="114" t="str">
        <f>IF(V100="","",V100)</f>
        <v/>
      </c>
    </row>
    <row r="73" spans="1:43" ht="14.1" customHeight="1" x14ac:dyDescent="0.2">
      <c r="A73" s="63">
        <v>5</v>
      </c>
      <c r="B73" s="115"/>
      <c r="C73" s="67" t="s">
        <v>205</v>
      </c>
      <c r="E73" s="67" t="s">
        <v>206</v>
      </c>
      <c r="L73" s="157" t="str">
        <f t="shared" si="8"/>
        <v>TBD</v>
      </c>
      <c r="M73" s="158" t="str">
        <f t="shared" si="9"/>
        <v/>
      </c>
      <c r="O73" s="147"/>
      <c r="P73" s="67" t="s">
        <v>207</v>
      </c>
      <c r="Y73" s="79"/>
      <c r="AA73" s="83" t="s">
        <v>175</v>
      </c>
      <c r="AB73" s="113"/>
      <c r="AD73" s="114" t="str">
        <f>IF(W100="","",W100)</f>
        <v/>
      </c>
    </row>
    <row r="74" spans="1:43" ht="14.1" customHeight="1" x14ac:dyDescent="0.2">
      <c r="A74" s="63">
        <v>6</v>
      </c>
      <c r="B74" s="115"/>
      <c r="C74" s="67" t="s">
        <v>208</v>
      </c>
      <c r="E74" s="67" t="s">
        <v>192</v>
      </c>
      <c r="L74" s="157" t="str">
        <f t="shared" si="8"/>
        <v>NA</v>
      </c>
      <c r="M74" s="158" t="str">
        <f t="shared" si="9"/>
        <v/>
      </c>
      <c r="O74" s="147"/>
      <c r="P74" s="67" t="s">
        <v>209</v>
      </c>
      <c r="Y74" s="79"/>
      <c r="AA74" s="83" t="s">
        <v>177</v>
      </c>
      <c r="AB74" s="113"/>
      <c r="AD74" s="114" t="str">
        <f>IF(X100="","",X100)</f>
        <v/>
      </c>
    </row>
    <row r="75" spans="1:43" ht="14.1" customHeight="1" x14ac:dyDescent="0.2">
      <c r="A75" s="63">
        <v>7</v>
      </c>
      <c r="B75" s="115"/>
      <c r="C75" s="67" t="s">
        <v>210</v>
      </c>
      <c r="E75" s="67" t="s">
        <v>211</v>
      </c>
      <c r="L75" s="157" t="str">
        <f t="shared" si="8"/>
        <v>TBD</v>
      </c>
      <c r="M75" s="158" t="str">
        <f t="shared" si="9"/>
        <v/>
      </c>
      <c r="O75" s="147"/>
      <c r="P75" s="67" t="s">
        <v>212</v>
      </c>
      <c r="Y75" s="79"/>
      <c r="AA75" s="83" t="s">
        <v>172</v>
      </c>
      <c r="AB75" s="113"/>
      <c r="AD75" s="114" t="str">
        <f>IF(V101="","",V101)</f>
        <v/>
      </c>
    </row>
    <row r="76" spans="1:43" ht="14.1" customHeight="1" x14ac:dyDescent="0.2">
      <c r="A76" s="63">
        <v>8</v>
      </c>
      <c r="B76" s="115"/>
      <c r="C76" s="67" t="s">
        <v>213</v>
      </c>
      <c r="E76" s="67" t="s">
        <v>194</v>
      </c>
      <c r="L76" s="157" t="str">
        <f t="shared" si="8"/>
        <v>NA</v>
      </c>
      <c r="M76" s="158" t="str">
        <f t="shared" si="9"/>
        <v/>
      </c>
      <c r="O76" s="147"/>
      <c r="P76" s="67" t="s">
        <v>214</v>
      </c>
      <c r="Y76" s="79"/>
      <c r="AA76" s="83" t="s">
        <v>175</v>
      </c>
      <c r="AB76" s="113"/>
      <c r="AD76" s="114" t="str">
        <f>IF(W101="","",W101)</f>
        <v/>
      </c>
    </row>
    <row r="77" spans="1:43" ht="14.1" customHeight="1" x14ac:dyDescent="0.2">
      <c r="A77" s="63">
        <v>9</v>
      </c>
      <c r="B77" s="115"/>
      <c r="C77" s="67" t="s">
        <v>215</v>
      </c>
      <c r="E77" s="67" t="s">
        <v>216</v>
      </c>
      <c r="L77" s="157" t="str">
        <f t="shared" si="8"/>
        <v>TBD</v>
      </c>
      <c r="M77" s="158" t="str">
        <f t="shared" si="9"/>
        <v/>
      </c>
      <c r="O77" s="147"/>
      <c r="P77" s="67" t="s">
        <v>217</v>
      </c>
      <c r="Y77" s="79"/>
      <c r="AA77" s="83" t="s">
        <v>177</v>
      </c>
      <c r="AB77" s="113"/>
      <c r="AD77" s="114" t="str">
        <f>IF(X101="","",X101)</f>
        <v/>
      </c>
    </row>
    <row r="78" spans="1:43" ht="14.1" customHeight="1" x14ac:dyDescent="0.2">
      <c r="A78" s="63">
        <v>10</v>
      </c>
      <c r="B78" s="115"/>
      <c r="C78" s="67" t="s">
        <v>218</v>
      </c>
      <c r="E78" s="67" t="s">
        <v>196</v>
      </c>
      <c r="L78" s="157" t="str">
        <f t="shared" si="8"/>
        <v>NA</v>
      </c>
      <c r="M78" s="158" t="str">
        <f t="shared" si="9"/>
        <v/>
      </c>
      <c r="O78" s="147"/>
      <c r="P78" s="67" t="s">
        <v>219</v>
      </c>
      <c r="Y78" s="79"/>
      <c r="AA78" s="83" t="s">
        <v>172</v>
      </c>
      <c r="AB78" s="113"/>
      <c r="AD78" s="114" t="str">
        <f>IF(V102="","",V102)</f>
        <v/>
      </c>
    </row>
    <row r="79" spans="1:43" ht="14.1" customHeight="1" x14ac:dyDescent="0.2">
      <c r="A79" s="63">
        <v>11</v>
      </c>
      <c r="B79" s="115"/>
      <c r="C79" s="67" t="s">
        <v>220</v>
      </c>
      <c r="E79" s="67" t="s">
        <v>221</v>
      </c>
      <c r="L79" s="157" t="str">
        <f t="shared" si="8"/>
        <v>NA</v>
      </c>
      <c r="M79" s="158" t="str">
        <f t="shared" si="9"/>
        <v/>
      </c>
      <c r="O79" s="147"/>
      <c r="P79" s="67" t="s">
        <v>222</v>
      </c>
      <c r="Y79" s="79"/>
      <c r="AA79" s="83" t="s">
        <v>175</v>
      </c>
      <c r="AB79" s="113"/>
      <c r="AD79" s="114" t="str">
        <f>IF(W102="","",W102)</f>
        <v/>
      </c>
    </row>
    <row r="80" spans="1:43" ht="14.1" customHeight="1" x14ac:dyDescent="0.2">
      <c r="A80" s="63">
        <v>12</v>
      </c>
      <c r="B80" s="115"/>
      <c r="C80" s="67" t="s">
        <v>223</v>
      </c>
      <c r="E80" s="67" t="s">
        <v>199</v>
      </c>
      <c r="L80" s="157" t="str">
        <f t="shared" si="8"/>
        <v>NA</v>
      </c>
      <c r="M80" s="158" t="str">
        <f t="shared" si="9"/>
        <v/>
      </c>
      <c r="O80" s="147"/>
      <c r="P80" s="67" t="s">
        <v>224</v>
      </c>
      <c r="Y80" s="79"/>
      <c r="AA80" s="83" t="s">
        <v>177</v>
      </c>
      <c r="AB80" s="113"/>
      <c r="AD80" s="114" t="str">
        <f>IF(X102="","",X102)</f>
        <v/>
      </c>
    </row>
    <row r="81" spans="1:30" ht="14.1" customHeight="1" x14ac:dyDescent="0.2">
      <c r="A81" s="63">
        <v>13</v>
      </c>
      <c r="B81" s="115"/>
      <c r="C81" s="67" t="s">
        <v>225</v>
      </c>
      <c r="E81" s="67" t="s">
        <v>200</v>
      </c>
      <c r="L81" s="157" t="str">
        <f t="shared" si="8"/>
        <v>TBD</v>
      </c>
      <c r="M81" s="158" t="str">
        <f t="shared" si="9"/>
        <v/>
      </c>
      <c r="O81" s="147"/>
      <c r="P81" s="67" t="s">
        <v>226</v>
      </c>
      <c r="Y81" s="79"/>
      <c r="AA81" s="83" t="s">
        <v>172</v>
      </c>
      <c r="AB81" s="113"/>
      <c r="AD81" s="114" t="str">
        <f>IF(V103="","",V103)</f>
        <v/>
      </c>
    </row>
    <row r="82" spans="1:30" ht="14.1" customHeight="1" x14ac:dyDescent="0.2">
      <c r="A82" s="63">
        <v>14</v>
      </c>
      <c r="B82" s="115"/>
      <c r="C82" s="67" t="s">
        <v>225</v>
      </c>
      <c r="E82" s="67" t="s">
        <v>201</v>
      </c>
      <c r="L82" s="157" t="str">
        <f t="shared" si="8"/>
        <v>TBD</v>
      </c>
      <c r="M82" s="158" t="str">
        <f t="shared" si="9"/>
        <v/>
      </c>
      <c r="O82" s="147"/>
      <c r="P82" s="67" t="s">
        <v>227</v>
      </c>
      <c r="Y82" s="79"/>
      <c r="AA82" s="83" t="s">
        <v>175</v>
      </c>
      <c r="AB82" s="113"/>
      <c r="AD82" s="114" t="str">
        <f>IF(W103="","",W103)</f>
        <v/>
      </c>
    </row>
    <row r="83" spans="1:30" ht="14.1" customHeight="1" x14ac:dyDescent="0.2">
      <c r="A83" s="63">
        <v>15</v>
      </c>
      <c r="B83" s="115"/>
      <c r="C83" s="67" t="s">
        <v>228</v>
      </c>
      <c r="E83" s="67" t="s">
        <v>204</v>
      </c>
      <c r="L83" s="157" t="str">
        <f t="shared" si="8"/>
        <v>TBD</v>
      </c>
      <c r="M83" s="158" t="str">
        <f t="shared" si="9"/>
        <v/>
      </c>
      <c r="O83" s="147">
        <v>3</v>
      </c>
      <c r="P83" s="67" t="s">
        <v>229</v>
      </c>
      <c r="Y83" s="79"/>
      <c r="AA83" s="83" t="s">
        <v>177</v>
      </c>
      <c r="AB83" s="113"/>
      <c r="AD83" s="114" t="str">
        <f>IF(X103="","",X103)</f>
        <v/>
      </c>
    </row>
    <row r="84" spans="1:30" ht="14.1" customHeight="1" x14ac:dyDescent="0.2">
      <c r="A84" s="63">
        <v>16</v>
      </c>
      <c r="B84" s="115"/>
      <c r="C84" s="67" t="s">
        <v>230</v>
      </c>
      <c r="E84" s="67" t="s">
        <v>207</v>
      </c>
      <c r="L84" s="157" t="str">
        <f t="shared" si="8"/>
        <v>TBD</v>
      </c>
      <c r="M84" s="158" t="str">
        <f t="shared" si="9"/>
        <v/>
      </c>
      <c r="O84" s="147">
        <v>3</v>
      </c>
      <c r="P84" s="67" t="s">
        <v>231</v>
      </c>
      <c r="Y84" s="79"/>
    </row>
    <row r="85" spans="1:30" ht="14.1" customHeight="1" x14ac:dyDescent="0.2">
      <c r="A85" s="63">
        <v>17</v>
      </c>
      <c r="B85" s="115"/>
      <c r="C85" s="74"/>
      <c r="E85" s="67" t="s">
        <v>209</v>
      </c>
      <c r="L85" s="157" t="str">
        <f t="shared" si="8"/>
        <v>TBD</v>
      </c>
      <c r="M85" s="158" t="str">
        <f t="shared" si="9"/>
        <v/>
      </c>
      <c r="O85" s="147">
        <v>3</v>
      </c>
      <c r="P85" s="67" t="s">
        <v>232</v>
      </c>
      <c r="Y85" s="79"/>
      <c r="AA85" s="83" t="s">
        <v>233</v>
      </c>
      <c r="AB85" s="113"/>
      <c r="AD85" s="170" t="e">
        <f>IF(X216="","",X216)</f>
        <v>#N/A</v>
      </c>
    </row>
    <row r="86" spans="1:30" ht="14.1" customHeight="1" x14ac:dyDescent="0.2">
      <c r="A86" s="63">
        <v>18</v>
      </c>
      <c r="B86" s="115"/>
      <c r="C86" s="67" t="s">
        <v>234</v>
      </c>
      <c r="E86" s="67" t="s">
        <v>212</v>
      </c>
      <c r="L86" s="157" t="str">
        <f t="shared" si="8"/>
        <v>TBD</v>
      </c>
      <c r="M86" s="158" t="str">
        <f t="shared" si="9"/>
        <v/>
      </c>
      <c r="O86" s="147">
        <v>3</v>
      </c>
      <c r="P86" s="67" t="s">
        <v>235</v>
      </c>
      <c r="Y86" s="79"/>
      <c r="AA86" s="83" t="s">
        <v>236</v>
      </c>
      <c r="AB86" s="113"/>
      <c r="AD86" s="171" t="str">
        <f>IF(W247="","",W247)</f>
        <v/>
      </c>
    </row>
    <row r="87" spans="1:30" ht="14.1" customHeight="1" x14ac:dyDescent="0.2">
      <c r="A87" s="63">
        <v>19</v>
      </c>
      <c r="B87" s="115"/>
      <c r="C87" s="67" t="s">
        <v>237</v>
      </c>
      <c r="E87" s="67" t="s">
        <v>214</v>
      </c>
      <c r="L87" s="157" t="str">
        <f t="shared" si="8"/>
        <v>TBD</v>
      </c>
      <c r="M87" s="158" t="str">
        <f t="shared" si="9"/>
        <v/>
      </c>
      <c r="O87" s="147"/>
      <c r="P87" s="67" t="s">
        <v>238</v>
      </c>
      <c r="Y87" s="79"/>
      <c r="AA87" s="83" t="s">
        <v>239</v>
      </c>
      <c r="AB87" s="113"/>
      <c r="AD87" s="170" t="str">
        <f>IF(X247="","",X247)</f>
        <v/>
      </c>
    </row>
    <row r="88" spans="1:30" ht="14.1" customHeight="1" x14ac:dyDescent="0.2">
      <c r="A88" s="63">
        <v>20</v>
      </c>
      <c r="B88" s="115"/>
      <c r="C88" s="67" t="s">
        <v>240</v>
      </c>
      <c r="E88" s="67" t="s">
        <v>217</v>
      </c>
      <c r="L88" s="157" t="str">
        <f t="shared" si="8"/>
        <v>TBD</v>
      </c>
      <c r="M88" s="158" t="str">
        <f t="shared" si="9"/>
        <v/>
      </c>
      <c r="O88" s="147">
        <v>3</v>
      </c>
      <c r="P88" s="67" t="s">
        <v>241</v>
      </c>
      <c r="Y88" s="79"/>
      <c r="AA88" s="83" t="s">
        <v>242</v>
      </c>
      <c r="AB88" s="113"/>
      <c r="AD88" s="170" t="str">
        <f>IF(R160="","",R160)</f>
        <v/>
      </c>
    </row>
    <row r="89" spans="1:30" ht="14.1" customHeight="1" x14ac:dyDescent="0.2">
      <c r="A89" s="63">
        <v>21</v>
      </c>
      <c r="B89" s="115"/>
      <c r="C89" s="67" t="s">
        <v>243</v>
      </c>
      <c r="E89" s="67" t="s">
        <v>244</v>
      </c>
      <c r="L89" s="157" t="str">
        <f t="shared" si="8"/>
        <v>TBD</v>
      </c>
      <c r="M89" s="158" t="str">
        <f t="shared" si="9"/>
        <v/>
      </c>
      <c r="O89" s="147">
        <v>3</v>
      </c>
      <c r="P89" s="67" t="s">
        <v>245</v>
      </c>
      <c r="Y89" s="79"/>
      <c r="AA89" s="83" t="s">
        <v>246</v>
      </c>
      <c r="AB89" s="113"/>
      <c r="AD89" s="170" t="str">
        <f>IF(S160="","",S160)</f>
        <v/>
      </c>
    </row>
    <row r="90" spans="1:30" ht="14.1" customHeight="1" x14ac:dyDescent="0.2">
      <c r="A90" s="63">
        <v>22</v>
      </c>
      <c r="B90" s="115"/>
      <c r="C90" s="67" t="s">
        <v>247</v>
      </c>
      <c r="E90" s="67" t="s">
        <v>248</v>
      </c>
      <c r="L90" s="157" t="str">
        <f t="shared" si="8"/>
        <v>TBD</v>
      </c>
      <c r="M90" s="158" t="str">
        <f t="shared" si="9"/>
        <v/>
      </c>
      <c r="O90" s="147">
        <v>3</v>
      </c>
      <c r="P90" s="67" t="s">
        <v>249</v>
      </c>
      <c r="Y90" s="79"/>
      <c r="AA90" s="83" t="s">
        <v>250</v>
      </c>
      <c r="AB90" s="113"/>
      <c r="AD90" s="170" t="str">
        <f>IF(T160="","",T160)</f>
        <v/>
      </c>
    </row>
    <row r="91" spans="1:30" ht="14.1" customHeight="1" x14ac:dyDescent="0.2">
      <c r="A91" s="63">
        <v>23</v>
      </c>
      <c r="B91" s="115"/>
      <c r="C91" s="67" t="s">
        <v>251</v>
      </c>
      <c r="E91" s="67" t="s">
        <v>224</v>
      </c>
      <c r="L91" s="157" t="str">
        <f t="shared" si="8"/>
        <v>TBD</v>
      </c>
      <c r="M91" s="158" t="str">
        <f t="shared" si="9"/>
        <v/>
      </c>
      <c r="O91" s="147"/>
      <c r="P91" s="67" t="s">
        <v>252</v>
      </c>
      <c r="Y91" s="79"/>
      <c r="AA91" s="83" t="s">
        <v>253</v>
      </c>
      <c r="AB91" s="113"/>
      <c r="AD91" s="170" t="str">
        <f>IF(U160="","",U160)</f>
        <v/>
      </c>
    </row>
    <row r="92" spans="1:30" ht="14.1" customHeight="1" x14ac:dyDescent="0.2">
      <c r="A92" s="63">
        <v>24</v>
      </c>
      <c r="B92" s="115"/>
      <c r="C92" s="67" t="s">
        <v>254</v>
      </c>
      <c r="E92" s="67" t="s">
        <v>226</v>
      </c>
      <c r="L92" s="157" t="str">
        <f t="shared" si="8"/>
        <v>TBD</v>
      </c>
      <c r="M92" s="158" t="str">
        <f t="shared" si="9"/>
        <v/>
      </c>
      <c r="O92" s="147"/>
      <c r="P92" s="67" t="s">
        <v>255</v>
      </c>
      <c r="Y92" s="79"/>
      <c r="AA92" s="74"/>
      <c r="AB92" s="74"/>
      <c r="AC92" s="74"/>
      <c r="AD92" s="74"/>
    </row>
    <row r="93" spans="1:30" ht="14.1" customHeight="1" thickBot="1" x14ac:dyDescent="0.25">
      <c r="A93" s="63">
        <v>25</v>
      </c>
      <c r="B93" s="115"/>
      <c r="C93" s="67" t="s">
        <v>256</v>
      </c>
      <c r="E93" s="67" t="s">
        <v>227</v>
      </c>
      <c r="L93" s="157" t="str">
        <f t="shared" si="8"/>
        <v>TBD</v>
      </c>
      <c r="M93" s="158" t="str">
        <f t="shared" si="9"/>
        <v/>
      </c>
      <c r="O93" s="88"/>
      <c r="P93" s="89"/>
      <c r="Q93" s="89"/>
      <c r="R93" s="89"/>
      <c r="S93" s="89"/>
      <c r="T93" s="89"/>
      <c r="U93" s="89"/>
      <c r="V93" s="89"/>
      <c r="W93" s="89"/>
      <c r="X93" s="89"/>
      <c r="Y93" s="90"/>
      <c r="AA93" s="124" t="s">
        <v>257</v>
      </c>
    </row>
    <row r="94" spans="1:30" ht="14.1" customHeight="1" x14ac:dyDescent="0.2">
      <c r="A94" s="63">
        <v>26</v>
      </c>
      <c r="B94" s="115"/>
      <c r="C94" s="67" t="s">
        <v>258</v>
      </c>
      <c r="E94" s="67" t="s">
        <v>229</v>
      </c>
      <c r="L94" s="157" t="str">
        <f t="shared" si="8"/>
        <v>NA</v>
      </c>
      <c r="M94" s="158" t="str">
        <f t="shared" si="9"/>
        <v/>
      </c>
      <c r="AA94" s="83" t="s">
        <v>259</v>
      </c>
      <c r="AB94" s="113"/>
      <c r="AD94" s="114">
        <f t="shared" ref="AD94:AD99" si="10">IF(Q285="","",Q285)</f>
        <v>28</v>
      </c>
    </row>
    <row r="95" spans="1:30" ht="14.1" customHeight="1" thickBot="1" x14ac:dyDescent="0.25">
      <c r="A95" s="63">
        <v>27</v>
      </c>
      <c r="B95" s="115"/>
      <c r="C95" s="67" t="s">
        <v>260</v>
      </c>
      <c r="E95" s="67" t="s">
        <v>231</v>
      </c>
      <c r="L95" s="157" t="str">
        <f t="shared" si="8"/>
        <v>NA</v>
      </c>
      <c r="M95" s="158" t="str">
        <f t="shared" si="9"/>
        <v/>
      </c>
      <c r="T95" s="102" t="s">
        <v>261</v>
      </c>
      <c r="AA95" s="83" t="s">
        <v>262</v>
      </c>
      <c r="AB95" s="113"/>
      <c r="AD95" s="114">
        <f t="shared" si="10"/>
        <v>0</v>
      </c>
    </row>
    <row r="96" spans="1:30" ht="14.1" customHeight="1" thickBot="1" x14ac:dyDescent="0.25">
      <c r="A96" s="63">
        <v>28</v>
      </c>
      <c r="B96" s="115"/>
      <c r="C96" s="74"/>
      <c r="E96" s="67" t="s">
        <v>232</v>
      </c>
      <c r="L96" s="157" t="str">
        <f t="shared" si="8"/>
        <v>NA</v>
      </c>
      <c r="M96" s="158" t="str">
        <f t="shared" si="9"/>
        <v/>
      </c>
      <c r="O96" s="110"/>
      <c r="P96" s="69"/>
      <c r="Q96" s="69"/>
      <c r="R96" s="69"/>
      <c r="S96" s="69"/>
      <c r="T96" s="69"/>
      <c r="U96" s="69"/>
      <c r="V96" s="69"/>
      <c r="W96" s="69"/>
      <c r="X96" s="69"/>
      <c r="Y96" s="70"/>
      <c r="AA96" s="83" t="s">
        <v>263</v>
      </c>
      <c r="AB96" s="113"/>
      <c r="AD96" s="114">
        <f t="shared" si="10"/>
        <v>0</v>
      </c>
    </row>
    <row r="97" spans="1:30" ht="14.1" customHeight="1" thickTop="1" x14ac:dyDescent="0.2">
      <c r="A97" s="63">
        <v>29</v>
      </c>
      <c r="B97" s="115"/>
      <c r="E97" s="67" t="s">
        <v>235</v>
      </c>
      <c r="L97" s="157" t="str">
        <f t="shared" si="8"/>
        <v>NA</v>
      </c>
      <c r="M97" s="158" t="str">
        <f t="shared" si="9"/>
        <v/>
      </c>
      <c r="O97" s="131" t="s">
        <v>141</v>
      </c>
      <c r="P97" s="443" t="s">
        <v>142</v>
      </c>
      <c r="Q97" s="443"/>
      <c r="R97" s="443"/>
      <c r="S97" s="443" t="s">
        <v>143</v>
      </c>
      <c r="T97" s="443"/>
      <c r="U97" s="443"/>
      <c r="V97" s="443" t="s">
        <v>144</v>
      </c>
      <c r="W97" s="443"/>
      <c r="X97" s="443"/>
      <c r="Y97" s="79"/>
      <c r="AA97" s="83" t="s">
        <v>264</v>
      </c>
      <c r="AB97" s="113"/>
      <c r="AD97" s="114" t="str">
        <f t="shared" si="10"/>
        <v/>
      </c>
    </row>
    <row r="98" spans="1:30" ht="14.1" customHeight="1" x14ac:dyDescent="0.2">
      <c r="A98" s="63">
        <v>30</v>
      </c>
      <c r="B98" s="115"/>
      <c r="C98" s="67" t="s">
        <v>265</v>
      </c>
      <c r="E98" s="67" t="s">
        <v>238</v>
      </c>
      <c r="L98" s="157" t="str">
        <f t="shared" si="8"/>
        <v>TBD</v>
      </c>
      <c r="M98" s="158" t="str">
        <f t="shared" si="9"/>
        <v/>
      </c>
      <c r="O98" s="132" t="s">
        <v>145</v>
      </c>
      <c r="P98" s="133"/>
      <c r="Q98" s="134"/>
      <c r="R98" s="135"/>
      <c r="S98" s="444" t="s">
        <v>146</v>
      </c>
      <c r="T98" s="444"/>
      <c r="U98" s="444"/>
      <c r="V98" s="133"/>
      <c r="W98" s="134"/>
      <c r="X98" s="135"/>
      <c r="Y98" s="79"/>
      <c r="AA98" s="83" t="s">
        <v>266</v>
      </c>
      <c r="AB98" s="113"/>
      <c r="AD98" s="114" t="str">
        <f t="shared" si="10"/>
        <v/>
      </c>
    </row>
    <row r="99" spans="1:30" ht="14.1" customHeight="1" thickBot="1" x14ac:dyDescent="0.25">
      <c r="A99" s="63">
        <v>31</v>
      </c>
      <c r="B99" s="115"/>
      <c r="C99" s="67" t="s">
        <v>267</v>
      </c>
      <c r="E99" s="67" t="s">
        <v>241</v>
      </c>
      <c r="L99" s="157" t="str">
        <f t="shared" si="8"/>
        <v>NA</v>
      </c>
      <c r="M99" s="158" t="str">
        <f t="shared" si="9"/>
        <v/>
      </c>
      <c r="O99" s="132" t="s">
        <v>147</v>
      </c>
      <c r="P99" s="136" t="s">
        <v>148</v>
      </c>
      <c r="Q99" s="137" t="s">
        <v>105</v>
      </c>
      <c r="R99" s="138" t="s">
        <v>149</v>
      </c>
      <c r="S99" s="136" t="s">
        <v>148</v>
      </c>
      <c r="T99" s="137" t="s">
        <v>105</v>
      </c>
      <c r="U99" s="138" t="s">
        <v>149</v>
      </c>
      <c r="V99" s="136" t="s">
        <v>148</v>
      </c>
      <c r="W99" s="137" t="s">
        <v>105</v>
      </c>
      <c r="X99" s="138" t="s">
        <v>149</v>
      </c>
      <c r="Y99" s="79"/>
      <c r="AA99" s="83" t="s">
        <v>268</v>
      </c>
      <c r="AB99" s="113"/>
      <c r="AD99" s="114" t="str">
        <f t="shared" si="10"/>
        <v/>
      </c>
    </row>
    <row r="100" spans="1:30" ht="14.1" customHeight="1" thickTop="1" x14ac:dyDescent="0.2">
      <c r="A100" s="63">
        <v>32</v>
      </c>
      <c r="B100" s="115"/>
      <c r="C100" s="67" t="s">
        <v>269</v>
      </c>
      <c r="E100" s="67" t="s">
        <v>270</v>
      </c>
      <c r="L100" s="157" t="str">
        <f t="shared" si="8"/>
        <v>NA</v>
      </c>
      <c r="M100" s="158" t="str">
        <f t="shared" si="9"/>
        <v/>
      </c>
      <c r="O100" s="139" t="s">
        <v>151</v>
      </c>
      <c r="P100" s="172" t="str">
        <f>IF(P108&lt;&gt;"",P108,IF(AB46="","",AB46))</f>
        <v/>
      </c>
      <c r="Q100" s="173" t="str">
        <f>IF(Q108&lt;&gt;"",Q108,IF(AB47="","",AB47))</f>
        <v/>
      </c>
      <c r="R100" s="174" t="str">
        <f>IF(R108&lt;&gt;"",R108,IF(AB48="","",AB48))</f>
        <v/>
      </c>
      <c r="S100" s="172" t="str">
        <f>IF(S108&lt;&gt;"",S108,IF(AB59="","",AB59))</f>
        <v/>
      </c>
      <c r="T100" s="173" t="str">
        <f>IF(T108&lt;&gt;"",T108,IF(AB60="","",AB60))</f>
        <v/>
      </c>
      <c r="U100" s="174" t="str">
        <f>IF(U108&lt;&gt;"",U108,IF(AB61="","",AB61))</f>
        <v/>
      </c>
      <c r="V100" s="172" t="str">
        <f>IF(V108&lt;&gt;"",V108,IF(AB72="","",AB72))</f>
        <v/>
      </c>
      <c r="W100" s="173" t="str">
        <f>IF(W108&lt;&gt;"",W108,IF(AB73="","",AB73))</f>
        <v/>
      </c>
      <c r="X100" s="174" t="str">
        <f>IF(X108&lt;&gt;"",X108,IF(AB74="","",AB74))</f>
        <v/>
      </c>
      <c r="Y100" s="79"/>
      <c r="AA100" s="83" t="s">
        <v>271</v>
      </c>
      <c r="AB100" s="113"/>
      <c r="AD100" s="114" t="str">
        <f>IF(U336="","",U336)</f>
        <v/>
      </c>
    </row>
    <row r="101" spans="1:30" ht="14.1" customHeight="1" x14ac:dyDescent="0.2">
      <c r="A101" s="63">
        <v>33</v>
      </c>
      <c r="B101" s="115"/>
      <c r="C101" s="67" t="s">
        <v>272</v>
      </c>
      <c r="E101" s="67" t="s">
        <v>249</v>
      </c>
      <c r="L101" s="157" t="str">
        <f t="shared" si="8"/>
        <v>NA</v>
      </c>
      <c r="M101" s="158" t="str">
        <f t="shared" si="9"/>
        <v/>
      </c>
      <c r="O101" s="144" t="s">
        <v>154</v>
      </c>
      <c r="P101" s="175" t="str">
        <f>IF(P109&lt;&gt;"",P109,IF(AB49="","",AB49))</f>
        <v/>
      </c>
      <c r="Q101" s="176" t="str">
        <f>IF(Q109&lt;&gt;"",Q109,IF(AB50="","",AB50))</f>
        <v/>
      </c>
      <c r="R101" s="177" t="str">
        <f>IF(R109&lt;&gt;"",R109,IF(AB51="","",AB51))</f>
        <v/>
      </c>
      <c r="S101" s="175" t="str">
        <f>IF(S109&lt;&gt;"",S109,IF(AB60="","",AB60))</f>
        <v/>
      </c>
      <c r="T101" s="176" t="str">
        <f>IF(T109&lt;&gt;"",T109,IF(AB63="","",AB63))</f>
        <v/>
      </c>
      <c r="U101" s="177" t="str">
        <f>IF(U109&lt;&gt;"",U109,IF(AB64="","",AB64))</f>
        <v/>
      </c>
      <c r="V101" s="175" t="str">
        <f>IF(V109&lt;&gt;"",V109,IF(AB75="","",AB75))</f>
        <v/>
      </c>
      <c r="W101" s="176" t="str">
        <f>IF(W109&lt;&gt;"",W109,IF(AB76="","",AB76))</f>
        <v/>
      </c>
      <c r="X101" s="177" t="str">
        <f>IF(X109&lt;&gt;"",X109,IF(AB77="","",AB77))</f>
        <v/>
      </c>
      <c r="Y101" s="79"/>
      <c r="AA101" s="83" t="s">
        <v>273</v>
      </c>
      <c r="AB101" s="113"/>
      <c r="AD101" s="114" t="str">
        <f>IF(U337="","",U337)</f>
        <v/>
      </c>
    </row>
    <row r="102" spans="1:30" ht="14.1" customHeight="1" x14ac:dyDescent="0.2">
      <c r="A102" s="63">
        <v>34</v>
      </c>
      <c r="B102" s="115"/>
      <c r="C102" s="67" t="s">
        <v>274</v>
      </c>
      <c r="E102" s="67" t="s">
        <v>252</v>
      </c>
      <c r="L102" s="157" t="str">
        <f t="shared" si="8"/>
        <v>TBD</v>
      </c>
      <c r="M102" s="158" t="str">
        <f t="shared" si="9"/>
        <v/>
      </c>
      <c r="O102" s="144" t="s">
        <v>157</v>
      </c>
      <c r="P102" s="175" t="str">
        <f>IF(P110&lt;&gt;"",P110,IF(AB52="","",AB52))</f>
        <v/>
      </c>
      <c r="Q102" s="176" t="str">
        <f>IF(Q110&lt;&gt;"",Q110,IF(AB53="","",AB53))</f>
        <v/>
      </c>
      <c r="R102" s="177" t="str">
        <f>IF(R110&lt;&gt;"",R110,IF(AB54="","",AB54))</f>
        <v/>
      </c>
      <c r="S102" s="175" t="str">
        <f>IF(S110&lt;&gt;"",S110,IF(AB61="","",AB61))</f>
        <v/>
      </c>
      <c r="T102" s="176" t="str">
        <f>IF(T110&lt;&gt;"",T110,IF(AB66="","",AB66))</f>
        <v/>
      </c>
      <c r="U102" s="177" t="str">
        <f>IF(U110&lt;&gt;"",U110,IF(AB67="","",AB67))</f>
        <v/>
      </c>
      <c r="V102" s="175" t="str">
        <f>IF(V110&lt;&gt;"",V110,IF(AB78="","",AB78))</f>
        <v/>
      </c>
      <c r="W102" s="176" t="str">
        <f>IF(W110&lt;&gt;"",W110,IF(AB79="","",AB79))</f>
        <v/>
      </c>
      <c r="X102" s="177" t="str">
        <f>IF(X110&lt;&gt;"",X110,IF(AB80="","",AB80))</f>
        <v/>
      </c>
      <c r="Y102" s="79"/>
      <c r="AA102" s="83" t="s">
        <v>259</v>
      </c>
      <c r="AB102" s="113"/>
      <c r="AD102" s="114">
        <f t="shared" ref="AD102:AD107" si="11">IF(R285="","",R285)</f>
        <v>28</v>
      </c>
    </row>
    <row r="103" spans="1:30" ht="14.1" customHeight="1" thickBot="1" x14ac:dyDescent="0.25">
      <c r="A103" s="63">
        <v>35</v>
      </c>
      <c r="B103" s="115"/>
      <c r="C103" s="67" t="s">
        <v>275</v>
      </c>
      <c r="E103" s="67" t="s">
        <v>255</v>
      </c>
      <c r="L103" s="157" t="str">
        <f t="shared" si="8"/>
        <v>TBD</v>
      </c>
      <c r="M103" s="158" t="str">
        <f t="shared" si="9"/>
        <v/>
      </c>
      <c r="O103" s="148" t="s">
        <v>160</v>
      </c>
      <c r="P103" s="178" t="str">
        <f>IF(P111&lt;&gt;"",P111,IF(AB55="","",AB55))</f>
        <v/>
      </c>
      <c r="Q103" s="179" t="str">
        <f>IF(Q111&lt;&gt;"",Q111,IF(AB56="","",AB56))</f>
        <v/>
      </c>
      <c r="R103" s="180" t="str">
        <f>IF(R111&lt;&gt;"",R111,IF(AB57="","",AB57))</f>
        <v/>
      </c>
      <c r="S103" s="178" t="str">
        <f>IF(S111&lt;&gt;"",S111,IF(AB62="","",AB62))</f>
        <v/>
      </c>
      <c r="T103" s="179" t="str">
        <f>IF(T111&lt;&gt;"",T111,IF(AB69="","",AB69))</f>
        <v/>
      </c>
      <c r="U103" s="180" t="str">
        <f>IF(U111&lt;&gt;"",U111,IF(AB70="","",AB70))</f>
        <v/>
      </c>
      <c r="V103" s="178" t="str">
        <f>IF(V111&lt;&gt;"",V111,IF(AB81="","",AB81))</f>
        <v/>
      </c>
      <c r="W103" s="179" t="str">
        <f>IF(W111&lt;&gt;"",W111,IF(AB82="","",AB82))</f>
        <v/>
      </c>
      <c r="X103" s="180" t="str">
        <f>IF(X111&lt;&gt;"",X111,IF(AB83="","",AB83))</f>
        <v/>
      </c>
      <c r="Y103" s="79"/>
      <c r="AA103" s="83" t="s">
        <v>262</v>
      </c>
      <c r="AB103" s="113"/>
      <c r="AD103" s="114">
        <f t="shared" si="11"/>
        <v>138.9</v>
      </c>
    </row>
    <row r="104" spans="1:30" ht="14.1" customHeight="1" thickTop="1" thickBot="1" x14ac:dyDescent="0.25">
      <c r="A104" s="63">
        <v>36</v>
      </c>
      <c r="B104" s="128"/>
      <c r="C104" s="129"/>
      <c r="D104" s="129"/>
      <c r="E104" s="129"/>
      <c r="F104" s="129"/>
      <c r="G104" s="129"/>
      <c r="H104" s="129"/>
      <c r="I104" s="129"/>
      <c r="J104" s="129"/>
      <c r="K104" s="129"/>
      <c r="L104" s="129"/>
      <c r="M104" s="130"/>
      <c r="O104" s="77"/>
      <c r="Y104" s="79"/>
      <c r="AA104" s="83" t="s">
        <v>263</v>
      </c>
      <c r="AB104" s="113"/>
      <c r="AD104" s="114">
        <f t="shared" si="11"/>
        <v>0</v>
      </c>
    </row>
    <row r="105" spans="1:30" ht="14.1" customHeight="1" thickTop="1" x14ac:dyDescent="0.2">
      <c r="A105" s="63">
        <v>37</v>
      </c>
      <c r="O105" s="131" t="s">
        <v>141</v>
      </c>
      <c r="P105" s="443" t="s">
        <v>142</v>
      </c>
      <c r="Q105" s="443"/>
      <c r="R105" s="443"/>
      <c r="S105" s="443" t="s">
        <v>143</v>
      </c>
      <c r="T105" s="443"/>
      <c r="U105" s="443"/>
      <c r="V105" s="443" t="s">
        <v>144</v>
      </c>
      <c r="W105" s="443"/>
      <c r="X105" s="443"/>
      <c r="Y105" s="79"/>
      <c r="AA105" s="83" t="s">
        <v>264</v>
      </c>
      <c r="AB105" s="113"/>
      <c r="AD105" s="114" t="str">
        <f t="shared" si="11"/>
        <v/>
      </c>
    </row>
    <row r="106" spans="1:30" ht="14.1" customHeight="1" x14ac:dyDescent="0.2">
      <c r="A106" s="63">
        <v>38</v>
      </c>
      <c r="O106" s="132" t="s">
        <v>145</v>
      </c>
      <c r="P106" s="133"/>
      <c r="Q106" s="134"/>
      <c r="R106" s="135"/>
      <c r="S106" s="444" t="s">
        <v>146</v>
      </c>
      <c r="T106" s="444"/>
      <c r="U106" s="444"/>
      <c r="V106" s="133"/>
      <c r="W106" s="134"/>
      <c r="X106" s="135"/>
      <c r="Y106" s="79"/>
      <c r="AA106" s="83" t="s">
        <v>266</v>
      </c>
      <c r="AB106" s="113"/>
      <c r="AD106" s="114" t="str">
        <f t="shared" si="11"/>
        <v/>
      </c>
    </row>
    <row r="107" spans="1:30" ht="14.1" customHeight="1" thickBot="1" x14ac:dyDescent="0.25">
      <c r="A107" s="63">
        <v>39</v>
      </c>
      <c r="O107" s="132" t="s">
        <v>147</v>
      </c>
      <c r="P107" s="136" t="s">
        <v>148</v>
      </c>
      <c r="Q107" s="137" t="s">
        <v>105</v>
      </c>
      <c r="R107" s="138" t="s">
        <v>149</v>
      </c>
      <c r="S107" s="136" t="s">
        <v>148</v>
      </c>
      <c r="T107" s="137" t="s">
        <v>105</v>
      </c>
      <c r="U107" s="138" t="s">
        <v>149</v>
      </c>
      <c r="V107" s="136" t="s">
        <v>148</v>
      </c>
      <c r="W107" s="137" t="s">
        <v>105</v>
      </c>
      <c r="X107" s="138" t="s">
        <v>149</v>
      </c>
      <c r="Y107" s="79"/>
      <c r="AA107" s="83" t="s">
        <v>268</v>
      </c>
      <c r="AB107" s="113"/>
      <c r="AD107" s="114" t="str">
        <f t="shared" si="11"/>
        <v/>
      </c>
    </row>
    <row r="108" spans="1:30" ht="14.1" customHeight="1" thickTop="1" x14ac:dyDescent="0.2">
      <c r="A108" s="63">
        <v>40</v>
      </c>
      <c r="E108" s="74"/>
      <c r="O108" s="139" t="s">
        <v>151</v>
      </c>
      <c r="P108" s="181"/>
      <c r="Q108" s="182"/>
      <c r="R108" s="183"/>
      <c r="S108" s="181"/>
      <c r="T108" s="182"/>
      <c r="U108" s="183"/>
      <c r="V108" s="181"/>
      <c r="W108" s="182"/>
      <c r="X108" s="183"/>
      <c r="Y108" s="79"/>
      <c r="AA108" s="83" t="s">
        <v>271</v>
      </c>
      <c r="AB108" s="113"/>
      <c r="AD108" s="114" t="str">
        <f>IF(R293="","",R293)</f>
        <v/>
      </c>
    </row>
    <row r="109" spans="1:30" ht="14.1" customHeight="1" x14ac:dyDescent="0.2">
      <c r="A109" s="63">
        <v>41</v>
      </c>
      <c r="E109" s="74"/>
      <c r="O109" s="144" t="s">
        <v>154</v>
      </c>
      <c r="P109" s="184"/>
      <c r="Q109" s="185"/>
      <c r="R109" s="186"/>
      <c r="S109" s="184"/>
      <c r="T109" s="185"/>
      <c r="U109" s="186"/>
      <c r="V109" s="184"/>
      <c r="W109" s="185"/>
      <c r="X109" s="186"/>
      <c r="Y109" s="79"/>
      <c r="AA109" s="83" t="s">
        <v>273</v>
      </c>
      <c r="AB109" s="113"/>
      <c r="AD109" s="114" t="str">
        <f>IF(R294="","",R294)</f>
        <v/>
      </c>
    </row>
    <row r="110" spans="1:30" ht="14.1" customHeight="1" x14ac:dyDescent="0.2">
      <c r="A110" s="63">
        <v>42</v>
      </c>
      <c r="E110" s="74"/>
      <c r="O110" s="144" t="s">
        <v>157</v>
      </c>
      <c r="P110" s="184"/>
      <c r="Q110" s="185"/>
      <c r="R110" s="186"/>
      <c r="S110" s="184"/>
      <c r="T110" s="185"/>
      <c r="U110" s="186"/>
      <c r="V110" s="184"/>
      <c r="W110" s="185"/>
      <c r="X110" s="186"/>
      <c r="Y110" s="79"/>
    </row>
    <row r="111" spans="1:30" ht="14.1" customHeight="1" thickBot="1" x14ac:dyDescent="0.25">
      <c r="A111" s="63">
        <v>43</v>
      </c>
      <c r="E111" s="74"/>
      <c r="O111" s="187" t="s">
        <v>160</v>
      </c>
      <c r="P111" s="188"/>
      <c r="Q111" s="189"/>
      <c r="R111" s="190"/>
      <c r="S111" s="188"/>
      <c r="T111" s="189"/>
      <c r="U111" s="190"/>
      <c r="V111" s="188"/>
      <c r="W111" s="189"/>
      <c r="X111" s="190"/>
      <c r="Y111" s="90"/>
    </row>
    <row r="112" spans="1:30" ht="14.1" customHeight="1" x14ac:dyDescent="0.2">
      <c r="A112" s="63">
        <v>44</v>
      </c>
      <c r="E112" s="74"/>
      <c r="O112" s="74"/>
      <c r="P112" s="74"/>
      <c r="Q112" s="74"/>
      <c r="R112" s="74"/>
      <c r="S112" s="74"/>
      <c r="T112" s="74"/>
      <c r="U112" s="74"/>
      <c r="V112" s="74"/>
      <c r="W112" s="74"/>
      <c r="X112" s="74"/>
    </row>
    <row r="113" spans="1:30" ht="14.1" customHeight="1" thickBot="1" x14ac:dyDescent="0.25">
      <c r="A113" s="63">
        <v>45</v>
      </c>
      <c r="E113" s="74"/>
      <c r="T113" s="102" t="s">
        <v>150</v>
      </c>
      <c r="AA113" s="91" t="s">
        <v>276</v>
      </c>
      <c r="AB113" s="96"/>
      <c r="AC113" s="97" t="str">
        <f>IF(AB113&lt;&gt;AD113,"Change","")</f>
        <v/>
      </c>
      <c r="AD113" s="98" t="str">
        <f>IF(Q295="","",Q295)</f>
        <v/>
      </c>
    </row>
    <row r="114" spans="1:30" ht="14.1" customHeight="1" x14ac:dyDescent="0.2">
      <c r="A114" s="63">
        <v>46</v>
      </c>
      <c r="E114" s="74"/>
      <c r="O114" s="191" t="s">
        <v>277</v>
      </c>
      <c r="P114" s="69"/>
      <c r="Q114" s="69"/>
      <c r="R114" s="69"/>
      <c r="S114" s="69"/>
      <c r="T114" s="69"/>
      <c r="U114" s="69"/>
      <c r="V114" s="69"/>
      <c r="W114" s="69"/>
      <c r="X114" s="69"/>
      <c r="Y114" s="70"/>
      <c r="AA114" s="83"/>
      <c r="AB114" s="84"/>
      <c r="AD114" s="84"/>
    </row>
    <row r="115" spans="1:30" ht="14.1" customHeight="1" x14ac:dyDescent="0.2">
      <c r="A115" s="63">
        <v>47</v>
      </c>
      <c r="E115" s="74"/>
      <c r="O115" s="77"/>
      <c r="Q115" s="67" t="s">
        <v>278</v>
      </c>
      <c r="R115" s="67" t="s">
        <v>279</v>
      </c>
      <c r="S115" s="67" t="s">
        <v>280</v>
      </c>
      <c r="T115" s="67" t="s">
        <v>281</v>
      </c>
      <c r="Y115" s="79"/>
      <c r="AA115" s="83"/>
      <c r="AB115" s="96"/>
      <c r="AC115" s="97" t="str">
        <f>IF(AB115&lt;&gt;AD115,"Change","")</f>
        <v/>
      </c>
      <c r="AD115" s="98" t="str">
        <f>IF(Q297="","",Q297)</f>
        <v/>
      </c>
    </row>
    <row r="116" spans="1:30" ht="14.1" customHeight="1" x14ac:dyDescent="0.2">
      <c r="A116" s="63">
        <v>48</v>
      </c>
      <c r="E116" s="74"/>
      <c r="O116" s="77"/>
      <c r="P116" s="67" t="s">
        <v>282</v>
      </c>
      <c r="Q116" s="192"/>
      <c r="R116" s="192"/>
      <c r="S116" s="192"/>
      <c r="T116" s="192"/>
      <c r="Y116" s="79"/>
      <c r="AA116" s="83"/>
      <c r="AB116" s="84"/>
      <c r="AD116" s="84"/>
    </row>
    <row r="117" spans="1:30" ht="14.1" customHeight="1" x14ac:dyDescent="0.2">
      <c r="A117" s="63">
        <v>49</v>
      </c>
      <c r="E117" s="74"/>
      <c r="O117" s="77"/>
      <c r="P117" s="67" t="s">
        <v>283</v>
      </c>
      <c r="Q117" s="192"/>
      <c r="R117" s="192"/>
      <c r="S117" s="192"/>
      <c r="T117" s="192"/>
      <c r="Y117" s="79"/>
      <c r="AA117" s="83"/>
      <c r="AB117" s="96"/>
      <c r="AC117" s="97" t="str">
        <f>IF(AB117&lt;&gt;AD117,"Change","")</f>
        <v/>
      </c>
      <c r="AD117" s="98" t="str">
        <f>IF(Q299="","",Q299)</f>
        <v/>
      </c>
    </row>
    <row r="118" spans="1:30" ht="14.1" customHeight="1" x14ac:dyDescent="0.2">
      <c r="A118" s="63">
        <v>50</v>
      </c>
      <c r="E118" s="74"/>
      <c r="O118" s="77"/>
      <c r="P118" s="74" t="s">
        <v>284</v>
      </c>
      <c r="Q118" s="74" t="s">
        <v>285</v>
      </c>
      <c r="Y118" s="79"/>
      <c r="AA118" s="83"/>
      <c r="AB118" s="84"/>
      <c r="AD118" s="84"/>
    </row>
    <row r="119" spans="1:30" ht="14.1" customHeight="1" x14ac:dyDescent="0.2">
      <c r="A119" s="63">
        <v>51</v>
      </c>
      <c r="E119" s="74"/>
      <c r="O119" s="77"/>
      <c r="P119" s="74"/>
      <c r="Q119" s="74" t="s">
        <v>286</v>
      </c>
      <c r="Y119" s="79"/>
      <c r="AA119" s="83"/>
      <c r="AB119" s="96"/>
      <c r="AC119" s="97" t="str">
        <f>IF(AB119&lt;&gt;AD119,"Change","")</f>
        <v/>
      </c>
      <c r="AD119" s="98" t="str">
        <f>IF(Q301="","",Q301)</f>
        <v/>
      </c>
    </row>
    <row r="120" spans="1:30" ht="14.1" customHeight="1" x14ac:dyDescent="0.2">
      <c r="A120" s="63">
        <v>52</v>
      </c>
      <c r="E120" s="74"/>
      <c r="O120" s="77"/>
      <c r="Y120" s="79"/>
      <c r="AA120" s="83"/>
      <c r="AB120" s="84"/>
      <c r="AD120" s="84"/>
    </row>
    <row r="121" spans="1:30" ht="14.1" customHeight="1" x14ac:dyDescent="0.2">
      <c r="A121" s="63">
        <v>53</v>
      </c>
      <c r="E121" s="74"/>
      <c r="O121" s="193" t="s">
        <v>287</v>
      </c>
      <c r="Y121" s="79"/>
      <c r="AA121" s="83"/>
      <c r="AB121" s="96"/>
      <c r="AC121" s="97" t="str">
        <f>IF(AB121&lt;&gt;AD121,"Change","")</f>
        <v/>
      </c>
      <c r="AD121" s="98" t="str">
        <f>IF(Q303="","",Q303)</f>
        <v/>
      </c>
    </row>
    <row r="122" spans="1:30" ht="14.1" customHeight="1" x14ac:dyDescent="0.2">
      <c r="A122" s="63">
        <v>54</v>
      </c>
      <c r="E122" s="74"/>
      <c r="O122" s="77"/>
      <c r="P122" s="67" t="s">
        <v>288</v>
      </c>
      <c r="Q122" s="82" t="s">
        <v>278</v>
      </c>
      <c r="R122" s="82" t="s">
        <v>289</v>
      </c>
      <c r="Y122" s="79"/>
      <c r="AA122" s="83"/>
      <c r="AB122" s="84"/>
      <c r="AD122" s="84"/>
    </row>
    <row r="123" spans="1:30" ht="14.1" customHeight="1" x14ac:dyDescent="0.2">
      <c r="A123" s="63">
        <v>55</v>
      </c>
      <c r="E123" s="74"/>
      <c r="O123" s="77"/>
      <c r="P123" s="82">
        <v>1</v>
      </c>
      <c r="Q123" s="194"/>
      <c r="R123" s="195" t="str">
        <f t="shared" ref="R123:R130" si="12">IF(Q123="","",ABS(Q123-P123))</f>
        <v/>
      </c>
      <c r="Y123" s="79"/>
      <c r="AA123" s="83"/>
      <c r="AB123" s="96"/>
      <c r="AC123" s="97" t="str">
        <f>IF(AB123&lt;&gt;AD123,"Change","")</f>
        <v/>
      </c>
      <c r="AD123" s="98" t="str">
        <f>IF(Q305="","",Q305)</f>
        <v/>
      </c>
    </row>
    <row r="124" spans="1:30" ht="14.1" customHeight="1" x14ac:dyDescent="0.2">
      <c r="A124" s="63">
        <v>56</v>
      </c>
      <c r="O124" s="77"/>
      <c r="P124" s="82">
        <v>2</v>
      </c>
      <c r="Q124" s="194"/>
      <c r="R124" s="195" t="str">
        <f t="shared" si="12"/>
        <v/>
      </c>
      <c r="Y124" s="79"/>
      <c r="AA124" s="83"/>
      <c r="AB124" s="84"/>
      <c r="AD124" s="84"/>
    </row>
    <row r="125" spans="1:30" ht="14.1" customHeight="1" x14ac:dyDescent="0.2">
      <c r="A125" s="63">
        <v>57</v>
      </c>
      <c r="O125" s="77"/>
      <c r="P125" s="82">
        <v>4</v>
      </c>
      <c r="Q125" s="194"/>
      <c r="R125" s="195" t="str">
        <f t="shared" si="12"/>
        <v/>
      </c>
      <c r="S125" s="83" t="s">
        <v>290</v>
      </c>
      <c r="T125" s="196" t="str">
        <f>IF(OR(Q125="",Q126="",Q127="",Q128=""),"",AVERAGE(Q125:Q128))</f>
        <v/>
      </c>
      <c r="Y125" s="79"/>
      <c r="AA125" s="83"/>
      <c r="AB125" s="96"/>
      <c r="AC125" s="97" t="str">
        <f>IF(AB125&lt;&gt;AD125,"Change","")</f>
        <v/>
      </c>
      <c r="AD125" s="98" t="str">
        <f>IF(Q307="","",Q307)</f>
        <v/>
      </c>
    </row>
    <row r="126" spans="1:30" ht="14.1" customHeight="1" x14ac:dyDescent="0.2">
      <c r="A126" s="63">
        <v>58</v>
      </c>
      <c r="O126" s="77"/>
      <c r="P126" s="82">
        <v>4</v>
      </c>
      <c r="Q126" s="194"/>
      <c r="R126" s="195" t="str">
        <f t="shared" si="12"/>
        <v/>
      </c>
      <c r="S126" s="83" t="s">
        <v>291</v>
      </c>
      <c r="T126" s="197" t="str">
        <f>IF(OR(Q125="",Q126="",Q127="",Q128=""),"",STDEV(Q125:Q128))</f>
        <v/>
      </c>
      <c r="Y126" s="79"/>
    </row>
    <row r="127" spans="1:30" ht="14.1" customHeight="1" x14ac:dyDescent="0.2">
      <c r="A127" s="63">
        <v>59</v>
      </c>
      <c r="O127" s="77"/>
      <c r="P127" s="82">
        <v>4</v>
      </c>
      <c r="Q127" s="194"/>
      <c r="R127" s="195" t="str">
        <f t="shared" si="12"/>
        <v/>
      </c>
      <c r="Y127" s="79"/>
    </row>
    <row r="128" spans="1:30" ht="14.1" customHeight="1" x14ac:dyDescent="0.2">
      <c r="A128" s="63">
        <v>60</v>
      </c>
      <c r="O128" s="77"/>
      <c r="P128" s="82">
        <v>4</v>
      </c>
      <c r="Q128" s="194"/>
      <c r="R128" s="195" t="str">
        <f t="shared" si="12"/>
        <v/>
      </c>
      <c r="T128" s="162" t="s">
        <v>284</v>
      </c>
      <c r="U128" s="74" t="s">
        <v>292</v>
      </c>
      <c r="Y128" s="79"/>
    </row>
    <row r="129" spans="1:25" ht="14.1" customHeight="1" x14ac:dyDescent="0.2">
      <c r="A129" s="63">
        <v>61</v>
      </c>
      <c r="O129" s="77"/>
      <c r="P129" s="82">
        <v>6</v>
      </c>
      <c r="Q129" s="194"/>
      <c r="R129" s="195" t="str">
        <f t="shared" si="12"/>
        <v/>
      </c>
      <c r="Y129" s="79"/>
    </row>
    <row r="130" spans="1:25" ht="14.1" customHeight="1" x14ac:dyDescent="0.2">
      <c r="A130" s="63">
        <v>62</v>
      </c>
      <c r="O130" s="77"/>
      <c r="P130" s="82">
        <v>8</v>
      </c>
      <c r="Q130" s="194"/>
      <c r="R130" s="195" t="str">
        <f t="shared" si="12"/>
        <v/>
      </c>
      <c r="Y130" s="79"/>
    </row>
    <row r="131" spans="1:25" ht="14.1" customHeight="1" x14ac:dyDescent="0.2">
      <c r="A131" s="63">
        <v>63</v>
      </c>
      <c r="O131" s="77"/>
      <c r="Y131" s="79"/>
    </row>
    <row r="132" spans="1:25" ht="14.1" customHeight="1" x14ac:dyDescent="0.2">
      <c r="A132" s="63">
        <v>64</v>
      </c>
      <c r="O132" s="147"/>
      <c r="P132" s="67" t="s">
        <v>293</v>
      </c>
      <c r="S132" s="198" t="str">
        <f>IF(R123="","",IF(OR(R123&gt;0.2,R124&gt;0.2,R125&gt;0.2,R126&gt;0.2,R127&gt;0.2,R128&gt;0.2,R129&gt;0.2,R130&gt;0.2),"Fail","Pass"))</f>
        <v/>
      </c>
      <c r="T132" s="84" t="s">
        <v>294</v>
      </c>
      <c r="Y132" s="79"/>
    </row>
    <row r="133" spans="1:25" ht="14.1" customHeight="1" x14ac:dyDescent="0.2">
      <c r="A133" s="63">
        <v>65</v>
      </c>
      <c r="C133" s="74"/>
      <c r="D133" s="74"/>
      <c r="E133" s="74"/>
      <c r="F133" s="74"/>
      <c r="G133" s="74"/>
      <c r="H133" s="74"/>
      <c r="I133" s="74"/>
      <c r="J133" s="74"/>
      <c r="K133" s="74"/>
      <c r="L133" s="74"/>
      <c r="M133" s="74"/>
      <c r="O133" s="147"/>
      <c r="P133" s="67" t="s">
        <v>295</v>
      </c>
      <c r="Y133" s="79"/>
    </row>
    <row r="134" spans="1:25" ht="14.1" customHeight="1" x14ac:dyDescent="0.2">
      <c r="A134" s="63">
        <v>66</v>
      </c>
      <c r="C134" s="74"/>
      <c r="D134" s="74"/>
      <c r="E134" s="74"/>
      <c r="F134" s="74"/>
      <c r="G134" s="74"/>
      <c r="H134" s="74"/>
      <c r="I134" s="74"/>
      <c r="J134" s="74"/>
      <c r="K134" s="74"/>
      <c r="L134" s="74"/>
      <c r="M134" s="74"/>
      <c r="O134" s="77"/>
      <c r="Y134" s="79"/>
    </row>
    <row r="135" spans="1:25" ht="14.1" customHeight="1" x14ac:dyDescent="0.2">
      <c r="A135" s="63">
        <v>67</v>
      </c>
      <c r="B135" s="74"/>
      <c r="C135" s="162" t="s">
        <v>91</v>
      </c>
      <c r="D135" s="163" t="str">
        <f>IF($P$7="","",$P$7)</f>
        <v/>
      </c>
      <c r="E135" s="74"/>
      <c r="F135" s="74"/>
      <c r="G135" s="74"/>
      <c r="H135" s="74"/>
      <c r="I135" s="74"/>
      <c r="J135" s="74"/>
      <c r="K135" s="74"/>
      <c r="L135" s="162" t="s">
        <v>92</v>
      </c>
      <c r="M135" s="164" t="str">
        <f>IF($X$7="","",$X$7)</f>
        <v>Eugene Mah</v>
      </c>
      <c r="O135" s="193" t="s">
        <v>296</v>
      </c>
      <c r="R135" s="116"/>
      <c r="Y135" s="79"/>
    </row>
    <row r="136" spans="1:25" ht="14.1" customHeight="1" x14ac:dyDescent="0.2">
      <c r="A136" s="63">
        <v>68</v>
      </c>
      <c r="B136" s="74"/>
      <c r="C136" s="162" t="s">
        <v>197</v>
      </c>
      <c r="D136" s="165" t="str">
        <f>IF($R$14="","",$R$14)</f>
        <v/>
      </c>
      <c r="E136" s="74"/>
      <c r="F136" s="74"/>
      <c r="G136" s="74"/>
      <c r="H136" s="74"/>
      <c r="I136" s="74"/>
      <c r="J136" s="74"/>
      <c r="K136" s="74"/>
      <c r="L136" s="162" t="s">
        <v>115</v>
      </c>
      <c r="M136" s="164" t="str">
        <f>IF($R$13="","",$R$13)</f>
        <v/>
      </c>
      <c r="O136" s="77"/>
      <c r="P136" s="83"/>
      <c r="Q136" s="152"/>
      <c r="R136" s="83" t="s">
        <v>259</v>
      </c>
      <c r="S136" s="192">
        <v>28</v>
      </c>
      <c r="T136" s="152"/>
      <c r="Y136" s="79"/>
    </row>
    <row r="137" spans="1:25" ht="14.1" customHeight="1" x14ac:dyDescent="0.2">
      <c r="A137" s="63">
        <v>1</v>
      </c>
      <c r="M137" s="166" t="str">
        <f>$H$2</f>
        <v>Medical University of South Carolina</v>
      </c>
      <c r="O137" s="77"/>
      <c r="P137" s="83" t="s">
        <v>129</v>
      </c>
      <c r="Q137" s="192" t="s">
        <v>130</v>
      </c>
      <c r="R137" s="83" t="s">
        <v>297</v>
      </c>
      <c r="S137" s="192"/>
      <c r="T137" s="152"/>
      <c r="Y137" s="79"/>
    </row>
    <row r="138" spans="1:25" ht="14.1" customHeight="1" thickBot="1" x14ac:dyDescent="0.25">
      <c r="A138" s="63">
        <v>2</v>
      </c>
      <c r="H138" s="99" t="s">
        <v>150</v>
      </c>
      <c r="M138" s="167" t="str">
        <f>$H$5</f>
        <v>Stereotactic Breast Biopsy System Compliance Inspection</v>
      </c>
      <c r="O138" s="77"/>
      <c r="P138" s="83" t="s">
        <v>132</v>
      </c>
      <c r="Q138" s="192" t="s">
        <v>130</v>
      </c>
      <c r="R138" s="83" t="s">
        <v>298</v>
      </c>
      <c r="S138" s="192"/>
      <c r="T138" s="152"/>
      <c r="Y138" s="79"/>
    </row>
    <row r="139" spans="1:25" ht="14.1" customHeight="1" thickTop="1" x14ac:dyDescent="0.2">
      <c r="A139" s="63">
        <v>3</v>
      </c>
      <c r="B139" s="106"/>
      <c r="C139" s="108" t="s">
        <v>277</v>
      </c>
      <c r="D139" s="107"/>
      <c r="E139" s="107"/>
      <c r="F139" s="107"/>
      <c r="G139" s="107"/>
      <c r="H139" s="107"/>
      <c r="I139" s="107"/>
      <c r="J139" s="107"/>
      <c r="K139" s="107"/>
      <c r="L139" s="107"/>
      <c r="M139" s="109"/>
      <c r="O139" s="77"/>
      <c r="P139" s="83" t="s">
        <v>299</v>
      </c>
      <c r="Q139" s="118" t="s">
        <v>300</v>
      </c>
      <c r="R139" s="83" t="s">
        <v>301</v>
      </c>
      <c r="S139" s="192"/>
      <c r="T139" s="152"/>
      <c r="Y139" s="79"/>
    </row>
    <row r="140" spans="1:25" ht="14.1" customHeight="1" x14ac:dyDescent="0.2">
      <c r="A140" s="63">
        <v>4</v>
      </c>
      <c r="B140" s="115"/>
      <c r="E140" s="67" t="s">
        <v>278</v>
      </c>
      <c r="F140" s="67" t="s">
        <v>279</v>
      </c>
      <c r="G140" s="67" t="s">
        <v>280</v>
      </c>
      <c r="H140" s="82" t="s">
        <v>281</v>
      </c>
      <c r="M140" s="117"/>
      <c r="O140" s="77"/>
      <c r="P140" s="74"/>
      <c r="Q140" s="74"/>
      <c r="R140" s="152"/>
      <c r="S140" s="152"/>
      <c r="T140" s="152"/>
      <c r="Y140" s="79"/>
    </row>
    <row r="141" spans="1:25" ht="14.1" customHeight="1" thickBot="1" x14ac:dyDescent="0.25">
      <c r="A141" s="63">
        <v>5</v>
      </c>
      <c r="B141" s="115"/>
      <c r="D141" s="67" t="s">
        <v>282</v>
      </c>
      <c r="E141" s="118" t="str">
        <f t="shared" ref="E141:H142" si="13">IF(Q116="","",Q116)</f>
        <v/>
      </c>
      <c r="F141" s="118" t="str">
        <f t="shared" si="13"/>
        <v/>
      </c>
      <c r="G141" s="118" t="str">
        <f t="shared" si="13"/>
        <v/>
      </c>
      <c r="H141" s="118" t="str">
        <f t="shared" si="13"/>
        <v/>
      </c>
      <c r="M141" s="117"/>
      <c r="O141" s="77"/>
      <c r="P141" s="162" t="s">
        <v>80</v>
      </c>
      <c r="Q141" s="74"/>
      <c r="R141" s="199"/>
      <c r="S141" s="199"/>
      <c r="T141" s="199"/>
      <c r="U141" s="199"/>
      <c r="V141" s="199"/>
      <c r="W141" s="199"/>
      <c r="X141" s="199"/>
      <c r="Y141" s="79"/>
    </row>
    <row r="142" spans="1:25" ht="14.1" customHeight="1" x14ac:dyDescent="0.2">
      <c r="A142" s="63">
        <v>6</v>
      </c>
      <c r="B142" s="115"/>
      <c r="D142" s="67" t="s">
        <v>283</v>
      </c>
      <c r="E142" s="118" t="str">
        <f t="shared" si="13"/>
        <v/>
      </c>
      <c r="F142" s="118" t="str">
        <f t="shared" si="13"/>
        <v/>
      </c>
      <c r="G142" s="118" t="str">
        <f t="shared" si="13"/>
        <v/>
      </c>
      <c r="H142" s="118" t="str">
        <f t="shared" si="13"/>
        <v/>
      </c>
      <c r="J142" s="83" t="s">
        <v>301</v>
      </c>
      <c r="K142" s="200" t="str">
        <f>IF(OR(F141="",F142=""),"",IF(AND(F141&gt;25,F142&lt;=45),"Pass","Fail"))</f>
        <v/>
      </c>
      <c r="M142" s="117"/>
      <c r="O142" s="77"/>
      <c r="P142" s="201" t="s">
        <v>302</v>
      </c>
      <c r="Q142" s="202"/>
      <c r="R142" s="203"/>
      <c r="S142" s="203"/>
      <c r="T142" s="203"/>
      <c r="U142" s="203"/>
      <c r="V142" s="203"/>
      <c r="W142" s="203"/>
      <c r="X142" s="203"/>
      <c r="Y142" s="79"/>
    </row>
    <row r="143" spans="1:25" ht="14.1" customHeight="1" x14ac:dyDescent="0.2">
      <c r="A143" s="63">
        <v>7</v>
      </c>
      <c r="B143" s="115"/>
      <c r="D143" s="167" t="s">
        <v>284</v>
      </c>
      <c r="E143" s="74" t="s">
        <v>285</v>
      </c>
      <c r="M143" s="117"/>
      <c r="O143" s="77"/>
      <c r="P143" s="162" t="s">
        <v>303</v>
      </c>
      <c r="Q143" s="204"/>
      <c r="R143" s="203"/>
      <c r="S143" s="203"/>
      <c r="T143" s="203"/>
      <c r="U143" s="203"/>
      <c r="V143" s="203"/>
      <c r="W143" s="203"/>
      <c r="X143" s="203"/>
      <c r="Y143" s="79"/>
    </row>
    <row r="144" spans="1:25" ht="14.1" customHeight="1" x14ac:dyDescent="0.2">
      <c r="A144" s="63">
        <v>8</v>
      </c>
      <c r="B144" s="115"/>
      <c r="D144" s="74"/>
      <c r="E144" s="74" t="s">
        <v>286</v>
      </c>
      <c r="M144" s="117"/>
      <c r="O144" s="88"/>
      <c r="P144" s="89"/>
      <c r="Q144" s="89"/>
      <c r="R144" s="89"/>
      <c r="S144" s="89"/>
      <c r="T144" s="89"/>
      <c r="U144" s="89"/>
      <c r="V144" s="89"/>
      <c r="W144" s="89"/>
      <c r="X144" s="89"/>
      <c r="Y144" s="90"/>
    </row>
    <row r="145" spans="1:25" ht="14.1" customHeight="1" x14ac:dyDescent="0.2">
      <c r="A145" s="63">
        <v>9</v>
      </c>
      <c r="B145" s="115"/>
      <c r="M145" s="117"/>
      <c r="O145" s="193" t="s">
        <v>304</v>
      </c>
      <c r="Y145" s="79"/>
    </row>
    <row r="146" spans="1:25" ht="14.1" customHeight="1" x14ac:dyDescent="0.2">
      <c r="A146" s="63">
        <v>10</v>
      </c>
      <c r="B146" s="115"/>
      <c r="C146" s="205" t="s">
        <v>287</v>
      </c>
      <c r="M146" s="117"/>
      <c r="O146" s="147">
        <v>65</v>
      </c>
      <c r="P146" s="67" t="s">
        <v>305</v>
      </c>
      <c r="U146" s="82"/>
      <c r="Y146" s="79"/>
    </row>
    <row r="147" spans="1:25" ht="14.1" customHeight="1" x14ac:dyDescent="0.2">
      <c r="A147" s="63">
        <v>11</v>
      </c>
      <c r="B147" s="115"/>
      <c r="D147" s="67" t="s">
        <v>288</v>
      </c>
      <c r="E147" s="82" t="s">
        <v>278</v>
      </c>
      <c r="F147" s="82" t="s">
        <v>289</v>
      </c>
      <c r="I147" s="74"/>
      <c r="J147" s="83" t="s">
        <v>306</v>
      </c>
      <c r="K147" s="206" t="str">
        <f>IF(O132="","TBD",IF(O132=1,"YES",IF(O132=3,"NA","")))</f>
        <v>TBD</v>
      </c>
      <c r="L147" s="207" t="str">
        <f>IF(O132=2,"NO","")</f>
        <v/>
      </c>
      <c r="M147" s="117"/>
      <c r="O147" s="77"/>
      <c r="P147" s="74" t="s">
        <v>307</v>
      </c>
      <c r="Q147" s="152"/>
      <c r="R147" s="152"/>
      <c r="S147" s="152"/>
      <c r="T147" s="74"/>
      <c r="U147" s="74"/>
      <c r="V147" s="152"/>
      <c r="W147" s="152"/>
      <c r="X147" s="152"/>
      <c r="Y147" s="79"/>
    </row>
    <row r="148" spans="1:25" ht="14.1" customHeight="1" thickBot="1" x14ac:dyDescent="0.25">
      <c r="A148" s="63">
        <v>12</v>
      </c>
      <c r="B148" s="115"/>
      <c r="D148" s="82">
        <v>1</v>
      </c>
      <c r="E148" s="195" t="str">
        <f t="shared" ref="E148:F155" si="14">IF(Q123="","",Q123)</f>
        <v/>
      </c>
      <c r="F148" s="195" t="str">
        <f t="shared" si="14"/>
        <v/>
      </c>
      <c r="I148" s="74"/>
      <c r="J148" s="83" t="s">
        <v>308</v>
      </c>
      <c r="K148" s="206" t="str">
        <f>IF(O133="","TBD",IF(O133=1,"YES",IF(O133=3,"NA","")))</f>
        <v>TBD</v>
      </c>
      <c r="L148" s="207" t="str">
        <f>IF(O133=2,"NO","")</f>
        <v/>
      </c>
      <c r="M148" s="117"/>
      <c r="O148" s="77"/>
      <c r="R148" s="82" t="s">
        <v>309</v>
      </c>
      <c r="S148" s="152"/>
      <c r="T148" s="152"/>
      <c r="U148" s="74"/>
      <c r="V148" s="152"/>
      <c r="W148" s="152"/>
      <c r="X148" s="152"/>
      <c r="Y148" s="79"/>
    </row>
    <row r="149" spans="1:25" ht="14.1" customHeight="1" x14ac:dyDescent="0.2">
      <c r="A149" s="63">
        <v>13</v>
      </c>
      <c r="B149" s="115"/>
      <c r="D149" s="82">
        <v>2</v>
      </c>
      <c r="E149" s="195" t="str">
        <f t="shared" si="14"/>
        <v/>
      </c>
      <c r="F149" s="195" t="str">
        <f t="shared" si="14"/>
        <v/>
      </c>
      <c r="J149" s="83" t="s">
        <v>294</v>
      </c>
      <c r="K149" s="206" t="str">
        <f>IF(S132="","TBD",S132)</f>
        <v>TBD</v>
      </c>
      <c r="M149" s="117"/>
      <c r="O149" s="77"/>
      <c r="P149" s="83" t="s">
        <v>310</v>
      </c>
      <c r="Q149" s="208"/>
      <c r="R149" s="209" t="str">
        <f>IF(OR(Q149="",$O$146=""),"",Q149/$O$146)</f>
        <v/>
      </c>
      <c r="S149" s="210"/>
      <c r="T149" s="153"/>
      <c r="U149" s="74"/>
      <c r="V149" s="211"/>
      <c r="W149" s="211"/>
      <c r="X149" s="211"/>
      <c r="Y149" s="79"/>
    </row>
    <row r="150" spans="1:25" ht="14.1" customHeight="1" x14ac:dyDescent="0.2">
      <c r="A150" s="63">
        <v>14</v>
      </c>
      <c r="B150" s="115"/>
      <c r="D150" s="82">
        <v>4</v>
      </c>
      <c r="E150" s="195" t="str">
        <f t="shared" si="14"/>
        <v/>
      </c>
      <c r="F150" s="195" t="str">
        <f t="shared" si="14"/>
        <v/>
      </c>
      <c r="G150" s="83" t="s">
        <v>290</v>
      </c>
      <c r="H150" s="196" t="str">
        <f>IF(T125="","",T125)</f>
        <v/>
      </c>
      <c r="M150" s="117"/>
      <c r="O150" s="77"/>
      <c r="P150" s="83" t="s">
        <v>311</v>
      </c>
      <c r="Q150" s="212"/>
      <c r="R150" s="213" t="str">
        <f t="shared" ref="R150:R152" si="15">IF(OR(Q150="",$O$146=""),"",Q150/$O$146)</f>
        <v/>
      </c>
      <c r="S150" s="210"/>
      <c r="T150" s="153"/>
      <c r="U150" s="74"/>
      <c r="V150" s="211"/>
      <c r="W150" s="211"/>
      <c r="X150" s="211"/>
      <c r="Y150" s="79"/>
    </row>
    <row r="151" spans="1:25" ht="14.1" customHeight="1" x14ac:dyDescent="0.2">
      <c r="A151" s="63">
        <v>15</v>
      </c>
      <c r="B151" s="115"/>
      <c r="D151" s="82">
        <v>4</v>
      </c>
      <c r="E151" s="195" t="str">
        <f t="shared" si="14"/>
        <v/>
      </c>
      <c r="F151" s="195" t="str">
        <f t="shared" si="14"/>
        <v/>
      </c>
      <c r="G151" s="83" t="s">
        <v>291</v>
      </c>
      <c r="H151" s="197" t="str">
        <f>IF(T126="","",T126)</f>
        <v/>
      </c>
      <c r="M151" s="117"/>
      <c r="O151" s="77"/>
      <c r="P151" s="83" t="s">
        <v>312</v>
      </c>
      <c r="Q151" s="212"/>
      <c r="R151" s="213" t="str">
        <f t="shared" si="15"/>
        <v/>
      </c>
      <c r="S151" s="210"/>
      <c r="T151" s="153"/>
      <c r="U151" s="74"/>
      <c r="V151" s="211"/>
      <c r="W151" s="211"/>
      <c r="X151" s="211"/>
      <c r="Y151" s="79"/>
    </row>
    <row r="152" spans="1:25" ht="14.1" customHeight="1" thickBot="1" x14ac:dyDescent="0.25">
      <c r="A152" s="63">
        <v>16</v>
      </c>
      <c r="B152" s="115"/>
      <c r="D152" s="82">
        <v>4</v>
      </c>
      <c r="E152" s="195" t="str">
        <f t="shared" si="14"/>
        <v/>
      </c>
      <c r="F152" s="195" t="str">
        <f t="shared" si="14"/>
        <v/>
      </c>
      <c r="G152" s="162" t="s">
        <v>284</v>
      </c>
      <c r="H152" s="74" t="s">
        <v>292</v>
      </c>
      <c r="M152" s="117"/>
      <c r="O152" s="77"/>
      <c r="P152" s="83" t="s">
        <v>313</v>
      </c>
      <c r="Q152" s="214"/>
      <c r="R152" s="215" t="str">
        <f t="shared" si="15"/>
        <v/>
      </c>
      <c r="S152" s="210"/>
      <c r="T152" s="153"/>
      <c r="U152" s="74"/>
      <c r="V152" s="211"/>
      <c r="W152" s="211"/>
      <c r="X152" s="211"/>
      <c r="Y152" s="79"/>
    </row>
    <row r="153" spans="1:25" ht="14.1" customHeight="1" thickBot="1" x14ac:dyDescent="0.25">
      <c r="A153" s="63">
        <v>17</v>
      </c>
      <c r="B153" s="115"/>
      <c r="D153" s="82">
        <v>4</v>
      </c>
      <c r="E153" s="195" t="str">
        <f t="shared" si="14"/>
        <v/>
      </c>
      <c r="F153" s="195" t="str">
        <f t="shared" si="14"/>
        <v/>
      </c>
      <c r="M153" s="117"/>
      <c r="O153" s="77"/>
      <c r="Q153" s="74"/>
      <c r="R153" s="216" t="str">
        <f>IF(Q149="","",IF(MAX(Q149:Q152)&gt;0.5,"Fail","Pass"))</f>
        <v/>
      </c>
      <c r="S153" s="153"/>
      <c r="T153" s="153"/>
      <c r="U153" s="74"/>
      <c r="V153" s="211"/>
      <c r="W153" s="211"/>
      <c r="X153" s="211"/>
      <c r="Y153" s="79"/>
    </row>
    <row r="154" spans="1:25" ht="14.1" customHeight="1" x14ac:dyDescent="0.2">
      <c r="A154" s="63">
        <v>18</v>
      </c>
      <c r="B154" s="115"/>
      <c r="D154" s="82">
        <v>6</v>
      </c>
      <c r="E154" s="195" t="str">
        <f t="shared" si="14"/>
        <v/>
      </c>
      <c r="F154" s="195" t="str">
        <f t="shared" si="14"/>
        <v/>
      </c>
      <c r="M154" s="117"/>
      <c r="O154" s="77"/>
      <c r="P154" s="162" t="s">
        <v>284</v>
      </c>
      <c r="Q154" s="74" t="s">
        <v>314</v>
      </c>
      <c r="U154" s="116"/>
      <c r="V154" s="116"/>
      <c r="W154" s="116"/>
      <c r="X154" s="116"/>
      <c r="Y154" s="79"/>
    </row>
    <row r="155" spans="1:25" ht="14.1" customHeight="1" x14ac:dyDescent="0.2">
      <c r="A155" s="63">
        <v>19</v>
      </c>
      <c r="B155" s="115"/>
      <c r="D155" s="82">
        <v>8</v>
      </c>
      <c r="E155" s="195" t="str">
        <f t="shared" si="14"/>
        <v/>
      </c>
      <c r="F155" s="195" t="str">
        <f t="shared" si="14"/>
        <v/>
      </c>
      <c r="M155" s="117"/>
      <c r="O155" s="77"/>
      <c r="Q155" s="74" t="s">
        <v>315</v>
      </c>
      <c r="U155" s="116"/>
      <c r="V155" s="116"/>
      <c r="W155" s="116"/>
      <c r="X155" s="116"/>
      <c r="Y155" s="79"/>
    </row>
    <row r="156" spans="1:25" ht="14.1" customHeight="1" x14ac:dyDescent="0.2">
      <c r="A156" s="63">
        <v>20</v>
      </c>
      <c r="B156" s="217"/>
      <c r="C156" s="89"/>
      <c r="D156" s="89"/>
      <c r="E156" s="89"/>
      <c r="F156" s="89"/>
      <c r="G156" s="89"/>
      <c r="H156" s="89"/>
      <c r="I156" s="89"/>
      <c r="J156" s="89"/>
      <c r="K156" s="89"/>
      <c r="L156" s="89"/>
      <c r="M156" s="218"/>
      <c r="O156" s="147"/>
      <c r="P156" s="156" t="s">
        <v>316</v>
      </c>
      <c r="Q156" s="74"/>
      <c r="Y156" s="79"/>
    </row>
    <row r="157" spans="1:25" ht="14.1" customHeight="1" x14ac:dyDescent="0.2">
      <c r="A157" s="63">
        <v>21</v>
      </c>
      <c r="B157" s="115"/>
      <c r="C157" s="205" t="s">
        <v>296</v>
      </c>
      <c r="M157" s="117"/>
      <c r="O157" s="77"/>
      <c r="Q157" s="74"/>
      <c r="Y157" s="79"/>
    </row>
    <row r="158" spans="1:25" ht="14.1" customHeight="1" x14ac:dyDescent="0.2">
      <c r="A158" s="63">
        <v>22</v>
      </c>
      <c r="B158" s="115"/>
      <c r="D158" s="83"/>
      <c r="E158" s="152"/>
      <c r="F158" s="152"/>
      <c r="G158" s="152"/>
      <c r="H158" s="152"/>
      <c r="M158" s="117"/>
      <c r="O158" s="193" t="s">
        <v>317</v>
      </c>
      <c r="R158" s="446">
        <v>512</v>
      </c>
      <c r="S158" s="446"/>
      <c r="T158" s="446">
        <v>1024</v>
      </c>
      <c r="U158" s="446"/>
      <c r="Y158" s="79"/>
    </row>
    <row r="159" spans="1:25" ht="14.1" customHeight="1" x14ac:dyDescent="0.2">
      <c r="A159" s="63">
        <v>23</v>
      </c>
      <c r="B159" s="115"/>
      <c r="D159" s="83" t="s">
        <v>129</v>
      </c>
      <c r="E159" s="118" t="str">
        <f>IF(Q137="","",Q137)</f>
        <v>Mo</v>
      </c>
      <c r="F159" s="152"/>
      <c r="G159" s="152"/>
      <c r="H159" s="152"/>
      <c r="M159" s="117"/>
      <c r="O159" s="77"/>
      <c r="P159" s="74"/>
      <c r="Q159" s="83"/>
      <c r="R159" s="118" t="s">
        <v>318</v>
      </c>
      <c r="S159" s="118" t="s">
        <v>319</v>
      </c>
      <c r="T159" s="118" t="s">
        <v>318</v>
      </c>
      <c r="U159" s="118" t="s">
        <v>319</v>
      </c>
      <c r="Y159" s="79"/>
    </row>
    <row r="160" spans="1:25" ht="14.1" customHeight="1" x14ac:dyDescent="0.2">
      <c r="A160" s="63">
        <v>24</v>
      </c>
      <c r="B160" s="115"/>
      <c r="D160" s="83" t="s">
        <v>132</v>
      </c>
      <c r="E160" s="118" t="str">
        <f>IF(Q138="","",Q138)</f>
        <v>Mo</v>
      </c>
      <c r="F160" s="152"/>
      <c r="G160" s="152"/>
      <c r="H160" s="152"/>
      <c r="M160" s="117"/>
      <c r="O160" s="147">
        <v>28</v>
      </c>
      <c r="P160" s="67" t="s">
        <v>320</v>
      </c>
      <c r="Q160" s="83" t="s">
        <v>321</v>
      </c>
      <c r="R160" s="192"/>
      <c r="S160" s="192"/>
      <c r="T160" s="192"/>
      <c r="U160" s="192"/>
      <c r="Y160" s="79"/>
    </row>
    <row r="161" spans="1:25" ht="14.1" customHeight="1" x14ac:dyDescent="0.2">
      <c r="A161" s="63">
        <v>25</v>
      </c>
      <c r="B161" s="115"/>
      <c r="D161" s="83" t="s">
        <v>299</v>
      </c>
      <c r="E161" s="118" t="str">
        <f>IF(Q139="","",Q139)</f>
        <v>Large</v>
      </c>
      <c r="F161" s="152"/>
      <c r="G161" s="152"/>
      <c r="H161" s="152"/>
      <c r="M161" s="117"/>
      <c r="O161" s="147">
        <v>65</v>
      </c>
      <c r="P161" s="67" t="s">
        <v>149</v>
      </c>
      <c r="Q161" s="83" t="s">
        <v>322</v>
      </c>
      <c r="R161" s="219" t="str">
        <f>IF(AB88="","",AB88)</f>
        <v/>
      </c>
      <c r="S161" s="219" t="str">
        <f>IF(AB89="","",AB89)</f>
        <v/>
      </c>
      <c r="T161" s="219" t="str">
        <f>IF(AB90="","",AB90)</f>
        <v/>
      </c>
      <c r="U161" s="219" t="str">
        <f>IF(AB91="","",AB91)</f>
        <v/>
      </c>
      <c r="Y161" s="79"/>
    </row>
    <row r="162" spans="1:25" ht="14.1" customHeight="1" x14ac:dyDescent="0.2">
      <c r="A162" s="63">
        <v>26</v>
      </c>
      <c r="B162" s="115"/>
      <c r="D162" s="83" t="s">
        <v>259</v>
      </c>
      <c r="E162" s="118">
        <f>IF(S136="","",S136)</f>
        <v>28</v>
      </c>
      <c r="F162" s="152"/>
      <c r="G162" s="152"/>
      <c r="H162" s="152"/>
      <c r="M162" s="117"/>
      <c r="O162" s="77"/>
      <c r="P162" s="74"/>
      <c r="Q162" s="83" t="s">
        <v>301</v>
      </c>
      <c r="R162" s="118" t="str">
        <f>IF(OR(R160="",R161=""),"",IF(R160&gt;=R161,"Pass","Fail"))</f>
        <v/>
      </c>
      <c r="S162" s="118" t="str">
        <f>IF(OR(S160="",S161=""),"",IF(S160&gt;=S161,"Pass","Fail"))</f>
        <v/>
      </c>
      <c r="T162" s="118" t="str">
        <f t="shared" ref="T162:U162" si="16">IF(OR(T160="",T161=""),"",IF(T160&gt;=T161,"Pass","Fail"))</f>
        <v/>
      </c>
      <c r="U162" s="118" t="str">
        <f t="shared" si="16"/>
        <v/>
      </c>
      <c r="Y162" s="79"/>
    </row>
    <row r="163" spans="1:25" ht="14.1" customHeight="1" x14ac:dyDescent="0.2">
      <c r="A163" s="63">
        <v>27</v>
      </c>
      <c r="B163" s="115"/>
      <c r="D163" s="83" t="s">
        <v>297</v>
      </c>
      <c r="E163" s="118" t="str">
        <f>IF(S137="","",S137)</f>
        <v/>
      </c>
      <c r="F163" s="152"/>
      <c r="G163" s="152"/>
      <c r="H163" s="152"/>
      <c r="M163" s="117"/>
      <c r="O163" s="77"/>
      <c r="P163" s="74"/>
      <c r="Q163" s="220" t="s">
        <v>284</v>
      </c>
      <c r="R163" s="221" t="s">
        <v>323</v>
      </c>
      <c r="S163" s="74"/>
      <c r="Y163" s="79"/>
    </row>
    <row r="164" spans="1:25" ht="14.1" customHeight="1" x14ac:dyDescent="0.2">
      <c r="A164" s="63">
        <v>28</v>
      </c>
      <c r="B164" s="115"/>
      <c r="D164" s="83" t="s">
        <v>298</v>
      </c>
      <c r="E164" s="118" t="str">
        <f>IF(S138="","",S138)</f>
        <v/>
      </c>
      <c r="F164" s="152"/>
      <c r="G164" s="152"/>
      <c r="H164" s="152"/>
      <c r="M164" s="117"/>
      <c r="O164" s="88"/>
      <c r="P164" s="89"/>
      <c r="Q164" s="89"/>
      <c r="R164" s="89"/>
      <c r="S164" s="89"/>
      <c r="T164" s="89"/>
      <c r="U164" s="89"/>
      <c r="V164" s="89"/>
      <c r="W164" s="89"/>
      <c r="X164" s="89"/>
      <c r="Y164" s="90"/>
    </row>
    <row r="165" spans="1:25" ht="14.1" customHeight="1" x14ac:dyDescent="0.2">
      <c r="A165" s="63">
        <v>29</v>
      </c>
      <c r="B165" s="115"/>
      <c r="D165" s="83" t="s">
        <v>301</v>
      </c>
      <c r="E165" s="118" t="str">
        <f>IF(S139="","",S139)</f>
        <v/>
      </c>
      <c r="F165" s="152"/>
      <c r="G165" s="152"/>
      <c r="H165" s="152"/>
      <c r="M165" s="117"/>
      <c r="O165" s="193" t="s">
        <v>324</v>
      </c>
      <c r="Y165" s="79"/>
    </row>
    <row r="166" spans="1:25" ht="14.1" customHeight="1" x14ac:dyDescent="0.2">
      <c r="A166" s="63">
        <v>30</v>
      </c>
      <c r="B166" s="115"/>
      <c r="D166" s="167" t="s">
        <v>284</v>
      </c>
      <c r="E166" s="74" t="s">
        <v>325</v>
      </c>
      <c r="M166" s="117"/>
      <c r="O166" s="77" t="s">
        <v>326</v>
      </c>
      <c r="P166" s="194" t="s">
        <v>327</v>
      </c>
      <c r="R166" s="83" t="s">
        <v>328</v>
      </c>
      <c r="S166" s="194"/>
      <c r="U166" s="83"/>
      <c r="V166" s="152"/>
      <c r="Y166" s="79"/>
    </row>
    <row r="167" spans="1:25" ht="14.1" customHeight="1" x14ac:dyDescent="0.2">
      <c r="A167" s="63">
        <v>31</v>
      </c>
      <c r="B167" s="115"/>
      <c r="D167" s="162" t="str">
        <f>P141</f>
        <v>Comments:</v>
      </c>
      <c r="E167" s="165" t="str">
        <f>IF(Q141="","",IF(LEN(Q141)&lt;=135,Q141,IF(LEN(Q141)&lt;=260,LEFT(Q141,SEARCH(" ",Q141,125)),LEFT(Q141,SEARCH(" ",Q141,130)))))</f>
        <v/>
      </c>
      <c r="F167" s="164"/>
      <c r="G167" s="164"/>
      <c r="H167" s="164"/>
      <c r="I167" s="164"/>
      <c r="J167" s="164"/>
      <c r="K167" s="164"/>
      <c r="L167" s="164"/>
      <c r="M167" s="222"/>
      <c r="O167" s="77"/>
      <c r="P167" s="82" t="s">
        <v>147</v>
      </c>
      <c r="U167" s="82" t="s">
        <v>329</v>
      </c>
      <c r="W167" s="74"/>
      <c r="Y167" s="79"/>
    </row>
    <row r="168" spans="1:25" ht="14.1" customHeight="1" thickBot="1" x14ac:dyDescent="0.25">
      <c r="A168" s="63">
        <v>32</v>
      </c>
      <c r="B168" s="115"/>
      <c r="D168" s="74"/>
      <c r="E168" s="223" t="str">
        <f>IF(LEN(Q141)&lt;=135,"",IF(LEN(Q141)&lt;=260,RIGHT(Q141,LEN(Q141)-SEARCH(" ",Q141,125)),MID(Q141,SEARCH(" ",Q141,130),IF(LEN(Q141)&lt;=265,LEN(Q141),SEARCH(" ",Q141,255)-SEARCH(" ",Q141,130)))))</f>
        <v/>
      </c>
      <c r="F168" s="224"/>
      <c r="G168" s="224"/>
      <c r="H168" s="224"/>
      <c r="I168" s="224"/>
      <c r="J168" s="224"/>
      <c r="K168" s="224"/>
      <c r="L168" s="224"/>
      <c r="M168" s="225"/>
      <c r="O168" s="77"/>
      <c r="P168" s="82" t="s">
        <v>330</v>
      </c>
      <c r="Q168" s="82" t="s">
        <v>104</v>
      </c>
      <c r="R168" s="82" t="s">
        <v>320</v>
      </c>
      <c r="S168" s="82" t="s">
        <v>149</v>
      </c>
      <c r="T168" s="82" t="s">
        <v>331</v>
      </c>
      <c r="U168" s="82" t="s">
        <v>332</v>
      </c>
      <c r="V168" s="82" t="s">
        <v>333</v>
      </c>
      <c r="W168" s="74"/>
      <c r="Y168" s="79"/>
    </row>
    <row r="169" spans="1:25" ht="14.1" customHeight="1" x14ac:dyDescent="0.2">
      <c r="A169" s="63">
        <v>33</v>
      </c>
      <c r="B169" s="115"/>
      <c r="D169" s="74"/>
      <c r="E169" s="223" t="str">
        <f>IF(LEN(Q141)&lt;=265,"",RIGHT(Q141,LEN(Q141)-SEARCH(" ",Q141,255)))</f>
        <v/>
      </c>
      <c r="F169" s="224"/>
      <c r="G169" s="224"/>
      <c r="H169" s="224"/>
      <c r="I169" s="224"/>
      <c r="J169" s="224"/>
      <c r="K169" s="224"/>
      <c r="L169" s="224"/>
      <c r="M169" s="225"/>
      <c r="O169" s="77"/>
      <c r="P169" s="226">
        <v>2</v>
      </c>
      <c r="Q169" s="227"/>
      <c r="R169" s="228"/>
      <c r="S169" s="228"/>
      <c r="T169" s="228"/>
      <c r="U169" s="228"/>
      <c r="V169" s="229" t="str">
        <f>IF(OR(T169="",$T$176=""),"",ABS((T169-$T$176)/$T$176))</f>
        <v/>
      </c>
      <c r="W169" s="74"/>
      <c r="Y169" s="79"/>
    </row>
    <row r="170" spans="1:25" ht="14.1" customHeight="1" thickBot="1" x14ac:dyDescent="0.25">
      <c r="A170" s="63">
        <v>34</v>
      </c>
      <c r="B170" s="217"/>
      <c r="C170" s="89"/>
      <c r="D170" s="89"/>
      <c r="E170" s="89"/>
      <c r="F170" s="89"/>
      <c r="G170" s="89"/>
      <c r="H170" s="89"/>
      <c r="I170" s="89"/>
      <c r="J170" s="89"/>
      <c r="K170" s="89"/>
      <c r="L170" s="89"/>
      <c r="M170" s="218"/>
      <c r="O170" s="77"/>
      <c r="P170" s="230">
        <v>4</v>
      </c>
      <c r="Q170" s="231"/>
      <c r="R170" s="192"/>
      <c r="S170" s="192"/>
      <c r="T170" s="192"/>
      <c r="U170" s="192"/>
      <c r="V170" s="232" t="str">
        <f t="shared" ref="V170:V175" si="17">IF(OR(T170="",$T$176=""),"",ABS((T170-$T$176)/$T$176))</f>
        <v/>
      </c>
      <c r="W170" s="74"/>
      <c r="Y170" s="79"/>
    </row>
    <row r="171" spans="1:25" ht="14.1" customHeight="1" x14ac:dyDescent="0.2">
      <c r="A171" s="63">
        <v>35</v>
      </c>
      <c r="B171" s="115"/>
      <c r="C171" s="124" t="s">
        <v>304</v>
      </c>
      <c r="M171" s="117"/>
      <c r="O171" s="77"/>
      <c r="P171" s="230">
        <v>4</v>
      </c>
      <c r="Q171" s="233">
        <f>Q170</f>
        <v>0</v>
      </c>
      <c r="R171" s="118">
        <f>R170</f>
        <v>0</v>
      </c>
      <c r="S171" s="192"/>
      <c r="T171" s="192"/>
      <c r="U171" s="192"/>
      <c r="V171" s="232" t="str">
        <f t="shared" si="17"/>
        <v/>
      </c>
      <c r="W171" s="74"/>
      <c r="Y171" s="79"/>
    </row>
    <row r="172" spans="1:25" ht="14.1" customHeight="1" x14ac:dyDescent="0.2">
      <c r="A172" s="63">
        <v>36</v>
      </c>
      <c r="B172" s="115"/>
      <c r="D172" s="152"/>
      <c r="E172" s="152"/>
      <c r="F172" s="152"/>
      <c r="G172" s="152"/>
      <c r="I172" s="152"/>
      <c r="J172" s="152"/>
      <c r="M172" s="117"/>
      <c r="O172" s="77"/>
      <c r="P172" s="230">
        <v>4</v>
      </c>
      <c r="Q172" s="233">
        <f>Q170</f>
        <v>0</v>
      </c>
      <c r="R172" s="118">
        <f>R170</f>
        <v>0</v>
      </c>
      <c r="S172" s="192"/>
      <c r="T172" s="192"/>
      <c r="U172" s="192"/>
      <c r="V172" s="232" t="str">
        <f t="shared" si="17"/>
        <v/>
      </c>
      <c r="W172" s="74"/>
      <c r="Y172" s="79"/>
    </row>
    <row r="173" spans="1:25" ht="14.1" customHeight="1" x14ac:dyDescent="0.2">
      <c r="A173" s="63">
        <v>37</v>
      </c>
      <c r="B173" s="115"/>
      <c r="C173" s="74"/>
      <c r="D173" s="82" t="s">
        <v>309</v>
      </c>
      <c r="E173" s="234"/>
      <c r="F173" s="234"/>
      <c r="G173" s="234"/>
      <c r="I173" s="152"/>
      <c r="J173" s="152"/>
      <c r="M173" s="117"/>
      <c r="O173" s="77"/>
      <c r="P173" s="230">
        <v>4</v>
      </c>
      <c r="Q173" s="233">
        <f>Q170</f>
        <v>0</v>
      </c>
      <c r="R173" s="118">
        <f>R170</f>
        <v>0</v>
      </c>
      <c r="S173" s="192"/>
      <c r="T173" s="192"/>
      <c r="U173" s="192"/>
      <c r="V173" s="232" t="str">
        <f t="shared" si="17"/>
        <v/>
      </c>
      <c r="W173" s="74"/>
      <c r="Y173" s="79"/>
    </row>
    <row r="174" spans="1:25" ht="14.1" customHeight="1" x14ac:dyDescent="0.2">
      <c r="A174" s="63">
        <v>38</v>
      </c>
      <c r="B174" s="115"/>
      <c r="C174" s="83" t="s">
        <v>310</v>
      </c>
      <c r="D174" s="235" t="str">
        <f>IF(R149="","",R149)</f>
        <v/>
      </c>
      <c r="E174" s="236"/>
      <c r="F174" s="196" t="str">
        <f>IF(O156="","",IF(O156=1,"Pass","Fail"))</f>
        <v/>
      </c>
      <c r="G174" s="116" t="s">
        <v>315</v>
      </c>
      <c r="I174" s="237"/>
      <c r="J174" s="237"/>
      <c r="M174" s="117"/>
      <c r="O174" s="77"/>
      <c r="P174" s="230">
        <v>6</v>
      </c>
      <c r="Q174" s="231"/>
      <c r="R174" s="192"/>
      <c r="S174" s="192"/>
      <c r="T174" s="192"/>
      <c r="U174" s="192"/>
      <c r="V174" s="232" t="str">
        <f t="shared" si="17"/>
        <v/>
      </c>
      <c r="W174" s="74"/>
      <c r="Y174" s="79"/>
    </row>
    <row r="175" spans="1:25" ht="14.1" customHeight="1" thickBot="1" x14ac:dyDescent="0.25">
      <c r="A175" s="63">
        <v>39</v>
      </c>
      <c r="B175" s="115"/>
      <c r="C175" s="83" t="s">
        <v>311</v>
      </c>
      <c r="D175" s="235" t="str">
        <f>IF(R150="","",R150)</f>
        <v/>
      </c>
      <c r="E175" s="74"/>
      <c r="F175" s="162" t="s">
        <v>284</v>
      </c>
      <c r="G175" s="74" t="s">
        <v>314</v>
      </c>
      <c r="M175" s="117"/>
      <c r="O175" s="77"/>
      <c r="P175" s="230">
        <v>8</v>
      </c>
      <c r="Q175" s="231"/>
      <c r="R175" s="192"/>
      <c r="S175" s="192"/>
      <c r="T175" s="192"/>
      <c r="U175" s="192"/>
      <c r="V175" s="232" t="str">
        <f t="shared" si="17"/>
        <v/>
      </c>
      <c r="W175" s="74"/>
      <c r="Y175" s="79"/>
    </row>
    <row r="176" spans="1:25" ht="14.1" customHeight="1" thickBot="1" x14ac:dyDescent="0.25">
      <c r="A176" s="63">
        <v>40</v>
      </c>
      <c r="B176" s="115"/>
      <c r="C176" s="83" t="s">
        <v>312</v>
      </c>
      <c r="D176" s="235" t="str">
        <f>IF(R151="","",R151)</f>
        <v/>
      </c>
      <c r="E176" s="116"/>
      <c r="G176" s="74" t="s">
        <v>315</v>
      </c>
      <c r="H176" s="116"/>
      <c r="I176" s="116"/>
      <c r="J176" s="116"/>
      <c r="K176" s="116"/>
      <c r="L176" s="116"/>
      <c r="M176" s="117"/>
      <c r="O176" s="77"/>
      <c r="S176" s="83" t="s">
        <v>271</v>
      </c>
      <c r="T176" s="238" t="str">
        <f>IF(T169="","",AVERAGE(T169:T175))</f>
        <v/>
      </c>
      <c r="W176" s="74"/>
      <c r="Y176" s="79"/>
    </row>
    <row r="177" spans="1:25" ht="14.1" customHeight="1" x14ac:dyDescent="0.2">
      <c r="A177" s="63">
        <v>41</v>
      </c>
      <c r="B177" s="115"/>
      <c r="C177" s="83" t="s">
        <v>313</v>
      </c>
      <c r="D177" s="235" t="str">
        <f>IF(R152="","",R152)</f>
        <v/>
      </c>
      <c r="F177" s="74"/>
      <c r="G177" s="74"/>
      <c r="M177" s="117"/>
      <c r="O177" s="77"/>
      <c r="P177" s="162" t="s">
        <v>284</v>
      </c>
      <c r="Q177" s="74" t="s">
        <v>334</v>
      </c>
      <c r="S177" s="83"/>
      <c r="T177" s="153"/>
      <c r="W177" s="74"/>
      <c r="Y177" s="79"/>
    </row>
    <row r="178" spans="1:25" ht="14.1" customHeight="1" x14ac:dyDescent="0.2">
      <c r="A178" s="63">
        <v>42</v>
      </c>
      <c r="B178" s="115"/>
      <c r="C178" s="152" t="s">
        <v>301</v>
      </c>
      <c r="D178" s="408" t="str">
        <f>IF(R153="","",R153)</f>
        <v/>
      </c>
      <c r="F178" s="74"/>
      <c r="G178" s="74"/>
      <c r="M178" s="117"/>
      <c r="O178" s="77"/>
      <c r="P178" s="162"/>
      <c r="Q178" s="74"/>
      <c r="Y178" s="79"/>
    </row>
    <row r="179" spans="1:25" ht="14.1" customHeight="1" x14ac:dyDescent="0.2">
      <c r="A179" s="63">
        <v>43</v>
      </c>
      <c r="B179" s="115"/>
      <c r="C179" s="124" t="s">
        <v>317</v>
      </c>
      <c r="E179" s="446">
        <v>512</v>
      </c>
      <c r="F179" s="446"/>
      <c r="G179" s="446">
        <v>1024</v>
      </c>
      <c r="H179" s="446"/>
      <c r="M179" s="117"/>
      <c r="O179" s="77"/>
      <c r="Y179" s="79"/>
    </row>
    <row r="180" spans="1:25" ht="14.1" customHeight="1" x14ac:dyDescent="0.2">
      <c r="A180" s="63">
        <v>44</v>
      </c>
      <c r="B180" s="115"/>
      <c r="D180" s="83"/>
      <c r="E180" s="118" t="s">
        <v>319</v>
      </c>
      <c r="F180" s="118" t="s">
        <v>318</v>
      </c>
      <c r="G180" s="118" t="s">
        <v>319</v>
      </c>
      <c r="H180" s="118" t="s">
        <v>318</v>
      </c>
      <c r="M180" s="117"/>
      <c r="O180" s="193" t="s">
        <v>335</v>
      </c>
      <c r="Y180" s="79"/>
    </row>
    <row r="181" spans="1:25" ht="14.1" customHeight="1" x14ac:dyDescent="0.2">
      <c r="A181" s="63">
        <v>45</v>
      </c>
      <c r="B181" s="115"/>
      <c r="D181" s="83" t="s">
        <v>321</v>
      </c>
      <c r="E181" s="118" t="str">
        <f>IF(R160="","",R160)</f>
        <v/>
      </c>
      <c r="F181" s="118" t="str">
        <f>IF(S160="","",S160)</f>
        <v/>
      </c>
      <c r="G181" s="118" t="str">
        <f>IF(T160="","",T160)</f>
        <v/>
      </c>
      <c r="H181" s="118" t="str">
        <f>IF(U160="","",U160)</f>
        <v/>
      </c>
      <c r="I181" s="83" t="s">
        <v>301</v>
      </c>
      <c r="J181" s="200" t="str">
        <f>IF(AND(R162="",S162=""),"",IF(OR(R162="Fail",S162="Fail"),"Fail","Pass"))</f>
        <v/>
      </c>
      <c r="M181" s="117"/>
      <c r="O181" s="77" t="s">
        <v>326</v>
      </c>
      <c r="P181" s="195" t="str">
        <f>P166</f>
        <v>Auto-time</v>
      </c>
      <c r="R181" s="83" t="s">
        <v>328</v>
      </c>
      <c r="S181" s="195">
        <f>S166</f>
        <v>0</v>
      </c>
      <c r="T181" s="82" t="s">
        <v>329</v>
      </c>
      <c r="U181" s="74"/>
      <c r="Y181" s="79"/>
    </row>
    <row r="182" spans="1:25" ht="14.1" customHeight="1" x14ac:dyDescent="0.2">
      <c r="A182" s="63">
        <v>46</v>
      </c>
      <c r="B182" s="217"/>
      <c r="C182" s="89"/>
      <c r="D182" s="239" t="s">
        <v>284</v>
      </c>
      <c r="E182" s="240" t="str">
        <f>R163</f>
        <v>Note any significant degradation from previous measurement</v>
      </c>
      <c r="F182" s="89"/>
      <c r="G182" s="89"/>
      <c r="H182" s="89"/>
      <c r="I182" s="89"/>
      <c r="J182" s="89"/>
      <c r="K182" s="89"/>
      <c r="L182" s="89"/>
      <c r="M182" s="218"/>
      <c r="O182" s="77"/>
      <c r="P182" s="82" t="s">
        <v>336</v>
      </c>
      <c r="Q182" s="82" t="s">
        <v>320</v>
      </c>
      <c r="R182" s="82" t="s">
        <v>149</v>
      </c>
      <c r="S182" s="82" t="s">
        <v>331</v>
      </c>
      <c r="T182" s="82" t="s">
        <v>332</v>
      </c>
      <c r="U182" s="82" t="s">
        <v>337</v>
      </c>
      <c r="V182" s="74"/>
      <c r="X182" s="82" t="s">
        <v>338</v>
      </c>
      <c r="Y182" s="241" t="s">
        <v>339</v>
      </c>
    </row>
    <row r="183" spans="1:25" ht="14.1" customHeight="1" x14ac:dyDescent="0.2">
      <c r="A183" s="63">
        <v>47</v>
      </c>
      <c r="B183" s="115"/>
      <c r="C183" s="124" t="s">
        <v>340</v>
      </c>
      <c r="D183" s="74"/>
      <c r="E183" s="74"/>
      <c r="F183" s="74"/>
      <c r="M183" s="117"/>
      <c r="O183" s="77"/>
      <c r="P183" s="242">
        <v>-3</v>
      </c>
      <c r="Q183" s="228"/>
      <c r="R183" s="228"/>
      <c r="S183" s="228"/>
      <c r="T183" s="243"/>
      <c r="U183" s="244" t="str">
        <f>IF(OR(S183="",$S$186=""),"",S183/$S$186)</f>
        <v/>
      </c>
      <c r="V183" s="74"/>
      <c r="X183" s="82">
        <v>0.5</v>
      </c>
      <c r="Y183" s="241">
        <v>0.61</v>
      </c>
    </row>
    <row r="184" spans="1:25" ht="14.1" customHeight="1" x14ac:dyDescent="0.2">
      <c r="A184" s="63">
        <v>48</v>
      </c>
      <c r="B184" s="73"/>
      <c r="C184" s="83" t="s">
        <v>259</v>
      </c>
      <c r="D184" s="195">
        <f>IF(Q194="","",Q194)</f>
        <v>28</v>
      </c>
      <c r="E184" s="83" t="s">
        <v>262</v>
      </c>
      <c r="F184" s="195">
        <f>IF(Q195="","",Q195)</f>
        <v>0</v>
      </c>
      <c r="G184" s="74"/>
      <c r="H184" s="74"/>
      <c r="I184" s="74"/>
      <c r="J184" s="74"/>
      <c r="K184" s="74"/>
      <c r="L184" s="74"/>
      <c r="M184" s="76"/>
      <c r="O184" s="77"/>
      <c r="P184" s="233">
        <v>-2</v>
      </c>
      <c r="Q184" s="245"/>
      <c r="R184" s="192"/>
      <c r="S184" s="192"/>
      <c r="T184" s="246"/>
      <c r="U184" s="247" t="str">
        <f>IF(OR(S184="",$S$186=""),"",S184/$S$186)</f>
        <v/>
      </c>
      <c r="V184" s="74"/>
      <c r="X184" s="82">
        <v>0.63</v>
      </c>
      <c r="Y184" s="241">
        <v>0.77</v>
      </c>
    </row>
    <row r="185" spans="1:25" ht="14.1" customHeight="1" x14ac:dyDescent="0.2">
      <c r="A185" s="63">
        <v>49</v>
      </c>
      <c r="B185" s="115"/>
      <c r="C185" s="248"/>
      <c r="D185" s="249" t="s">
        <v>331</v>
      </c>
      <c r="E185" s="249" t="s">
        <v>341</v>
      </c>
      <c r="F185" s="249" t="s">
        <v>342</v>
      </c>
      <c r="G185" s="249" t="s">
        <v>333</v>
      </c>
      <c r="H185" s="74"/>
      <c r="I185" s="74"/>
      <c r="J185" s="211"/>
      <c r="K185" s="211"/>
      <c r="L185" s="211"/>
      <c r="M185" s="117"/>
      <c r="O185" s="77"/>
      <c r="P185" s="233">
        <v>-1</v>
      </c>
      <c r="Q185" s="250"/>
      <c r="R185" s="192"/>
      <c r="S185" s="192"/>
      <c r="T185" s="192"/>
      <c r="U185" s="247" t="str">
        <f>IF(OR(S185="",$S$186=""),"",S185/$S$186)</f>
        <v/>
      </c>
      <c r="V185" s="74"/>
      <c r="X185" s="82">
        <v>0.77</v>
      </c>
      <c r="Y185" s="241">
        <v>0.94</v>
      </c>
    </row>
    <row r="186" spans="1:25" ht="14.1" customHeight="1" x14ac:dyDescent="0.2">
      <c r="A186" s="63">
        <v>50</v>
      </c>
      <c r="B186" s="115"/>
      <c r="C186" s="251" t="s">
        <v>343</v>
      </c>
      <c r="D186" s="252" t="str">
        <f t="shared" ref="D186:F190" si="18">IF(Q197="","",Q197)</f>
        <v/>
      </c>
      <c r="E186" s="252" t="str">
        <f t="shared" si="18"/>
        <v/>
      </c>
      <c r="F186" s="252" t="str">
        <f t="shared" si="18"/>
        <v/>
      </c>
      <c r="G186" s="253"/>
      <c r="H186" s="83"/>
      <c r="I186" s="211"/>
      <c r="J186" s="211"/>
      <c r="K186" s="211"/>
      <c r="L186" s="211"/>
      <c r="M186" s="117"/>
      <c r="O186" s="77"/>
      <c r="P186" s="233">
        <v>0</v>
      </c>
      <c r="Q186" s="250"/>
      <c r="R186" s="118" t="str">
        <f>IF(S170="","",AVERAGE(S170:S173))</f>
        <v/>
      </c>
      <c r="S186" s="118" t="str">
        <f>IF(T170="","",AVERAGE(T170:T173))</f>
        <v/>
      </c>
      <c r="T186" s="120" t="str">
        <f>IF(U170="","",AVERAGE(U170:U173))</f>
        <v/>
      </c>
      <c r="U186" s="247"/>
      <c r="V186" s="74"/>
      <c r="X186" s="82"/>
      <c r="Y186" s="241"/>
    </row>
    <row r="187" spans="1:25" ht="14.1" customHeight="1" x14ac:dyDescent="0.2">
      <c r="A187" s="63">
        <v>51</v>
      </c>
      <c r="B187" s="115"/>
      <c r="C187" s="254" t="s">
        <v>344</v>
      </c>
      <c r="D187" s="255" t="str">
        <f t="shared" si="18"/>
        <v/>
      </c>
      <c r="E187" s="255" t="str">
        <f t="shared" si="18"/>
        <v/>
      </c>
      <c r="F187" s="252" t="str">
        <f t="shared" si="18"/>
        <v/>
      </c>
      <c r="G187" s="256" t="str">
        <f>IF(T198="","",T198)</f>
        <v/>
      </c>
      <c r="H187" s="74"/>
      <c r="M187" s="117"/>
      <c r="O187" s="77"/>
      <c r="P187" s="233">
        <v>1</v>
      </c>
      <c r="Q187" s="250"/>
      <c r="R187" s="192"/>
      <c r="S187" s="192"/>
      <c r="T187" s="192"/>
      <c r="U187" s="247" t="str">
        <f>IF(OR(S187="",$S$186=""),"",S187/$S$186)</f>
        <v/>
      </c>
      <c r="V187" s="74"/>
      <c r="X187" s="82">
        <v>1.04</v>
      </c>
      <c r="Y187" s="241">
        <v>1.27</v>
      </c>
    </row>
    <row r="188" spans="1:25" ht="14.1" customHeight="1" x14ac:dyDescent="0.2">
      <c r="A188" s="63">
        <v>52</v>
      </c>
      <c r="B188" s="115"/>
      <c r="C188" s="254" t="s">
        <v>345</v>
      </c>
      <c r="D188" s="255" t="str">
        <f t="shared" si="18"/>
        <v/>
      </c>
      <c r="E188" s="255" t="str">
        <f t="shared" si="18"/>
        <v/>
      </c>
      <c r="F188" s="252" t="str">
        <f t="shared" si="18"/>
        <v/>
      </c>
      <c r="G188" s="256" t="str">
        <f>IF(T199="","",T199)</f>
        <v/>
      </c>
      <c r="H188" s="74"/>
      <c r="M188" s="117"/>
      <c r="O188" s="77"/>
      <c r="P188" s="233">
        <v>2</v>
      </c>
      <c r="Q188" s="250"/>
      <c r="R188" s="192"/>
      <c r="S188" s="192"/>
      <c r="T188" s="192"/>
      <c r="U188" s="247" t="str">
        <f>IF(OR(S188="",$S$186=""),"",S188/$S$186)</f>
        <v/>
      </c>
      <c r="V188" s="74"/>
      <c r="X188" s="82">
        <v>1.17</v>
      </c>
      <c r="Y188" s="241">
        <v>1.43</v>
      </c>
    </row>
    <row r="189" spans="1:25" ht="14.1" customHeight="1" x14ac:dyDescent="0.2">
      <c r="A189" s="63">
        <v>53</v>
      </c>
      <c r="B189" s="115"/>
      <c r="C189" s="254" t="s">
        <v>346</v>
      </c>
      <c r="D189" s="255" t="str">
        <f t="shared" si="18"/>
        <v/>
      </c>
      <c r="E189" s="255" t="str">
        <f t="shared" si="18"/>
        <v/>
      </c>
      <c r="F189" s="252" t="str">
        <f t="shared" si="18"/>
        <v/>
      </c>
      <c r="G189" s="256" t="str">
        <f>IF(T200="","",T200)</f>
        <v/>
      </c>
      <c r="M189" s="117"/>
      <c r="O189" s="77"/>
      <c r="P189" s="233">
        <v>3</v>
      </c>
      <c r="Q189" s="250"/>
      <c r="R189" s="192"/>
      <c r="S189" s="192"/>
      <c r="T189" s="192"/>
      <c r="U189" s="247" t="str">
        <f>IF(OR(S189="",$S$186=""),"",S189/$S$186)</f>
        <v/>
      </c>
      <c r="V189" s="74"/>
      <c r="X189" s="82">
        <v>1.31</v>
      </c>
      <c r="Y189" s="241">
        <v>1.6</v>
      </c>
    </row>
    <row r="190" spans="1:25" ht="14.1" customHeight="1" x14ac:dyDescent="0.2">
      <c r="A190" s="63">
        <v>54</v>
      </c>
      <c r="B190" s="115"/>
      <c r="C190" s="254" t="s">
        <v>347</v>
      </c>
      <c r="D190" s="255" t="str">
        <f t="shared" si="18"/>
        <v/>
      </c>
      <c r="E190" s="255" t="str">
        <f t="shared" si="18"/>
        <v/>
      </c>
      <c r="F190" s="252" t="str">
        <f t="shared" si="18"/>
        <v/>
      </c>
      <c r="G190" s="256" t="str">
        <f>IF(T201="","",T201)</f>
        <v/>
      </c>
      <c r="M190" s="117"/>
      <c r="O190" s="77"/>
      <c r="P190" s="257">
        <v>4</v>
      </c>
      <c r="Q190" s="258"/>
      <c r="R190" s="259"/>
      <c r="S190" s="259"/>
      <c r="T190" s="259"/>
      <c r="U190" s="260" t="str">
        <f>IF(OR(S190="",$S$186=""),"",S190/$S$186)</f>
        <v/>
      </c>
      <c r="V190" s="74"/>
      <c r="X190" s="82">
        <v>1.44</v>
      </c>
      <c r="Y190" s="241">
        <v>1.76</v>
      </c>
    </row>
    <row r="191" spans="1:25" ht="14.1" customHeight="1" x14ac:dyDescent="0.2">
      <c r="A191" s="63">
        <v>55</v>
      </c>
      <c r="B191" s="115"/>
      <c r="C191" s="254" t="s">
        <v>348</v>
      </c>
      <c r="D191" s="261" t="str">
        <f>IF(Q202="","",Q202)</f>
        <v/>
      </c>
      <c r="E191" s="82"/>
      <c r="F191" s="261" t="str">
        <f>IF(S202="","",S202)</f>
        <v/>
      </c>
      <c r="G191" s="82"/>
      <c r="M191" s="117"/>
      <c r="O191" s="77"/>
      <c r="P191" s="220" t="s">
        <v>284</v>
      </c>
      <c r="Q191" s="221" t="s">
        <v>349</v>
      </c>
      <c r="R191" s="74"/>
      <c r="S191" s="74"/>
      <c r="T191" s="74"/>
      <c r="U191" s="74"/>
      <c r="V191" s="74"/>
      <c r="Y191" s="79"/>
    </row>
    <row r="192" spans="1:25" ht="14.1" customHeight="1" thickBot="1" x14ac:dyDescent="0.25">
      <c r="A192" s="63">
        <v>56</v>
      </c>
      <c r="B192" s="115"/>
      <c r="C192" s="254" t="s">
        <v>341</v>
      </c>
      <c r="D192" s="262" t="str">
        <f>IF(Q203="","",Q203)</f>
        <v/>
      </c>
      <c r="E192" s="82"/>
      <c r="F192" s="262" t="str">
        <f>IF(S203="","",S203)</f>
        <v/>
      </c>
      <c r="G192" s="82"/>
      <c r="M192" s="117"/>
      <c r="O192" s="77"/>
      <c r="P192" s="220"/>
      <c r="Q192" s="221"/>
      <c r="R192" s="116"/>
      <c r="S192" s="116"/>
      <c r="T192" s="116"/>
      <c r="U192" s="116"/>
      <c r="V192" s="116"/>
      <c r="W192" s="116"/>
      <c r="X192" s="116"/>
      <c r="Y192" s="79"/>
    </row>
    <row r="193" spans="1:29" ht="14.1" customHeight="1" x14ac:dyDescent="0.2">
      <c r="A193" s="63">
        <v>57</v>
      </c>
      <c r="B193" s="115"/>
      <c r="D193" s="263"/>
      <c r="E193" s="82"/>
      <c r="F193" s="263"/>
      <c r="G193" s="254" t="str">
        <f>IF(T204="","",T204)</f>
        <v/>
      </c>
      <c r="M193" s="117"/>
      <c r="O193" s="264" t="s">
        <v>340</v>
      </c>
      <c r="P193" s="265"/>
      <c r="Q193" s="265"/>
      <c r="R193" s="69"/>
      <c r="S193" s="69"/>
      <c r="T193" s="69"/>
      <c r="U193" s="69"/>
      <c r="V193" s="69"/>
      <c r="W193" s="69"/>
      <c r="X193" s="69"/>
      <c r="Y193" s="70"/>
    </row>
    <row r="194" spans="1:29" ht="14.1" customHeight="1" x14ac:dyDescent="0.2">
      <c r="A194" s="63">
        <v>58</v>
      </c>
      <c r="B194" s="115"/>
      <c r="C194" s="266" t="s">
        <v>284</v>
      </c>
      <c r="D194" s="267" t="s">
        <v>350</v>
      </c>
      <c r="E194" s="74"/>
      <c r="F194" s="74"/>
      <c r="G194" s="74"/>
      <c r="H194" s="116"/>
      <c r="I194" s="116"/>
      <c r="J194" s="116"/>
      <c r="K194" s="116"/>
      <c r="L194" s="116"/>
      <c r="M194" s="117"/>
      <c r="O194" s="268"/>
      <c r="P194" s="269" t="s">
        <v>259</v>
      </c>
      <c r="Q194" s="415">
        <f>S136</f>
        <v>28</v>
      </c>
      <c r="R194" s="116"/>
      <c r="S194" s="116"/>
      <c r="T194" s="116"/>
      <c r="U194" s="116"/>
      <c r="V194" s="116"/>
      <c r="W194" s="116"/>
      <c r="X194" s="116"/>
      <c r="Y194" s="79"/>
    </row>
    <row r="195" spans="1:29" ht="14.1" customHeight="1" x14ac:dyDescent="0.2">
      <c r="A195" s="63">
        <v>59</v>
      </c>
      <c r="B195" s="73"/>
      <c r="C195" s="74"/>
      <c r="D195" s="74"/>
      <c r="E195" s="74"/>
      <c r="F195" s="74"/>
      <c r="G195" s="74"/>
      <c r="H195" s="74"/>
      <c r="I195" s="74"/>
      <c r="J195" s="74"/>
      <c r="K195" s="74"/>
      <c r="L195" s="74"/>
      <c r="M195" s="76"/>
      <c r="O195" s="268"/>
      <c r="P195" s="269" t="s">
        <v>297</v>
      </c>
      <c r="Q195" s="415">
        <f>S137</f>
        <v>0</v>
      </c>
      <c r="R195" s="116"/>
      <c r="S195" s="116"/>
      <c r="T195" s="116"/>
      <c r="U195" s="116"/>
      <c r="V195" s="116"/>
      <c r="W195" s="116"/>
      <c r="X195" s="116"/>
      <c r="Y195" s="79"/>
    </row>
    <row r="196" spans="1:29" ht="14.1" customHeight="1" x14ac:dyDescent="0.2">
      <c r="A196" s="63">
        <v>60</v>
      </c>
      <c r="B196" s="73"/>
      <c r="C196" s="74"/>
      <c r="D196" s="74"/>
      <c r="E196" s="74"/>
      <c r="F196" s="74"/>
      <c r="G196" s="74"/>
      <c r="H196" s="74"/>
      <c r="I196" s="74"/>
      <c r="J196" s="74"/>
      <c r="K196" s="74"/>
      <c r="L196" s="74"/>
      <c r="M196" s="76"/>
      <c r="O196" s="268"/>
      <c r="P196" s="248"/>
      <c r="Q196" s="249" t="s">
        <v>331</v>
      </c>
      <c r="R196" s="249" t="s">
        <v>341</v>
      </c>
      <c r="S196" s="249" t="s">
        <v>342</v>
      </c>
      <c r="T196" s="249" t="s">
        <v>333</v>
      </c>
      <c r="U196" s="116"/>
      <c r="V196" s="116"/>
      <c r="W196" s="116"/>
      <c r="X196" s="116"/>
      <c r="Y196" s="79"/>
    </row>
    <row r="197" spans="1:29" ht="14.1" customHeight="1" x14ac:dyDescent="0.2">
      <c r="A197" s="63">
        <v>61</v>
      </c>
      <c r="B197" s="73"/>
      <c r="C197" s="74"/>
      <c r="D197" s="74"/>
      <c r="E197" s="74"/>
      <c r="F197" s="74"/>
      <c r="G197" s="74"/>
      <c r="H197" s="74"/>
      <c r="I197" s="74"/>
      <c r="J197" s="74"/>
      <c r="K197" s="74"/>
      <c r="L197" s="74"/>
      <c r="M197" s="76"/>
      <c r="O197" s="268"/>
      <c r="P197" s="251" t="s">
        <v>343</v>
      </c>
      <c r="Q197" s="270"/>
      <c r="R197" s="270"/>
      <c r="S197" s="252" t="str">
        <f>IF(OR(Q197="",R197=""),"",Q197/R197)</f>
        <v/>
      </c>
      <c r="T197" s="253"/>
      <c r="U197" s="116"/>
      <c r="V197" s="116"/>
      <c r="W197" s="116"/>
      <c r="X197" s="116"/>
      <c r="Y197" s="79"/>
    </row>
    <row r="198" spans="1:29" ht="14.1" customHeight="1" x14ac:dyDescent="0.2">
      <c r="A198" s="63">
        <v>62</v>
      </c>
      <c r="B198" s="73"/>
      <c r="C198" s="74"/>
      <c r="D198" s="74"/>
      <c r="E198" s="74"/>
      <c r="F198" s="74"/>
      <c r="G198" s="74"/>
      <c r="H198" s="74"/>
      <c r="I198" s="74"/>
      <c r="J198" s="74"/>
      <c r="K198" s="74"/>
      <c r="L198" s="74"/>
      <c r="M198" s="76"/>
      <c r="O198" s="268"/>
      <c r="P198" s="254" t="s">
        <v>344</v>
      </c>
      <c r="Q198" s="271"/>
      <c r="R198" s="271"/>
      <c r="S198" s="252" t="str">
        <f>IF(OR(Q198="",R198=""),"",Q198/R198)</f>
        <v/>
      </c>
      <c r="T198" s="256" t="str">
        <f>IF(OR($S$197="",S198=""),"",ABS(S198-$S$197)/$S$197)</f>
        <v/>
      </c>
      <c r="U198" s="116"/>
      <c r="V198" s="116"/>
      <c r="W198" s="116"/>
      <c r="X198" s="116"/>
      <c r="Y198" s="79"/>
    </row>
    <row r="199" spans="1:29" ht="14.1" customHeight="1" x14ac:dyDescent="0.2">
      <c r="A199" s="63">
        <v>63</v>
      </c>
      <c r="B199" s="73"/>
      <c r="C199" s="74"/>
      <c r="D199" s="74"/>
      <c r="E199" s="74"/>
      <c r="F199" s="74"/>
      <c r="G199" s="74"/>
      <c r="H199" s="74"/>
      <c r="I199" s="74"/>
      <c r="J199" s="74"/>
      <c r="K199" s="74"/>
      <c r="L199" s="74"/>
      <c r="M199" s="76"/>
      <c r="O199" s="268"/>
      <c r="P199" s="254" t="s">
        <v>345</v>
      </c>
      <c r="Q199" s="271"/>
      <c r="R199" s="271"/>
      <c r="S199" s="252" t="str">
        <f>IF(OR(Q199="",R199=""),"",Q199/R199)</f>
        <v/>
      </c>
      <c r="T199" s="256" t="str">
        <f>IF(OR($S$197="",S199=""),"",ABS(S199-$S$197)/$S$197)</f>
        <v/>
      </c>
      <c r="U199" s="116"/>
      <c r="V199" s="116"/>
      <c r="W199" s="116"/>
      <c r="X199" s="116"/>
      <c r="Y199" s="79"/>
    </row>
    <row r="200" spans="1:29" ht="14.1" customHeight="1" x14ac:dyDescent="0.2">
      <c r="A200" s="63">
        <v>64</v>
      </c>
      <c r="B200" s="73"/>
      <c r="C200" s="74"/>
      <c r="D200" s="74"/>
      <c r="E200" s="74"/>
      <c r="F200" s="74"/>
      <c r="G200" s="74"/>
      <c r="H200" s="74"/>
      <c r="I200" s="74"/>
      <c r="J200" s="74"/>
      <c r="K200" s="74"/>
      <c r="L200" s="74"/>
      <c r="M200" s="76"/>
      <c r="O200" s="268"/>
      <c r="P200" s="254" t="s">
        <v>346</v>
      </c>
      <c r="Q200" s="271"/>
      <c r="R200" s="271"/>
      <c r="S200" s="252" t="str">
        <f>IF(OR(Q200="",R200=""),"",Q200/R200)</f>
        <v/>
      </c>
      <c r="T200" s="256" t="str">
        <f>IF(OR($S$197="",S200=""),"",ABS(S200-$S$197)/$S$197)</f>
        <v/>
      </c>
      <c r="U200" s="116"/>
      <c r="V200" s="116"/>
      <c r="W200" s="116"/>
      <c r="X200" s="116"/>
      <c r="Y200" s="79"/>
    </row>
    <row r="201" spans="1:29" ht="14.1" customHeight="1" x14ac:dyDescent="0.2">
      <c r="A201" s="63">
        <v>65</v>
      </c>
      <c r="B201" s="73"/>
      <c r="C201" s="74"/>
      <c r="D201" s="74"/>
      <c r="E201" s="74"/>
      <c r="F201" s="74"/>
      <c r="G201" s="74"/>
      <c r="H201" s="74"/>
      <c r="I201" s="74"/>
      <c r="J201" s="74"/>
      <c r="K201" s="74"/>
      <c r="L201" s="74"/>
      <c r="M201" s="76"/>
      <c r="O201" s="268"/>
      <c r="P201" s="254" t="s">
        <v>347</v>
      </c>
      <c r="Q201" s="271"/>
      <c r="R201" s="271"/>
      <c r="S201" s="252" t="str">
        <f>IF(OR(Q201="",R201=""),"",Q201/R201)</f>
        <v/>
      </c>
      <c r="T201" s="256" t="str">
        <f>IF(OR($S$197="",S201=""),"",ABS(S201-$S$197)/$S$197)</f>
        <v/>
      </c>
      <c r="U201" s="116"/>
      <c r="V201" s="116"/>
      <c r="W201" s="116"/>
      <c r="X201" s="116"/>
      <c r="Y201" s="79"/>
    </row>
    <row r="202" spans="1:29" ht="14.1" customHeight="1" thickBot="1" x14ac:dyDescent="0.25">
      <c r="A202" s="63">
        <v>66</v>
      </c>
      <c r="B202" s="85"/>
      <c r="C202" s="86"/>
      <c r="D202" s="86"/>
      <c r="E202" s="86"/>
      <c r="F202" s="86"/>
      <c r="G202" s="86"/>
      <c r="H202" s="86"/>
      <c r="I202" s="86"/>
      <c r="J202" s="86"/>
      <c r="K202" s="86"/>
      <c r="L202" s="86"/>
      <c r="M202" s="87"/>
      <c r="O202" s="268"/>
      <c r="P202" s="254" t="s">
        <v>348</v>
      </c>
      <c r="Q202" s="261" t="str">
        <f>IF(Q197="","",AVERAGE(Q197:Q201))</f>
        <v/>
      </c>
      <c r="R202" s="152"/>
      <c r="S202" s="261" t="str">
        <f>IF(S197="","",AVERAGE(S197:S201))</f>
        <v/>
      </c>
      <c r="T202" s="152"/>
      <c r="U202" s="116"/>
      <c r="V202" s="116"/>
      <c r="W202" s="116"/>
      <c r="X202" s="116"/>
      <c r="Y202" s="79"/>
    </row>
    <row r="203" spans="1:29" ht="14.1" customHeight="1" thickTop="1" x14ac:dyDescent="0.2">
      <c r="A203" s="63">
        <v>67</v>
      </c>
      <c r="C203" s="162" t="s">
        <v>91</v>
      </c>
      <c r="D203" s="163" t="str">
        <f>IF($P$7="","",$P$7)</f>
        <v/>
      </c>
      <c r="E203" s="74"/>
      <c r="F203" s="74"/>
      <c r="G203" s="74"/>
      <c r="H203" s="74"/>
      <c r="I203" s="74"/>
      <c r="J203" s="74"/>
      <c r="K203" s="74"/>
      <c r="L203" s="162" t="s">
        <v>92</v>
      </c>
      <c r="M203" s="164" t="str">
        <f>IF($X$7="","",$X$7)</f>
        <v>Eugene Mah</v>
      </c>
      <c r="O203" s="268"/>
      <c r="P203" s="254" t="s">
        <v>341</v>
      </c>
      <c r="Q203" s="262" t="str">
        <f>IF(Q197="","",STDEV(Q197:Q201))</f>
        <v/>
      </c>
      <c r="R203" s="152"/>
      <c r="S203" s="262" t="str">
        <f>IF(S197="","",STDEV(S197:S201))</f>
        <v/>
      </c>
      <c r="T203" s="152"/>
      <c r="U203" s="116"/>
      <c r="V203" s="116"/>
      <c r="W203" s="116"/>
      <c r="X203" s="116"/>
      <c r="Y203" s="79"/>
    </row>
    <row r="204" spans="1:29" ht="14.1" customHeight="1" x14ac:dyDescent="0.2">
      <c r="A204" s="63">
        <v>68</v>
      </c>
      <c r="C204" s="162" t="s">
        <v>197</v>
      </c>
      <c r="D204" s="165" t="str">
        <f>IF($R$14="","",$R$14)</f>
        <v/>
      </c>
      <c r="E204" s="74"/>
      <c r="F204" s="74"/>
      <c r="G204" s="74"/>
      <c r="H204" s="74"/>
      <c r="I204" s="74"/>
      <c r="J204" s="74"/>
      <c r="K204" s="74"/>
      <c r="L204" s="162" t="s">
        <v>115</v>
      </c>
      <c r="M204" s="164" t="str">
        <f>IF($R$13="","",$R$13)</f>
        <v/>
      </c>
      <c r="O204" s="268"/>
      <c r="P204" s="116"/>
      <c r="Q204" s="263"/>
      <c r="R204" s="152"/>
      <c r="S204" s="263"/>
      <c r="T204" s="254" t="str">
        <f>IF(T198="","",IF(MAX(T198:T201)&lt;=0.15,"Pass","Fail"))</f>
        <v/>
      </c>
      <c r="U204" s="116"/>
      <c r="V204" s="116"/>
      <c r="W204" s="116"/>
      <c r="X204" s="116"/>
      <c r="Y204" s="79"/>
    </row>
    <row r="205" spans="1:29" ht="14.1" customHeight="1" x14ac:dyDescent="0.2">
      <c r="A205" s="63">
        <v>1</v>
      </c>
      <c r="M205" s="166" t="str">
        <f>$H$2</f>
        <v>Medical University of South Carolina</v>
      </c>
      <c r="O205" s="272"/>
      <c r="P205" s="266" t="s">
        <v>284</v>
      </c>
      <c r="Q205" s="273" t="s">
        <v>350</v>
      </c>
      <c r="R205" s="221"/>
      <c r="S205" s="221"/>
      <c r="T205" s="221"/>
      <c r="U205" s="221"/>
      <c r="V205" s="221"/>
      <c r="W205" s="221"/>
      <c r="X205" s="221"/>
      <c r="Y205" s="274"/>
    </row>
    <row r="206" spans="1:29" ht="14.1" customHeight="1" thickBot="1" x14ac:dyDescent="0.25">
      <c r="A206" s="63">
        <v>2</v>
      </c>
      <c r="H206" s="99" t="s">
        <v>150</v>
      </c>
      <c r="M206" s="167" t="str">
        <f>$H$5</f>
        <v>Stereotactic Breast Biopsy System Compliance Inspection</v>
      </c>
      <c r="O206" s="275"/>
      <c r="P206" s="221"/>
      <c r="Q206" s="221"/>
      <c r="R206" s="221"/>
      <c r="S206" s="221"/>
      <c r="T206" s="221"/>
      <c r="U206" s="221"/>
      <c r="V206" s="221"/>
      <c r="W206" s="221"/>
      <c r="X206" s="221"/>
      <c r="Y206" s="274"/>
    </row>
    <row r="207" spans="1:29" ht="14.1" customHeight="1" thickTop="1" x14ac:dyDescent="0.2">
      <c r="A207" s="63">
        <v>3</v>
      </c>
      <c r="B207" s="106"/>
      <c r="C207" s="108" t="s">
        <v>324</v>
      </c>
      <c r="D207" s="107"/>
      <c r="E207" s="107"/>
      <c r="F207" s="107"/>
      <c r="G207" s="107"/>
      <c r="H207" s="107"/>
      <c r="I207" s="107"/>
      <c r="J207" s="107"/>
      <c r="K207" s="107"/>
      <c r="L207" s="107"/>
      <c r="M207" s="109"/>
      <c r="O207" s="275"/>
      <c r="P207" s="221"/>
      <c r="Q207" s="221"/>
      <c r="R207" s="221"/>
      <c r="S207" s="221"/>
      <c r="T207" s="221"/>
      <c r="U207" s="221"/>
      <c r="V207" s="221"/>
      <c r="W207" s="221"/>
      <c r="X207" s="221"/>
      <c r="Y207" s="274"/>
    </row>
    <row r="208" spans="1:29" ht="14.1" customHeight="1" thickBot="1" x14ac:dyDescent="0.25">
      <c r="A208" s="63">
        <v>4</v>
      </c>
      <c r="B208" s="115"/>
      <c r="C208" s="83" t="s">
        <v>326</v>
      </c>
      <c r="D208" s="276" t="str">
        <f>IF(P166="","",P166)</f>
        <v>Auto-time</v>
      </c>
      <c r="F208" s="83" t="s">
        <v>328</v>
      </c>
      <c r="G208" s="276" t="str">
        <f>IF(S166="","",S166)</f>
        <v/>
      </c>
      <c r="M208" s="117"/>
      <c r="O208" s="277"/>
      <c r="P208" s="240"/>
      <c r="Q208" s="240"/>
      <c r="R208" s="240"/>
      <c r="S208" s="240"/>
      <c r="T208" s="240"/>
      <c r="U208" s="240"/>
      <c r="V208" s="240"/>
      <c r="W208" s="240"/>
      <c r="X208" s="240"/>
      <c r="Y208" s="278"/>
      <c r="AA208" s="82"/>
      <c r="AB208" s="82"/>
      <c r="AC208" s="82"/>
    </row>
    <row r="209" spans="1:29" ht="14.1" customHeight="1" x14ac:dyDescent="0.2">
      <c r="A209" s="63">
        <v>5</v>
      </c>
      <c r="B209" s="115"/>
      <c r="D209" s="82" t="s">
        <v>147</v>
      </c>
      <c r="I209" s="82" t="s">
        <v>329</v>
      </c>
      <c r="K209" s="74"/>
      <c r="M209" s="117"/>
      <c r="O209" s="191" t="s">
        <v>351</v>
      </c>
      <c r="P209" s="69"/>
      <c r="Q209" s="69"/>
      <c r="R209" s="69"/>
      <c r="S209" s="69"/>
      <c r="T209" s="69"/>
      <c r="U209" s="69"/>
      <c r="V209" s="69"/>
      <c r="W209" s="69"/>
      <c r="X209" s="69"/>
      <c r="Y209" s="70"/>
      <c r="AA209" s="82"/>
      <c r="AB209" s="82"/>
      <c r="AC209" s="82"/>
    </row>
    <row r="210" spans="1:29" ht="14.1" customHeight="1" thickBot="1" x14ac:dyDescent="0.25">
      <c r="A210" s="63">
        <v>6</v>
      </c>
      <c r="B210" s="115"/>
      <c r="D210" s="82" t="s">
        <v>330</v>
      </c>
      <c r="E210" s="82" t="s">
        <v>104</v>
      </c>
      <c r="F210" s="82" t="s">
        <v>320</v>
      </c>
      <c r="G210" s="82" t="s">
        <v>149</v>
      </c>
      <c r="H210" s="82" t="s">
        <v>352</v>
      </c>
      <c r="I210" s="82" t="s">
        <v>332</v>
      </c>
      <c r="J210" s="82" t="s">
        <v>333</v>
      </c>
      <c r="K210" s="74"/>
      <c r="M210" s="117"/>
      <c r="O210" s="77"/>
      <c r="P210" s="83" t="s">
        <v>353</v>
      </c>
      <c r="Q210" s="194"/>
      <c r="S210" s="83" t="s">
        <v>259</v>
      </c>
      <c r="T210" s="194">
        <v>28</v>
      </c>
      <c r="V210" s="74"/>
      <c r="W210" s="74"/>
      <c r="Y210" s="79"/>
      <c r="AA210" s="82"/>
      <c r="AB210" s="82"/>
      <c r="AC210" s="82"/>
    </row>
    <row r="211" spans="1:29" ht="14.1" customHeight="1" x14ac:dyDescent="0.2">
      <c r="A211" s="63">
        <v>7</v>
      </c>
      <c r="B211" s="115"/>
      <c r="D211" s="242">
        <f t="shared" ref="D211:J217" si="19">IF(P169="","",P169)</f>
        <v>2</v>
      </c>
      <c r="E211" s="279" t="str">
        <f t="shared" si="19"/>
        <v/>
      </c>
      <c r="F211" s="279" t="str">
        <f t="shared" si="19"/>
        <v/>
      </c>
      <c r="G211" s="279" t="str">
        <f t="shared" si="19"/>
        <v/>
      </c>
      <c r="H211" s="279" t="str">
        <f t="shared" si="19"/>
        <v/>
      </c>
      <c r="I211" s="279" t="str">
        <f t="shared" si="19"/>
        <v/>
      </c>
      <c r="J211" s="229" t="str">
        <f t="shared" si="19"/>
        <v/>
      </c>
      <c r="K211" s="74"/>
      <c r="M211" s="117"/>
      <c r="O211" s="77"/>
      <c r="P211" s="83" t="s">
        <v>172</v>
      </c>
      <c r="Q211" s="194" t="s">
        <v>354</v>
      </c>
      <c r="S211" s="83" t="s">
        <v>262</v>
      </c>
      <c r="T211" s="194"/>
      <c r="Y211" s="79"/>
      <c r="AA211" s="82"/>
      <c r="AB211" s="82"/>
      <c r="AC211" s="82"/>
    </row>
    <row r="212" spans="1:29" ht="14.1" customHeight="1" x14ac:dyDescent="0.2">
      <c r="A212" s="63">
        <v>8</v>
      </c>
      <c r="B212" s="115"/>
      <c r="D212" s="233">
        <f t="shared" si="19"/>
        <v>4</v>
      </c>
      <c r="E212" s="118" t="str">
        <f t="shared" si="19"/>
        <v/>
      </c>
      <c r="F212" s="118" t="str">
        <f t="shared" si="19"/>
        <v/>
      </c>
      <c r="G212" s="118" t="str">
        <f t="shared" si="19"/>
        <v/>
      </c>
      <c r="H212" s="118" t="str">
        <f t="shared" si="19"/>
        <v/>
      </c>
      <c r="I212" s="118" t="str">
        <f t="shared" si="19"/>
        <v/>
      </c>
      <c r="J212" s="232" t="str">
        <f t="shared" si="19"/>
        <v/>
      </c>
      <c r="K212" s="74"/>
      <c r="M212" s="117"/>
      <c r="O212" s="77"/>
      <c r="S212" s="82" t="s">
        <v>329</v>
      </c>
      <c r="U212" s="67" t="s">
        <v>355</v>
      </c>
      <c r="Y212" s="79"/>
      <c r="AA212" s="82"/>
      <c r="AB212" s="82"/>
      <c r="AC212" s="82"/>
    </row>
    <row r="213" spans="1:29" ht="14.1" customHeight="1" x14ac:dyDescent="0.2">
      <c r="A213" s="63">
        <v>9</v>
      </c>
      <c r="B213" s="115"/>
      <c r="D213" s="233">
        <f t="shared" si="19"/>
        <v>4</v>
      </c>
      <c r="E213" s="118">
        <f t="shared" si="19"/>
        <v>0</v>
      </c>
      <c r="F213" s="118">
        <f t="shared" si="19"/>
        <v>0</v>
      </c>
      <c r="G213" s="118" t="str">
        <f t="shared" si="19"/>
        <v/>
      </c>
      <c r="H213" s="118" t="str">
        <f t="shared" si="19"/>
        <v/>
      </c>
      <c r="I213" s="118" t="str">
        <f t="shared" si="19"/>
        <v/>
      </c>
      <c r="J213" s="232" t="str">
        <f t="shared" si="19"/>
        <v/>
      </c>
      <c r="K213" s="74"/>
      <c r="M213" s="117"/>
      <c r="O213" s="275"/>
      <c r="Q213" s="82" t="s">
        <v>149</v>
      </c>
      <c r="R213" s="82" t="s">
        <v>352</v>
      </c>
      <c r="S213" s="82" t="s">
        <v>332</v>
      </c>
      <c r="T213" s="82" t="s">
        <v>356</v>
      </c>
      <c r="U213" s="82" t="s">
        <v>357</v>
      </c>
      <c r="W213" s="83" t="s">
        <v>358</v>
      </c>
      <c r="X213" s="196" t="str">
        <f>IF(T210="","",VLOOKUP(T210,Tables!B75:C78,2))</f>
        <v/>
      </c>
      <c r="Y213" s="79"/>
      <c r="AA213" s="82"/>
      <c r="AB213" s="82"/>
      <c r="AC213" s="82"/>
    </row>
    <row r="214" spans="1:29" ht="14.1" customHeight="1" x14ac:dyDescent="0.2">
      <c r="A214" s="63">
        <v>10</v>
      </c>
      <c r="B214" s="115"/>
      <c r="D214" s="233">
        <f t="shared" si="19"/>
        <v>4</v>
      </c>
      <c r="E214" s="118">
        <f t="shared" si="19"/>
        <v>0</v>
      </c>
      <c r="F214" s="118">
        <f t="shared" si="19"/>
        <v>0</v>
      </c>
      <c r="G214" s="118" t="str">
        <f t="shared" si="19"/>
        <v/>
      </c>
      <c r="H214" s="118" t="str">
        <f t="shared" si="19"/>
        <v/>
      </c>
      <c r="I214" s="118" t="str">
        <f t="shared" si="19"/>
        <v/>
      </c>
      <c r="J214" s="232" t="str">
        <f t="shared" si="19"/>
        <v/>
      </c>
      <c r="K214" s="74"/>
      <c r="M214" s="117"/>
      <c r="O214" s="275"/>
      <c r="Q214" s="192"/>
      <c r="R214" s="192"/>
      <c r="S214" s="192"/>
      <c r="T214" s="280" t="str">
        <f>IF(Q214="","",Q214/$T$211)</f>
        <v/>
      </c>
      <c r="U214" s="120" t="str">
        <f>IF(Q214="","",($T$210^2*Tables!$D$70+Tables!$D$71)*Q214)</f>
        <v/>
      </c>
      <c r="W214" s="83" t="s">
        <v>359</v>
      </c>
      <c r="X214" s="196" t="str">
        <f>IF(U218="","",Q218*($T$210^2*Tables!$D$70+Tables!$D$71))</f>
        <v/>
      </c>
      <c r="Y214" s="79"/>
      <c r="AA214" s="82"/>
      <c r="AB214" s="82"/>
      <c r="AC214" s="82"/>
    </row>
    <row r="215" spans="1:29" ht="14.1" customHeight="1" x14ac:dyDescent="0.2">
      <c r="A215" s="63">
        <v>11</v>
      </c>
      <c r="B215" s="115"/>
      <c r="D215" s="233">
        <f t="shared" si="19"/>
        <v>4</v>
      </c>
      <c r="E215" s="118">
        <f t="shared" si="19"/>
        <v>0</v>
      </c>
      <c r="F215" s="118">
        <f t="shared" si="19"/>
        <v>0</v>
      </c>
      <c r="G215" s="118" t="str">
        <f t="shared" si="19"/>
        <v/>
      </c>
      <c r="H215" s="118" t="str">
        <f t="shared" si="19"/>
        <v/>
      </c>
      <c r="I215" s="118" t="str">
        <f t="shared" si="19"/>
        <v/>
      </c>
      <c r="J215" s="232" t="str">
        <f t="shared" si="19"/>
        <v/>
      </c>
      <c r="K215" s="74"/>
      <c r="M215" s="117"/>
      <c r="O215" s="275"/>
      <c r="Q215" s="192"/>
      <c r="R215" s="192"/>
      <c r="S215" s="192"/>
      <c r="T215" s="280" t="str">
        <f>IF(Q215="","",Q215/$T$211)</f>
        <v/>
      </c>
      <c r="U215" s="120" t="str">
        <f>IF(Q215="","",($T$210^2*Tables!$D$70+Tables!$D$71)*Q215)</f>
        <v/>
      </c>
      <c r="W215" s="83" t="s">
        <v>360</v>
      </c>
      <c r="X215" s="281" t="e">
        <f>IF(Q211="","",HLOOKUP(Q211,Tables!A83:E84,2))</f>
        <v>#N/A</v>
      </c>
      <c r="Y215" s="79"/>
      <c r="AA215" s="82"/>
      <c r="AB215" s="82"/>
      <c r="AC215" s="82"/>
    </row>
    <row r="216" spans="1:29" ht="14.1" customHeight="1" x14ac:dyDescent="0.2">
      <c r="A216" s="63">
        <v>12</v>
      </c>
      <c r="B216" s="115"/>
      <c r="D216" s="233">
        <f t="shared" si="19"/>
        <v>6</v>
      </c>
      <c r="E216" s="118" t="str">
        <f t="shared" si="19"/>
        <v/>
      </c>
      <c r="F216" s="118" t="str">
        <f t="shared" si="19"/>
        <v/>
      </c>
      <c r="G216" s="118" t="str">
        <f t="shared" si="19"/>
        <v/>
      </c>
      <c r="H216" s="118" t="str">
        <f t="shared" si="19"/>
        <v/>
      </c>
      <c r="I216" s="118" t="str">
        <f t="shared" si="19"/>
        <v/>
      </c>
      <c r="J216" s="232" t="str">
        <f t="shared" si="19"/>
        <v/>
      </c>
      <c r="K216" s="74"/>
      <c r="M216" s="117"/>
      <c r="O216" s="275"/>
      <c r="Q216" s="192"/>
      <c r="R216" s="192"/>
      <c r="S216" s="192"/>
      <c r="T216" s="280" t="str">
        <f>IF(Q216="","",Q216/$T$211)</f>
        <v/>
      </c>
      <c r="U216" s="120" t="str">
        <f>IF(Q216="","",($T$210^2*Tables!$D$70+Tables!$D$71)*Q216)</f>
        <v/>
      </c>
      <c r="W216" s="83" t="s">
        <v>361</v>
      </c>
      <c r="X216" s="196" t="e">
        <f>IF(OR(X214="",X215=""),"",(X215*(X214/8.76))/100)</f>
        <v>#N/A</v>
      </c>
      <c r="Y216" s="79"/>
      <c r="AA216" s="82"/>
      <c r="AB216" s="82"/>
      <c r="AC216" s="82"/>
    </row>
    <row r="217" spans="1:29" ht="14.1" customHeight="1" thickBot="1" x14ac:dyDescent="0.25">
      <c r="A217" s="63">
        <v>13</v>
      </c>
      <c r="B217" s="115"/>
      <c r="D217" s="257">
        <f t="shared" si="19"/>
        <v>8</v>
      </c>
      <c r="E217" s="291" t="str">
        <f t="shared" si="19"/>
        <v/>
      </c>
      <c r="F217" s="291" t="str">
        <f t="shared" si="19"/>
        <v/>
      </c>
      <c r="G217" s="291" t="str">
        <f t="shared" si="19"/>
        <v/>
      </c>
      <c r="H217" s="291" t="str">
        <f t="shared" si="19"/>
        <v/>
      </c>
      <c r="I217" s="291" t="str">
        <f t="shared" si="19"/>
        <v/>
      </c>
      <c r="J217" s="306" t="str">
        <f t="shared" si="19"/>
        <v/>
      </c>
      <c r="K217" s="74"/>
      <c r="M217" s="117"/>
      <c r="O217" s="275"/>
      <c r="Q217" s="192"/>
      <c r="R217" s="192"/>
      <c r="S217" s="192"/>
      <c r="T217" s="280" t="str">
        <f>IF(Q217="","",Q217/$T$211)</f>
        <v/>
      </c>
      <c r="U217" s="120" t="str">
        <f>IF(Q217="","",($T$210^2*Tables!$D$70+Tables!$D$71)*Q217)</f>
        <v/>
      </c>
      <c r="W217" s="83" t="s">
        <v>362</v>
      </c>
      <c r="X217" s="282" t="str">
        <f>IF(AB85="","",AB85)</f>
        <v/>
      </c>
      <c r="Y217" s="79"/>
    </row>
    <row r="218" spans="1:29" ht="14.1" customHeight="1" thickBot="1" x14ac:dyDescent="0.25">
      <c r="A218" s="63">
        <v>14</v>
      </c>
      <c r="B218" s="115"/>
      <c r="D218" s="152"/>
      <c r="E218" s="152"/>
      <c r="F218" s="152"/>
      <c r="G218" s="83" t="s">
        <v>271</v>
      </c>
      <c r="H218" s="366" t="str">
        <f>IF(T176="","",T176)</f>
        <v/>
      </c>
      <c r="I218" s="152"/>
      <c r="J218" s="211"/>
      <c r="K218" s="74"/>
      <c r="M218" s="117"/>
      <c r="O218" s="275"/>
      <c r="P218" s="83" t="s">
        <v>271</v>
      </c>
      <c r="Q218" s="119" t="str">
        <f>IF(OR(Q214="",Q215="",Q216="",Q217=""),"",AVERAGE(Q214:Q217))</f>
        <v/>
      </c>
      <c r="R218" s="283" t="str">
        <f>IF(OR(R214="",R215="",R216="",R217=""),"",AVERAGE(R214:R217))</f>
        <v/>
      </c>
      <c r="S218" s="120" t="str">
        <f>IF(OR(S214="",S215="",S216="",S217=""),"",AVERAGE(S214:S217))</f>
        <v/>
      </c>
      <c r="T218" s="280" t="str">
        <f>IF(OR(T214="",T215="",T216="",T217=""),"",AVERAGE(T214:T217))</f>
        <v/>
      </c>
      <c r="U218" s="120" t="str">
        <f>IF(OR(U214="",U215="",U216="",U217=""),"",AVERAGE(U214:U217))</f>
        <v/>
      </c>
      <c r="W218" s="83" t="s">
        <v>363</v>
      </c>
      <c r="X218" s="284" t="e">
        <f>IF(OR(X216="",X217=""),"",(X216-X217)/X217)</f>
        <v>#N/A</v>
      </c>
      <c r="Y218" s="79"/>
    </row>
    <row r="219" spans="1:29" ht="14.1" customHeight="1" x14ac:dyDescent="0.2">
      <c r="A219" s="63">
        <v>15</v>
      </c>
      <c r="B219" s="115"/>
      <c r="G219" s="74"/>
      <c r="H219" s="74"/>
      <c r="K219" s="74"/>
      <c r="M219" s="117"/>
      <c r="O219" s="275"/>
      <c r="P219" s="83" t="s">
        <v>364</v>
      </c>
      <c r="Q219" s="235" t="str">
        <f>IF(Q218="","",STDEV(Q214:Q217)/Q218)</f>
        <v/>
      </c>
      <c r="R219" s="235" t="str">
        <f>IF(R218="","",STDEV(R214:R217)/R218)</f>
        <v/>
      </c>
      <c r="S219" s="235" t="str">
        <f>IF(S218="","",STDEV(S214:S217)/S218)</f>
        <v/>
      </c>
      <c r="T219" s="235" t="str">
        <f>IF(T218="","",STDEV(T214:T217)/T218)</f>
        <v/>
      </c>
      <c r="U219" s="235" t="str">
        <f>IF(U218="","",STDEV(U214:U217)/U218)</f>
        <v/>
      </c>
      <c r="W219" s="74"/>
      <c r="X219" s="74"/>
      <c r="Y219" s="79"/>
    </row>
    <row r="220" spans="1:29" ht="14.1" customHeight="1" x14ac:dyDescent="0.2">
      <c r="A220" s="63">
        <v>16</v>
      </c>
      <c r="B220" s="115"/>
      <c r="D220" s="167" t="s">
        <v>284</v>
      </c>
      <c r="E220" s="74" t="s">
        <v>334</v>
      </c>
      <c r="M220" s="117"/>
      <c r="O220" s="77"/>
      <c r="P220" s="74"/>
      <c r="Q220" s="74"/>
      <c r="R220" s="74"/>
      <c r="S220" s="74"/>
      <c r="T220" s="74"/>
      <c r="U220" s="74"/>
      <c r="Y220" s="79"/>
    </row>
    <row r="221" spans="1:29" ht="14.1" customHeight="1" x14ac:dyDescent="0.2">
      <c r="A221" s="63">
        <v>17</v>
      </c>
      <c r="B221" s="115"/>
      <c r="M221" s="117"/>
      <c r="O221" s="77"/>
      <c r="P221" s="167" t="s">
        <v>284</v>
      </c>
      <c r="Q221" s="413" t="s">
        <v>365</v>
      </c>
      <c r="W221" s="83" t="s">
        <v>366</v>
      </c>
      <c r="X221" s="284" t="e">
        <f>IF(OR(S214="",X216=""),"",(X216-AVERAGE(S214:S217))/AVERAGE(S214:S217))</f>
        <v>#N/A</v>
      </c>
      <c r="Y221" s="79"/>
    </row>
    <row r="222" spans="1:29" ht="14.1" customHeight="1" x14ac:dyDescent="0.2">
      <c r="A222" s="63">
        <v>18</v>
      </c>
      <c r="B222" s="115"/>
      <c r="C222" s="124" t="s">
        <v>335</v>
      </c>
      <c r="I222" s="82"/>
      <c r="M222" s="117"/>
      <c r="O222" s="77"/>
      <c r="P222" s="74"/>
      <c r="Q222" s="413" t="s">
        <v>367</v>
      </c>
      <c r="W222" s="83" t="s">
        <v>368</v>
      </c>
      <c r="X222" s="281" t="e">
        <f>IF(OR(X216="",Q218=""),"",3/(X216/Q218))</f>
        <v>#N/A</v>
      </c>
      <c r="Y222" s="79"/>
    </row>
    <row r="223" spans="1:29" ht="14.1" customHeight="1" x14ac:dyDescent="0.2">
      <c r="A223" s="63">
        <v>19</v>
      </c>
      <c r="B223" s="115"/>
      <c r="C223" s="83" t="s">
        <v>326</v>
      </c>
      <c r="D223" s="276" t="str">
        <f>IF(P181="","",P181)</f>
        <v>Auto-time</v>
      </c>
      <c r="F223" s="83" t="s">
        <v>328</v>
      </c>
      <c r="G223" s="198">
        <f>IF(S181="","",S181)</f>
        <v>0</v>
      </c>
      <c r="H223" s="82"/>
      <c r="I223" s="83" t="s">
        <v>259</v>
      </c>
      <c r="J223" s="198" t="str">
        <f>IF(Q183="","",Q183)</f>
        <v/>
      </c>
      <c r="M223" s="117"/>
      <c r="O223" s="88"/>
      <c r="P223" s="240"/>
      <c r="Q223" s="240"/>
      <c r="R223" s="89"/>
      <c r="S223" s="89"/>
      <c r="T223" s="240"/>
      <c r="U223" s="240"/>
      <c r="V223" s="89"/>
      <c r="W223" s="285"/>
      <c r="X223" s="89"/>
      <c r="Y223" s="90"/>
    </row>
    <row r="224" spans="1:29" ht="14.1" customHeight="1" x14ac:dyDescent="0.2">
      <c r="A224" s="63">
        <v>20</v>
      </c>
      <c r="B224" s="115"/>
      <c r="D224" s="74"/>
      <c r="E224" s="74"/>
      <c r="F224" s="74"/>
      <c r="G224" s="82" t="s">
        <v>329</v>
      </c>
      <c r="H224" s="74"/>
      <c r="J224" s="74"/>
      <c r="M224" s="117"/>
      <c r="O224" s="191" t="s">
        <v>369</v>
      </c>
      <c r="P224" s="286"/>
      <c r="Q224" s="286"/>
      <c r="R224" s="69"/>
      <c r="S224" s="69"/>
      <c r="T224" s="286"/>
      <c r="U224" s="286"/>
      <c r="V224" s="69"/>
      <c r="W224" s="69"/>
      <c r="X224" s="69"/>
      <c r="Y224" s="70"/>
    </row>
    <row r="225" spans="1:27" ht="14.1" customHeight="1" x14ac:dyDescent="0.2">
      <c r="A225" s="63">
        <v>21</v>
      </c>
      <c r="B225" s="115"/>
      <c r="D225" s="242" t="s">
        <v>336</v>
      </c>
      <c r="E225" s="279" t="s">
        <v>149</v>
      </c>
      <c r="F225" s="279" t="s">
        <v>352</v>
      </c>
      <c r="G225" s="279" t="s">
        <v>332</v>
      </c>
      <c r="H225" s="279" t="s">
        <v>337</v>
      </c>
      <c r="I225" s="287" t="s">
        <v>370</v>
      </c>
      <c r="J225" s="74"/>
      <c r="M225" s="117"/>
      <c r="O225" s="77" t="s">
        <v>371</v>
      </c>
      <c r="P225" s="194"/>
      <c r="R225" s="83" t="s">
        <v>372</v>
      </c>
      <c r="S225" s="447"/>
      <c r="T225" s="447"/>
      <c r="Y225" s="79"/>
    </row>
    <row r="226" spans="1:27" ht="14.1" customHeight="1" x14ac:dyDescent="0.2">
      <c r="A226" s="63">
        <v>22</v>
      </c>
      <c r="B226" s="115"/>
      <c r="D226" s="233">
        <f t="shared" ref="D226:D233" si="20">P183</f>
        <v>-3</v>
      </c>
      <c r="E226" s="118" t="str">
        <f t="shared" ref="E226:H233" si="21">IF(R183="","",R183)</f>
        <v/>
      </c>
      <c r="F226" s="118" t="str">
        <f t="shared" si="21"/>
        <v/>
      </c>
      <c r="G226" s="120" t="str">
        <f t="shared" si="21"/>
        <v/>
      </c>
      <c r="H226" s="120" t="str">
        <f t="shared" si="21"/>
        <v/>
      </c>
      <c r="I226" s="288" t="str">
        <f>IF(U183="","",IF(AND(U183&gt;=X183,U183&lt;=Y183),"Pass","Fail"))</f>
        <v/>
      </c>
      <c r="J226" s="74"/>
      <c r="M226" s="117"/>
      <c r="O226" s="77" t="s">
        <v>373</v>
      </c>
      <c r="P226" s="289"/>
      <c r="R226" s="83" t="s">
        <v>374</v>
      </c>
      <c r="S226" s="447"/>
      <c r="T226" s="447"/>
      <c r="Y226" s="79"/>
    </row>
    <row r="227" spans="1:27" ht="14.1" customHeight="1" x14ac:dyDescent="0.2">
      <c r="A227" s="63">
        <v>23</v>
      </c>
      <c r="B227" s="115"/>
      <c r="D227" s="233">
        <f t="shared" si="20"/>
        <v>-2</v>
      </c>
      <c r="E227" s="118" t="str">
        <f t="shared" si="21"/>
        <v/>
      </c>
      <c r="F227" s="118" t="str">
        <f t="shared" si="21"/>
        <v/>
      </c>
      <c r="G227" s="120" t="str">
        <f t="shared" si="21"/>
        <v/>
      </c>
      <c r="H227" s="120" t="str">
        <f t="shared" si="21"/>
        <v/>
      </c>
      <c r="I227" s="288" t="str">
        <f>IF(U184="","",IF(AND(U184&gt;=X184,U184&lt;=Y184),"Pass","Fail"))</f>
        <v/>
      </c>
      <c r="J227" s="74"/>
      <c r="M227" s="117"/>
      <c r="O227" s="77"/>
      <c r="Y227" s="79"/>
    </row>
    <row r="228" spans="1:27" ht="14.1" customHeight="1" x14ac:dyDescent="0.2">
      <c r="A228" s="63">
        <v>24</v>
      </c>
      <c r="B228" s="115"/>
      <c r="D228" s="233">
        <f t="shared" si="20"/>
        <v>-1</v>
      </c>
      <c r="E228" s="118" t="str">
        <f t="shared" si="21"/>
        <v/>
      </c>
      <c r="F228" s="118" t="str">
        <f t="shared" si="21"/>
        <v/>
      </c>
      <c r="G228" s="118" t="str">
        <f t="shared" si="21"/>
        <v/>
      </c>
      <c r="H228" s="120" t="str">
        <f t="shared" si="21"/>
        <v/>
      </c>
      <c r="I228" s="288" t="str">
        <f>IF(U185="","",IF(AND(U185&gt;=X185,U185&lt;=Y185),"Pass","Fail"))</f>
        <v/>
      </c>
      <c r="J228" s="74"/>
      <c r="M228" s="117"/>
      <c r="O228" s="77"/>
      <c r="T228" s="446" t="s">
        <v>375</v>
      </c>
      <c r="U228" s="446"/>
      <c r="V228" s="446"/>
      <c r="W228" s="446"/>
      <c r="X228" s="446"/>
      <c r="Y228" s="79"/>
    </row>
    <row r="229" spans="1:27" ht="14.1" customHeight="1" x14ac:dyDescent="0.2">
      <c r="A229" s="63">
        <v>25</v>
      </c>
      <c r="B229" s="115"/>
      <c r="D229" s="233">
        <f t="shared" si="20"/>
        <v>0</v>
      </c>
      <c r="E229" s="118" t="str">
        <f t="shared" si="21"/>
        <v/>
      </c>
      <c r="F229" s="283" t="str">
        <f t="shared" si="21"/>
        <v/>
      </c>
      <c r="G229" s="120" t="str">
        <f t="shared" si="21"/>
        <v/>
      </c>
      <c r="H229" s="120" t="str">
        <f t="shared" si="21"/>
        <v/>
      </c>
      <c r="I229" s="290"/>
      <c r="J229" s="74"/>
      <c r="M229" s="117"/>
      <c r="O229" s="77"/>
      <c r="P229" s="82" t="s">
        <v>129</v>
      </c>
      <c r="Q229" s="82" t="s">
        <v>104</v>
      </c>
      <c r="R229" s="82" t="s">
        <v>320</v>
      </c>
      <c r="S229" s="82" t="s">
        <v>149</v>
      </c>
      <c r="T229" s="82" t="s">
        <v>105</v>
      </c>
      <c r="U229" s="82" t="s">
        <v>106</v>
      </c>
      <c r="V229" s="82" t="s">
        <v>107</v>
      </c>
      <c r="W229" s="82" t="s">
        <v>376</v>
      </c>
      <c r="X229" s="82" t="s">
        <v>377</v>
      </c>
      <c r="Y229" s="79"/>
    </row>
    <row r="230" spans="1:27" ht="14.1" customHeight="1" x14ac:dyDescent="0.2">
      <c r="A230" s="63">
        <v>26</v>
      </c>
      <c r="B230" s="115"/>
      <c r="D230" s="233">
        <f t="shared" si="20"/>
        <v>1</v>
      </c>
      <c r="E230" s="118" t="str">
        <f t="shared" si="21"/>
        <v/>
      </c>
      <c r="F230" s="118" t="str">
        <f t="shared" si="21"/>
        <v/>
      </c>
      <c r="G230" s="118" t="str">
        <f t="shared" si="21"/>
        <v/>
      </c>
      <c r="H230" s="120" t="str">
        <f t="shared" si="21"/>
        <v/>
      </c>
      <c r="I230" s="288" t="str">
        <f>IF(U187="","",IF(AND(U187&gt;=X187,U187&lt;=Y187),"Pass","Fail"))</f>
        <v/>
      </c>
      <c r="J230" s="74"/>
      <c r="M230" s="117"/>
      <c r="O230" s="77"/>
      <c r="P230" s="118" t="str">
        <f>IF(AK10="","",AK10)</f>
        <v>Mo</v>
      </c>
      <c r="Q230" s="118" t="str">
        <f>IF(AL10="","",AL10)</f>
        <v>Mo</v>
      </c>
      <c r="R230" s="118">
        <f>IF(AH10="","",AH10)</f>
        <v>24</v>
      </c>
      <c r="S230" s="118">
        <f>IF(AI10="","",AI10)</f>
        <v>50</v>
      </c>
      <c r="T230" s="120" t="str">
        <f>IF(AM10="","",AVERAGE(AM10:AM11))</f>
        <v/>
      </c>
      <c r="U230" s="119" t="str">
        <f>IF(AN10="","",AN10)</f>
        <v/>
      </c>
      <c r="V230" s="120" t="str">
        <f>IF(AO10="","",AO10)</f>
        <v/>
      </c>
      <c r="W230" s="280" t="str">
        <f t="shared" ref="W230:W236" si="22">IF(V230="","",V230/S230)</f>
        <v/>
      </c>
      <c r="X230" s="120" t="str">
        <f t="shared" ref="X230:X236" si="23">IF(OR(V230="",U230=""),"",V230/(U230/1000))</f>
        <v/>
      </c>
      <c r="Y230" s="79"/>
    </row>
    <row r="231" spans="1:27" ht="14.1" customHeight="1" x14ac:dyDescent="0.2">
      <c r="A231" s="63">
        <v>27</v>
      </c>
      <c r="B231" s="115"/>
      <c r="D231" s="233">
        <f t="shared" si="20"/>
        <v>2</v>
      </c>
      <c r="E231" s="118" t="str">
        <f t="shared" si="21"/>
        <v/>
      </c>
      <c r="F231" s="118" t="str">
        <f t="shared" si="21"/>
        <v/>
      </c>
      <c r="G231" s="118" t="str">
        <f t="shared" si="21"/>
        <v/>
      </c>
      <c r="H231" s="120" t="str">
        <f t="shared" si="21"/>
        <v/>
      </c>
      <c r="I231" s="288" t="str">
        <f>IF(U188="","",IF(AND(U188&gt;=X188,U188&lt;=Y188),"Pass","Fail"))</f>
        <v/>
      </c>
      <c r="J231" s="74"/>
      <c r="M231" s="117"/>
      <c r="O231" s="77"/>
      <c r="P231" s="118" t="str">
        <f>IF(AK12="","",AK12)</f>
        <v>Mo</v>
      </c>
      <c r="Q231" s="118" t="str">
        <f>IF(AL12="","",AL12)</f>
        <v>Mo</v>
      </c>
      <c r="R231" s="118">
        <f>IF(AH12="","",AH12)</f>
        <v>25</v>
      </c>
      <c r="S231" s="118">
        <f>IF(AI12="","",AI12)</f>
        <v>50</v>
      </c>
      <c r="T231" s="120" t="str">
        <f>IF(AM12="","",AVERAGE(AM12:AM13))</f>
        <v/>
      </c>
      <c r="U231" s="119" t="str">
        <f>IF(AN12="","",AN12)</f>
        <v/>
      </c>
      <c r="V231" s="120" t="str">
        <f>IF(AO12="","",AO12)</f>
        <v/>
      </c>
      <c r="W231" s="280" t="str">
        <f t="shared" si="22"/>
        <v/>
      </c>
      <c r="X231" s="120" t="str">
        <f t="shared" si="23"/>
        <v/>
      </c>
      <c r="Y231" s="79"/>
    </row>
    <row r="232" spans="1:27" ht="14.1" customHeight="1" x14ac:dyDescent="0.2">
      <c r="A232" s="63">
        <v>28</v>
      </c>
      <c r="B232" s="115"/>
      <c r="D232" s="233">
        <f t="shared" si="20"/>
        <v>3</v>
      </c>
      <c r="E232" s="118" t="str">
        <f t="shared" si="21"/>
        <v/>
      </c>
      <c r="F232" s="118" t="str">
        <f t="shared" si="21"/>
        <v/>
      </c>
      <c r="G232" s="118" t="str">
        <f t="shared" si="21"/>
        <v/>
      </c>
      <c r="H232" s="120" t="str">
        <f t="shared" si="21"/>
        <v/>
      </c>
      <c r="I232" s="288" t="str">
        <f>IF(U189="","",IF(AND(U189&gt;=X189,U189&lt;=Y189),"Pass","Fail"))</f>
        <v/>
      </c>
      <c r="J232" s="74"/>
      <c r="M232" s="117"/>
      <c r="O232" s="77"/>
      <c r="P232" s="118" t="str">
        <f>IF(AK14="","",AK14)</f>
        <v>Mo</v>
      </c>
      <c r="Q232" s="118" t="str">
        <f>IF(AL14="","",AL14)</f>
        <v>Mo</v>
      </c>
      <c r="R232" s="118">
        <f>IF(AH14="","",AH14)</f>
        <v>26</v>
      </c>
      <c r="S232" s="118">
        <f>IF(AI14="","",AI14)</f>
        <v>50</v>
      </c>
      <c r="T232" s="120" t="str">
        <f>IF(AM14="","",AM14)</f>
        <v/>
      </c>
      <c r="U232" s="119" t="str">
        <f>IF(AN14="","",AN14)</f>
        <v/>
      </c>
      <c r="V232" s="120" t="str">
        <f>IF(AO14="","",AO14)</f>
        <v/>
      </c>
      <c r="W232" s="280" t="str">
        <f t="shared" si="22"/>
        <v/>
      </c>
      <c r="X232" s="120" t="str">
        <f t="shared" si="23"/>
        <v/>
      </c>
      <c r="Y232" s="79"/>
    </row>
    <row r="233" spans="1:27" ht="14.1" customHeight="1" x14ac:dyDescent="0.2">
      <c r="A233" s="63">
        <v>29</v>
      </c>
      <c r="B233" s="115"/>
      <c r="D233" s="257">
        <f t="shared" si="20"/>
        <v>4</v>
      </c>
      <c r="E233" s="291" t="str">
        <f t="shared" si="21"/>
        <v/>
      </c>
      <c r="F233" s="291" t="str">
        <f t="shared" si="21"/>
        <v/>
      </c>
      <c r="G233" s="291" t="str">
        <f t="shared" si="21"/>
        <v/>
      </c>
      <c r="H233" s="292" t="str">
        <f t="shared" si="21"/>
        <v/>
      </c>
      <c r="I233" s="293" t="str">
        <f>IF(U190="","",IF(AND(U190&gt;=X190,U190&lt;=Y190),"Pass","Fail"))</f>
        <v/>
      </c>
      <c r="J233" s="74"/>
      <c r="M233" s="117"/>
      <c r="O233" s="77"/>
      <c r="P233" s="118" t="str">
        <f>IF(AK16="","",AK16)</f>
        <v>Mo</v>
      </c>
      <c r="Q233" s="118" t="str">
        <f>IF(AL16="","",AL16)</f>
        <v>Mo</v>
      </c>
      <c r="R233" s="118">
        <f>IF(AH16="","",AH16)</f>
        <v>28</v>
      </c>
      <c r="S233" s="118">
        <f>IF(AI16="","",AI16)</f>
        <v>50</v>
      </c>
      <c r="T233" s="120" t="str">
        <f>IF(AM15="","",AVERAGE(AM15:AM19))</f>
        <v/>
      </c>
      <c r="U233" s="119" t="str">
        <f>IF(AN16="","",AN16)</f>
        <v/>
      </c>
      <c r="V233" s="120" t="str">
        <f>IF(AO16="","",AO16)</f>
        <v/>
      </c>
      <c r="W233" s="280" t="str">
        <f t="shared" si="22"/>
        <v/>
      </c>
      <c r="X233" s="120" t="str">
        <f t="shared" si="23"/>
        <v/>
      </c>
      <c r="Y233" s="79"/>
    </row>
    <row r="234" spans="1:27" ht="14.1" customHeight="1" x14ac:dyDescent="0.2">
      <c r="A234" s="63">
        <v>30</v>
      </c>
      <c r="B234" s="115"/>
      <c r="D234" s="167" t="s">
        <v>284</v>
      </c>
      <c r="E234" s="221" t="s">
        <v>349</v>
      </c>
      <c r="M234" s="117"/>
      <c r="O234" s="77"/>
      <c r="P234" s="118" t="str">
        <f>IF(AK22="","",AK22)</f>
        <v>Mo</v>
      </c>
      <c r="Q234" s="118" t="str">
        <f>IF(AL22="","",AL22)</f>
        <v>Mo</v>
      </c>
      <c r="R234" s="118">
        <f>IF(AH22="","",AH22)</f>
        <v>30</v>
      </c>
      <c r="S234" s="118">
        <f>IF(AI22="","",AI22)</f>
        <v>50</v>
      </c>
      <c r="T234" s="120" t="str">
        <f>IF(AM22="","",AM22)</f>
        <v/>
      </c>
      <c r="U234" s="119" t="str">
        <f>IF(AN22="","",AN22)</f>
        <v/>
      </c>
      <c r="V234" s="120" t="str">
        <f>IF(AO22="","",AO22)</f>
        <v/>
      </c>
      <c r="W234" s="280" t="str">
        <f t="shared" si="22"/>
        <v/>
      </c>
      <c r="X234" s="120" t="str">
        <f t="shared" si="23"/>
        <v/>
      </c>
      <c r="Y234" s="79"/>
    </row>
    <row r="235" spans="1:27" ht="14.1" customHeight="1" x14ac:dyDescent="0.2">
      <c r="A235" s="63">
        <v>31</v>
      </c>
      <c r="B235" s="217"/>
      <c r="C235" s="89"/>
      <c r="D235" s="89"/>
      <c r="E235" s="89"/>
      <c r="F235" s="89"/>
      <c r="G235" s="89"/>
      <c r="H235" s="89"/>
      <c r="I235" s="89"/>
      <c r="J235" s="89"/>
      <c r="K235" s="89"/>
      <c r="L235" s="89"/>
      <c r="M235" s="218"/>
      <c r="O235" s="77"/>
      <c r="P235" s="118" t="str">
        <f>IF(AK23="","",AK23)</f>
        <v>Mo</v>
      </c>
      <c r="Q235" s="118" t="str">
        <f>IF(AL23="","",AL23)</f>
        <v>Mo</v>
      </c>
      <c r="R235" s="118">
        <f>IF(AH23="","",AH23)</f>
        <v>32</v>
      </c>
      <c r="S235" s="118">
        <f>IF(AI23="","",AI23)</f>
        <v>50</v>
      </c>
      <c r="T235" s="120" t="str">
        <f>IF(AM23="","",AVERAGE(AM23:AM24))</f>
        <v/>
      </c>
      <c r="U235" s="119" t="str">
        <f>IF(AN23="","",AN23)</f>
        <v/>
      </c>
      <c r="V235" s="120" t="str">
        <f>IF(AO23="","",AO23)</f>
        <v/>
      </c>
      <c r="W235" s="280" t="str">
        <f t="shared" si="22"/>
        <v/>
      </c>
      <c r="X235" s="120" t="str">
        <f t="shared" si="23"/>
        <v/>
      </c>
      <c r="Y235" s="79"/>
    </row>
    <row r="236" spans="1:27" ht="14.1" customHeight="1" x14ac:dyDescent="0.2">
      <c r="A236" s="63">
        <v>32</v>
      </c>
      <c r="B236" s="115"/>
      <c r="C236" s="124" t="s">
        <v>351</v>
      </c>
      <c r="M236" s="117"/>
      <c r="O236" s="77"/>
      <c r="P236" s="118" t="str">
        <f>IF(AK25="","",AK25)</f>
        <v>Mo</v>
      </c>
      <c r="Q236" s="118" t="str">
        <f>IF(AL25="","",AL25)</f>
        <v>Mo</v>
      </c>
      <c r="R236" s="118">
        <f>IF(AH25="","",AH25)</f>
        <v>34</v>
      </c>
      <c r="S236" s="118">
        <f>IF(AI25="","",AI25)</f>
        <v>50</v>
      </c>
      <c r="T236" s="120" t="str">
        <f>IF(AM25="","",AVERAGE(AM25,AM26))</f>
        <v/>
      </c>
      <c r="U236" s="119" t="str">
        <f t="shared" ref="U236" si="24">IF(AN25="","",AVERAGE(AN25,AN26))</f>
        <v/>
      </c>
      <c r="V236" s="120" t="str">
        <f>IF(AO25="","",AVERAGE(AO25,AO26))</f>
        <v/>
      </c>
      <c r="W236" s="280" t="str">
        <f t="shared" si="22"/>
        <v/>
      </c>
      <c r="X236" s="120" t="str">
        <f t="shared" si="23"/>
        <v/>
      </c>
      <c r="Y236" s="79"/>
    </row>
    <row r="237" spans="1:27" ht="14.1" customHeight="1" x14ac:dyDescent="0.2">
      <c r="A237" s="63">
        <v>33</v>
      </c>
      <c r="B237" s="115"/>
      <c r="D237" s="83" t="s">
        <v>353</v>
      </c>
      <c r="E237" s="198" t="str">
        <f>IF(Q210="","",Q210)</f>
        <v/>
      </c>
      <c r="F237" s="83" t="s">
        <v>259</v>
      </c>
      <c r="G237" s="198">
        <f>IF(T210="","",T210)</f>
        <v>28</v>
      </c>
      <c r="M237" s="117"/>
      <c r="O237" s="294"/>
      <c r="P237" s="152"/>
      <c r="Q237" s="152"/>
      <c r="R237" s="152"/>
      <c r="S237" s="152"/>
      <c r="T237" s="154"/>
      <c r="U237" s="153"/>
      <c r="V237" s="154"/>
      <c r="W237" s="295"/>
      <c r="X237" s="154"/>
      <c r="Y237" s="79"/>
      <c r="AA237" s="296"/>
    </row>
    <row r="238" spans="1:27" ht="14.1" customHeight="1" x14ac:dyDescent="0.2">
      <c r="A238" s="63">
        <v>34</v>
      </c>
      <c r="B238" s="115"/>
      <c r="D238" s="83" t="s">
        <v>172</v>
      </c>
      <c r="E238" s="198" t="str">
        <f>IF(Q211="","",Q211)</f>
        <v>Mo/Mo</v>
      </c>
      <c r="F238" s="83" t="s">
        <v>262</v>
      </c>
      <c r="G238" s="198" t="str">
        <f>IF(T211="","",T211)</f>
        <v/>
      </c>
      <c r="M238" s="117"/>
      <c r="O238" s="77"/>
      <c r="P238" s="167" t="s">
        <v>284</v>
      </c>
      <c r="Q238" s="74" t="s">
        <v>378</v>
      </c>
      <c r="S238" s="83"/>
      <c r="T238" s="82"/>
      <c r="U238" s="82"/>
      <c r="V238" s="82"/>
      <c r="W238" s="82"/>
      <c r="X238" s="82"/>
      <c r="Y238" s="79"/>
      <c r="AA238" s="296"/>
    </row>
    <row r="239" spans="1:27" ht="14.1" customHeight="1" x14ac:dyDescent="0.2">
      <c r="A239" s="63">
        <v>35</v>
      </c>
      <c r="B239" s="115"/>
      <c r="G239" s="82" t="s">
        <v>329</v>
      </c>
      <c r="I239" s="67" t="s">
        <v>355</v>
      </c>
      <c r="M239" s="117"/>
      <c r="O239" s="191" t="s">
        <v>379</v>
      </c>
      <c r="P239" s="69"/>
      <c r="Q239" s="69"/>
      <c r="R239" s="69"/>
      <c r="S239" s="69"/>
      <c r="T239" s="69"/>
      <c r="U239" s="69"/>
      <c r="V239" s="69"/>
      <c r="W239" s="69"/>
      <c r="X239" s="69"/>
      <c r="Y239" s="70"/>
      <c r="AA239" s="296"/>
    </row>
    <row r="240" spans="1:27" ht="14.1" customHeight="1" x14ac:dyDescent="0.2">
      <c r="A240" s="63">
        <v>36</v>
      </c>
      <c r="B240" s="115"/>
      <c r="D240" s="82"/>
      <c r="E240" s="82" t="s">
        <v>149</v>
      </c>
      <c r="F240" s="82" t="s">
        <v>352</v>
      </c>
      <c r="G240" s="82" t="s">
        <v>332</v>
      </c>
      <c r="H240" s="82" t="s">
        <v>356</v>
      </c>
      <c r="I240" s="82" t="s">
        <v>357</v>
      </c>
      <c r="K240" s="83" t="s">
        <v>358</v>
      </c>
      <c r="L240" s="196" t="str">
        <f t="shared" ref="L240:L245" si="25">IF(X213="","",X213)</f>
        <v/>
      </c>
      <c r="M240" s="117"/>
      <c r="O240" s="77"/>
      <c r="S240" s="83"/>
      <c r="Y240" s="79"/>
      <c r="AA240" s="296"/>
    </row>
    <row r="241" spans="1:25" ht="14.1" customHeight="1" x14ac:dyDescent="0.2">
      <c r="A241" s="63">
        <v>37</v>
      </c>
      <c r="B241" s="115"/>
      <c r="E241" s="297" t="str">
        <f t="shared" ref="E241:I246" si="26">IF(Q214="","",Q214)</f>
        <v/>
      </c>
      <c r="F241" s="279" t="str">
        <f t="shared" si="26"/>
        <v/>
      </c>
      <c r="G241" s="279" t="str">
        <f t="shared" si="26"/>
        <v/>
      </c>
      <c r="H241" s="298" t="str">
        <f t="shared" si="26"/>
        <v/>
      </c>
      <c r="I241" s="244" t="str">
        <f t="shared" si="26"/>
        <v/>
      </c>
      <c r="K241" s="83" t="s">
        <v>359</v>
      </c>
      <c r="L241" s="197" t="str">
        <f t="shared" si="25"/>
        <v/>
      </c>
      <c r="M241" s="117"/>
      <c r="O241" s="77"/>
      <c r="S241" s="83"/>
      <c r="T241" s="446" t="s">
        <v>375</v>
      </c>
      <c r="U241" s="446"/>
      <c r="V241" s="446"/>
      <c r="W241" s="446"/>
      <c r="X241" s="446"/>
      <c r="Y241" s="79"/>
    </row>
    <row r="242" spans="1:25" ht="14.1" customHeight="1" x14ac:dyDescent="0.2">
      <c r="A242" s="63">
        <v>38</v>
      </c>
      <c r="B242" s="115"/>
      <c r="E242" s="299" t="str">
        <f t="shared" si="26"/>
        <v/>
      </c>
      <c r="F242" s="118" t="str">
        <f t="shared" si="26"/>
        <v/>
      </c>
      <c r="G242" s="118" t="str">
        <f t="shared" si="26"/>
        <v/>
      </c>
      <c r="H242" s="280" t="str">
        <f t="shared" si="26"/>
        <v/>
      </c>
      <c r="I242" s="247" t="str">
        <f t="shared" si="26"/>
        <v/>
      </c>
      <c r="K242" s="83" t="s">
        <v>360</v>
      </c>
      <c r="L242" s="300" t="e">
        <f t="shared" si="25"/>
        <v>#N/A</v>
      </c>
      <c r="M242" s="117"/>
      <c r="O242" s="77"/>
      <c r="P242" s="82" t="s">
        <v>129</v>
      </c>
      <c r="Q242" s="82" t="s">
        <v>104</v>
      </c>
      <c r="R242" s="82" t="s">
        <v>320</v>
      </c>
      <c r="S242" s="82" t="s">
        <v>149</v>
      </c>
      <c r="T242" s="82" t="s">
        <v>105</v>
      </c>
      <c r="U242" s="82" t="s">
        <v>106</v>
      </c>
      <c r="V242" s="82" t="s">
        <v>107</v>
      </c>
      <c r="W242" s="82" t="s">
        <v>376</v>
      </c>
      <c r="X242" s="82" t="s">
        <v>377</v>
      </c>
      <c r="Y242" s="79"/>
    </row>
    <row r="243" spans="1:25" ht="14.1" customHeight="1" x14ac:dyDescent="0.2">
      <c r="A243" s="63">
        <v>39</v>
      </c>
      <c r="B243" s="115"/>
      <c r="E243" s="299" t="str">
        <f t="shared" si="26"/>
        <v/>
      </c>
      <c r="F243" s="118" t="str">
        <f t="shared" si="26"/>
        <v/>
      </c>
      <c r="G243" s="118" t="str">
        <f t="shared" si="26"/>
        <v/>
      </c>
      <c r="H243" s="280" t="str">
        <f t="shared" si="26"/>
        <v/>
      </c>
      <c r="I243" s="247" t="str">
        <f t="shared" si="26"/>
        <v/>
      </c>
      <c r="K243" s="83" t="s">
        <v>361</v>
      </c>
      <c r="L243" s="197" t="e">
        <f t="shared" si="25"/>
        <v>#N/A</v>
      </c>
      <c r="M243" s="117"/>
      <c r="O243" s="77"/>
      <c r="P243" s="118" t="str">
        <f>IF($AK$16="","",$AK$16)</f>
        <v>Mo</v>
      </c>
      <c r="Q243" s="118" t="str">
        <f>IF($AL$16="","",$AL$16)</f>
        <v>Mo</v>
      </c>
      <c r="R243" s="118">
        <f t="shared" ref="R243:S246" si="27">IF(AH16="","",AH16)</f>
        <v>28</v>
      </c>
      <c r="S243" s="118">
        <f t="shared" si="27"/>
        <v>50</v>
      </c>
      <c r="T243" s="120" t="str">
        <f t="shared" ref="T243:V246" si="28">IF(AM16="","",AM16)</f>
        <v/>
      </c>
      <c r="U243" s="119" t="str">
        <f t="shared" si="28"/>
        <v/>
      </c>
      <c r="V243" s="120" t="str">
        <f t="shared" si="28"/>
        <v/>
      </c>
      <c r="W243" s="280" t="str">
        <f>IF(V243="","",V243/S243)</f>
        <v/>
      </c>
      <c r="X243" s="120" t="str">
        <f>IF(OR(V243="",U243=""),"",V243/(U243/1000))</f>
        <v/>
      </c>
      <c r="Y243" s="79"/>
    </row>
    <row r="244" spans="1:25" ht="14.1" customHeight="1" x14ac:dyDescent="0.2">
      <c r="A244" s="63">
        <v>40</v>
      </c>
      <c r="B244" s="115"/>
      <c r="E244" s="301" t="str">
        <f t="shared" si="26"/>
        <v/>
      </c>
      <c r="F244" s="291" t="str">
        <f t="shared" si="26"/>
        <v/>
      </c>
      <c r="G244" s="291" t="str">
        <f t="shared" si="26"/>
        <v/>
      </c>
      <c r="H244" s="302" t="str">
        <f t="shared" si="26"/>
        <v/>
      </c>
      <c r="I244" s="260" t="str">
        <f t="shared" si="26"/>
        <v/>
      </c>
      <c r="K244" s="83" t="s">
        <v>362</v>
      </c>
      <c r="L244" s="197" t="str">
        <f t="shared" si="25"/>
        <v/>
      </c>
      <c r="M244" s="117"/>
      <c r="O244" s="77"/>
      <c r="P244" s="118" t="str">
        <f>IF($AK$16="","",$AK$16)</f>
        <v>Mo</v>
      </c>
      <c r="Q244" s="118" t="str">
        <f>IF($AL$16="","",$AL$16)</f>
        <v>Mo</v>
      </c>
      <c r="R244" s="118">
        <f t="shared" si="27"/>
        <v>28</v>
      </c>
      <c r="S244" s="118">
        <f t="shared" si="27"/>
        <v>50</v>
      </c>
      <c r="T244" s="120" t="str">
        <f t="shared" si="28"/>
        <v/>
      </c>
      <c r="U244" s="119" t="str">
        <f t="shared" si="28"/>
        <v/>
      </c>
      <c r="V244" s="120" t="str">
        <f t="shared" si="28"/>
        <v/>
      </c>
      <c r="W244" s="280" t="str">
        <f>IF(V244="","",V244/S244)</f>
        <v/>
      </c>
      <c r="X244" s="120" t="str">
        <f>IF(OR(V244="",U244=""),"",V244/(U244/1000))</f>
        <v/>
      </c>
      <c r="Y244" s="79"/>
    </row>
    <row r="245" spans="1:25" ht="14.1" customHeight="1" x14ac:dyDescent="0.2">
      <c r="A245" s="63">
        <v>41</v>
      </c>
      <c r="B245" s="115"/>
      <c r="D245" s="83" t="s">
        <v>271</v>
      </c>
      <c r="E245" s="299" t="str">
        <f t="shared" si="26"/>
        <v/>
      </c>
      <c r="F245" s="118" t="str">
        <f t="shared" si="26"/>
        <v/>
      </c>
      <c r="G245" s="120" t="str">
        <f t="shared" si="26"/>
        <v/>
      </c>
      <c r="H245" s="280" t="str">
        <f t="shared" si="26"/>
        <v/>
      </c>
      <c r="I245" s="247" t="str">
        <f t="shared" si="26"/>
        <v/>
      </c>
      <c r="K245" s="83" t="s">
        <v>363</v>
      </c>
      <c r="L245" s="303" t="e">
        <f t="shared" si="25"/>
        <v>#N/A</v>
      </c>
      <c r="M245" s="117"/>
      <c r="O245" s="77"/>
      <c r="P245" s="118" t="str">
        <f>IF($AK$16="","",$AK$16)</f>
        <v>Mo</v>
      </c>
      <c r="Q245" s="118" t="str">
        <f>IF($AL$16="","",$AL$16)</f>
        <v>Mo</v>
      </c>
      <c r="R245" s="118">
        <f t="shared" si="27"/>
        <v>28</v>
      </c>
      <c r="S245" s="118">
        <f t="shared" si="27"/>
        <v>50</v>
      </c>
      <c r="T245" s="120" t="str">
        <f t="shared" si="28"/>
        <v/>
      </c>
      <c r="U245" s="119" t="str">
        <f t="shared" si="28"/>
        <v/>
      </c>
      <c r="V245" s="120" t="str">
        <f t="shared" si="28"/>
        <v/>
      </c>
      <c r="W245" s="280" t="str">
        <f>IF(V245="","",V245/S245)</f>
        <v/>
      </c>
      <c r="X245" s="120" t="str">
        <f>IF(OR(V245="",U245=""),"",V245/(U245/1000))</f>
        <v/>
      </c>
      <c r="Y245" s="79"/>
    </row>
    <row r="246" spans="1:25" ht="14.1" customHeight="1" thickBot="1" x14ac:dyDescent="0.25">
      <c r="A246" s="63">
        <v>42</v>
      </c>
      <c r="B246" s="115"/>
      <c r="D246" s="83" t="s">
        <v>364</v>
      </c>
      <c r="E246" s="304" t="str">
        <f t="shared" si="26"/>
        <v/>
      </c>
      <c r="F246" s="305" t="str">
        <f t="shared" si="26"/>
        <v/>
      </c>
      <c r="G246" s="305" t="str">
        <f t="shared" si="26"/>
        <v/>
      </c>
      <c r="H246" s="305" t="str">
        <f t="shared" si="26"/>
        <v/>
      </c>
      <c r="I246" s="306" t="str">
        <f t="shared" si="26"/>
        <v/>
      </c>
      <c r="M246" s="117"/>
      <c r="O246" s="77"/>
      <c r="P246" s="118" t="str">
        <f>IF($AK$16="","",$AK$16)</f>
        <v>Mo</v>
      </c>
      <c r="Q246" s="118" t="str">
        <f>IF($AL$16="","",$AL$16)</f>
        <v>Mo</v>
      </c>
      <c r="R246" s="118">
        <f t="shared" si="27"/>
        <v>28</v>
      </c>
      <c r="S246" s="118">
        <f t="shared" si="27"/>
        <v>50</v>
      </c>
      <c r="T246" s="120" t="str">
        <f t="shared" si="28"/>
        <v/>
      </c>
      <c r="U246" s="119" t="str">
        <f t="shared" si="28"/>
        <v/>
      </c>
      <c r="V246" s="120" t="str">
        <f t="shared" si="28"/>
        <v/>
      </c>
      <c r="W246" s="280" t="str">
        <f>IF(V246="","",V246/S246)</f>
        <v/>
      </c>
      <c r="X246" s="120" t="str">
        <f>IF(OR(V246="",U246=""),"",V246/(U246/1000))</f>
        <v/>
      </c>
      <c r="Y246" s="79"/>
    </row>
    <row r="247" spans="1:25" ht="14.1" customHeight="1" x14ac:dyDescent="0.2">
      <c r="A247" s="63">
        <v>43</v>
      </c>
      <c r="B247" s="115"/>
      <c r="D247" s="167" t="s">
        <v>284</v>
      </c>
      <c r="E247" s="74" t="s">
        <v>365</v>
      </c>
      <c r="K247" s="83" t="s">
        <v>366</v>
      </c>
      <c r="L247" s="284" t="e">
        <f>IF(X221="","",X221)</f>
        <v>#N/A</v>
      </c>
      <c r="M247" s="117"/>
      <c r="O247" s="77"/>
      <c r="S247" s="83" t="s">
        <v>290</v>
      </c>
      <c r="T247" s="120" t="str">
        <f>IF(OR(T243="",T244="",T245="",T246=""),"",AVERAGE(T243:T246))</f>
        <v/>
      </c>
      <c r="U247" s="119" t="str">
        <f>IF(OR(U243="",U244="",U245="",U246=""),"",AVERAGE(U243:U246))</f>
        <v/>
      </c>
      <c r="V247" s="120" t="str">
        <f>IF(OR(V243="",V244="",V245="",V246=""),"",AVERAGE(V243:V246))</f>
        <v/>
      </c>
      <c r="W247" s="280" t="str">
        <f>IF(OR(W243="",W244="",W245="",W246=""),"",AVERAGE(W243:W246))</f>
        <v/>
      </c>
      <c r="X247" s="120" t="str">
        <f>IF(OR(X243="",X244="",X245="",X246=""),"",AVERAGE(X243:X246))</f>
        <v/>
      </c>
      <c r="Y247" s="79"/>
    </row>
    <row r="248" spans="1:25" ht="14.1" customHeight="1" x14ac:dyDescent="0.2">
      <c r="A248" s="63">
        <v>44</v>
      </c>
      <c r="B248" s="115"/>
      <c r="E248" s="74" t="s">
        <v>367</v>
      </c>
      <c r="K248" s="83" t="s">
        <v>368</v>
      </c>
      <c r="L248" s="281" t="e">
        <f>IF(X222="","",X222)</f>
        <v>#N/A</v>
      </c>
      <c r="M248" s="117"/>
      <c r="O248" s="193"/>
      <c r="S248" s="83" t="s">
        <v>380</v>
      </c>
      <c r="T248" s="120" t="str">
        <f>IF(OR(T243="",T244="",T245="",T246=""),"",STDEV(T243:T246))</f>
        <v/>
      </c>
      <c r="U248" s="120" t="str">
        <f>IF(OR(U243="",U244="",U245="",U246=""),"",STDEV(U243:U246))</f>
        <v/>
      </c>
      <c r="V248" s="120" t="str">
        <f>IF(OR(V243="",V244="",V245="",V246=""),"",STDEV(V243:V246))</f>
        <v/>
      </c>
      <c r="W248" s="120" t="str">
        <f>IF(OR(W243="",W244="",W245="",W246=""),"",STDEV(W243:W246))</f>
        <v/>
      </c>
      <c r="X248" s="120" t="str">
        <f>IF(OR(X243="",X244="",X245="",X246=""),"",STDEV(X243:X246))</f>
        <v/>
      </c>
      <c r="Y248" s="79"/>
    </row>
    <row r="249" spans="1:25" ht="14.1" customHeight="1" thickBot="1" x14ac:dyDescent="0.25">
      <c r="A249" s="63">
        <v>45</v>
      </c>
      <c r="B249" s="217"/>
      <c r="C249" s="89"/>
      <c r="D249" s="89"/>
      <c r="E249" s="89"/>
      <c r="F249" s="89"/>
      <c r="G249" s="89"/>
      <c r="H249" s="89"/>
      <c r="I249" s="89"/>
      <c r="J249" s="89"/>
      <c r="K249" s="89"/>
      <c r="L249" s="89"/>
      <c r="M249" s="218"/>
      <c r="O249" s="77"/>
      <c r="S249" s="83" t="s">
        <v>364</v>
      </c>
      <c r="T249" s="235" t="str">
        <f>IF(OR(T247="",T248=""),"",T248/T247)</f>
        <v/>
      </c>
      <c r="U249" s="235" t="str">
        <f>IF(OR(U247="",U248=""),"",U248/U247)</f>
        <v/>
      </c>
      <c r="V249" s="235" t="str">
        <f>IF(OR(V247="",V248=""),"",V248/V247)</f>
        <v/>
      </c>
      <c r="W249" s="235" t="str">
        <f>IF(OR(W247="",W248=""),"",W248/W247)</f>
        <v/>
      </c>
      <c r="X249" s="235" t="str">
        <f>IF(OR(X247="",X248=""),"",X248/X247)</f>
        <v/>
      </c>
      <c r="Y249" s="79"/>
    </row>
    <row r="250" spans="1:25" ht="14.1" customHeight="1" x14ac:dyDescent="0.2">
      <c r="A250" s="63">
        <v>46</v>
      </c>
      <c r="B250" s="115"/>
      <c r="C250" s="124" t="s">
        <v>381</v>
      </c>
      <c r="M250" s="117"/>
      <c r="O250" s="77"/>
      <c r="S250" s="83" t="s">
        <v>322</v>
      </c>
      <c r="T250" s="152"/>
      <c r="U250" s="152"/>
      <c r="V250" s="152"/>
      <c r="W250" s="358" t="str">
        <f>IF(AB86="","",AB86)</f>
        <v/>
      </c>
      <c r="X250" s="359" t="str">
        <f>IF(AB87="","",AB87)</f>
        <v/>
      </c>
      <c r="Y250" s="79"/>
    </row>
    <row r="251" spans="1:25" ht="14.1" customHeight="1" thickBot="1" x14ac:dyDescent="0.25">
      <c r="A251" s="63">
        <v>47</v>
      </c>
      <c r="B251" s="115"/>
      <c r="D251" s="83" t="s">
        <v>259</v>
      </c>
      <c r="E251" s="195"/>
      <c r="H251" s="67" t="s">
        <v>382</v>
      </c>
      <c r="I251" s="67" t="s">
        <v>383</v>
      </c>
      <c r="J251" s="67" t="s">
        <v>337</v>
      </c>
      <c r="K251" s="67" t="s">
        <v>370</v>
      </c>
      <c r="M251" s="117"/>
      <c r="O251" s="77"/>
      <c r="P251" s="167" t="s">
        <v>284</v>
      </c>
      <c r="Q251" s="74" t="s">
        <v>384</v>
      </c>
      <c r="Y251" s="79"/>
    </row>
    <row r="252" spans="1:25" ht="14.1" customHeight="1" thickBot="1" x14ac:dyDescent="0.25">
      <c r="A252" s="63">
        <v>48</v>
      </c>
      <c r="B252" s="115"/>
      <c r="D252" s="83" t="s">
        <v>262</v>
      </c>
      <c r="E252" s="357"/>
      <c r="G252" s="83" t="s">
        <v>385</v>
      </c>
      <c r="H252" s="307"/>
      <c r="I252" s="118"/>
      <c r="J252" s="235"/>
      <c r="K252" s="308"/>
      <c r="M252" s="117"/>
      <c r="O252" s="77"/>
      <c r="Q252" s="74" t="s">
        <v>386</v>
      </c>
      <c r="Y252" s="79"/>
    </row>
    <row r="253" spans="1:25" ht="14.1" customHeight="1" thickBot="1" x14ac:dyDescent="0.25">
      <c r="A253" s="63">
        <v>49</v>
      </c>
      <c r="B253" s="115"/>
      <c r="D253" s="83" t="s">
        <v>129</v>
      </c>
      <c r="E253" s="357"/>
      <c r="G253" s="83" t="s">
        <v>387</v>
      </c>
      <c r="H253" s="307"/>
      <c r="I253" s="118"/>
      <c r="J253" s="235"/>
      <c r="K253" s="118"/>
      <c r="M253" s="117"/>
      <c r="O253" s="88"/>
      <c r="P253" s="89"/>
      <c r="Q253" s="240"/>
      <c r="R253" s="89"/>
      <c r="S253" s="89"/>
      <c r="T253" s="89"/>
      <c r="U253" s="89"/>
      <c r="V253" s="89"/>
      <c r="W253" s="89"/>
      <c r="X253" s="89"/>
      <c r="Y253" s="90"/>
    </row>
    <row r="254" spans="1:25" ht="14.1" customHeight="1" x14ac:dyDescent="0.2">
      <c r="A254" s="63">
        <v>50</v>
      </c>
      <c r="B254" s="115"/>
      <c r="D254" s="83" t="s">
        <v>132</v>
      </c>
      <c r="E254" s="357"/>
      <c r="M254" s="117"/>
      <c r="O254" s="191" t="s">
        <v>388</v>
      </c>
      <c r="P254" s="69"/>
      <c r="Q254" s="69"/>
      <c r="R254" s="69"/>
      <c r="S254" s="69"/>
      <c r="T254" s="69"/>
      <c r="U254" s="69"/>
      <c r="V254" s="69"/>
      <c r="W254" s="69"/>
      <c r="X254" s="69"/>
      <c r="Y254" s="70"/>
    </row>
    <row r="255" spans="1:25" ht="14.1" customHeight="1" x14ac:dyDescent="0.2">
      <c r="A255" s="63">
        <v>51</v>
      </c>
      <c r="B255" s="115"/>
      <c r="D255" s="167" t="s">
        <v>284</v>
      </c>
      <c r="E255" s="221" t="s">
        <v>389</v>
      </c>
      <c r="M255" s="117"/>
      <c r="O255" s="77"/>
      <c r="T255" s="446" t="s">
        <v>375</v>
      </c>
      <c r="U255" s="446"/>
      <c r="V255" s="446"/>
      <c r="W255" s="446"/>
      <c r="X255" s="446"/>
      <c r="Y255" s="79"/>
    </row>
    <row r="256" spans="1:25" ht="14.1" customHeight="1" x14ac:dyDescent="0.2">
      <c r="A256" s="63">
        <v>52</v>
      </c>
      <c r="B256" s="115"/>
      <c r="E256" s="74" t="s">
        <v>390</v>
      </c>
      <c r="M256" s="117"/>
      <c r="O256" s="77"/>
      <c r="P256" s="82" t="s">
        <v>129</v>
      </c>
      <c r="Q256" s="82" t="s">
        <v>104</v>
      </c>
      <c r="R256" s="82" t="s">
        <v>320</v>
      </c>
      <c r="S256" s="82" t="s">
        <v>149</v>
      </c>
      <c r="T256" s="82" t="s">
        <v>105</v>
      </c>
      <c r="U256" s="82" t="s">
        <v>106</v>
      </c>
      <c r="V256" s="82" t="s">
        <v>107</v>
      </c>
      <c r="W256" s="82" t="s">
        <v>376</v>
      </c>
      <c r="X256" s="82" t="s">
        <v>377</v>
      </c>
      <c r="Y256" s="79"/>
    </row>
    <row r="257" spans="1:25" ht="14.1" customHeight="1" x14ac:dyDescent="0.2">
      <c r="A257" s="63">
        <v>53</v>
      </c>
      <c r="B257" s="217"/>
      <c r="C257" s="89"/>
      <c r="D257" s="89"/>
      <c r="E257" s="89"/>
      <c r="F257" s="89"/>
      <c r="G257" s="89"/>
      <c r="H257" s="89"/>
      <c r="I257" s="89"/>
      <c r="J257" s="89"/>
      <c r="K257" s="89"/>
      <c r="L257" s="89"/>
      <c r="M257" s="218"/>
      <c r="O257" s="77"/>
      <c r="P257" s="118" t="str">
        <f>IF(AK15="","",AK15)</f>
        <v>Mo</v>
      </c>
      <c r="Q257" s="118" t="str">
        <f>IF(AL15="","",AL15)</f>
        <v>Mo</v>
      </c>
      <c r="R257" s="118">
        <f>IF(AH15="","",AH15)</f>
        <v>28</v>
      </c>
      <c r="S257" s="118">
        <f>IF(AI15="","",AI15)</f>
        <v>20</v>
      </c>
      <c r="T257" s="120" t="str">
        <f>IF(AM15="","",AM15)</f>
        <v/>
      </c>
      <c r="U257" s="120" t="str">
        <f>IF(AN15="","",AN15)</f>
        <v/>
      </c>
      <c r="V257" s="120" t="str">
        <f>IF(AO15="","",AO15)</f>
        <v/>
      </c>
      <c r="W257" s="280" t="str">
        <f>IF(V257="","",V257/S257)</f>
        <v/>
      </c>
      <c r="X257" s="120" t="str">
        <f>IF(OR(V257="",U257=""),"",V257/(U257/1000))</f>
        <v/>
      </c>
      <c r="Y257" s="79"/>
    </row>
    <row r="258" spans="1:25" ht="14.1" customHeight="1" x14ac:dyDescent="0.2">
      <c r="A258" s="63">
        <v>54</v>
      </c>
      <c r="B258" s="115"/>
      <c r="C258" s="124" t="s">
        <v>391</v>
      </c>
      <c r="M258" s="117"/>
      <c r="O258" s="77"/>
      <c r="P258" s="118" t="str">
        <f>IF(AK16="","",AK16)</f>
        <v>Mo</v>
      </c>
      <c r="Q258" s="118" t="str">
        <f>IF(AL16="","",AL16)</f>
        <v>Mo</v>
      </c>
      <c r="R258" s="118">
        <f>IF(AH16="","",AH16)</f>
        <v>28</v>
      </c>
      <c r="S258" s="118">
        <f>IF(AI16="","",AI16)</f>
        <v>50</v>
      </c>
      <c r="T258" s="120" t="str">
        <f>T247</f>
        <v/>
      </c>
      <c r="U258" s="120" t="str">
        <f>U247</f>
        <v/>
      </c>
      <c r="V258" s="120" t="str">
        <f>V247</f>
        <v/>
      </c>
      <c r="W258" s="280" t="str">
        <f>W247</f>
        <v/>
      </c>
      <c r="X258" s="120" t="str">
        <f>X247</f>
        <v/>
      </c>
      <c r="Y258" s="79"/>
    </row>
    <row r="259" spans="1:25" ht="14.1" customHeight="1" x14ac:dyDescent="0.2">
      <c r="A259" s="63">
        <v>55</v>
      </c>
      <c r="B259" s="115"/>
      <c r="D259" s="448"/>
      <c r="E259" s="448"/>
      <c r="F259" s="74"/>
      <c r="G259" s="74"/>
      <c r="H259" s="74"/>
      <c r="K259" s="74"/>
      <c r="L259" s="449"/>
      <c r="M259" s="449"/>
      <c r="O259" s="77"/>
      <c r="P259" s="118" t="str">
        <f>IF(AK20="","",AK20)</f>
        <v>Mo</v>
      </c>
      <c r="Q259" s="118" t="str">
        <f>IF(AL20="","",AL20)</f>
        <v>Mo</v>
      </c>
      <c r="R259" s="118">
        <f>IF(AH20="","",AH20)</f>
        <v>28</v>
      </c>
      <c r="S259" s="118">
        <f>IF(AI20="","",AI20)</f>
        <v>100</v>
      </c>
      <c r="T259" s="120" t="str">
        <f t="shared" ref="T259:V260" si="29">IF(AM20="","",AM20)</f>
        <v/>
      </c>
      <c r="U259" s="120" t="str">
        <f t="shared" si="29"/>
        <v/>
      </c>
      <c r="V259" s="120" t="str">
        <f t="shared" si="29"/>
        <v/>
      </c>
      <c r="W259" s="280" t="str">
        <f>IF(V259="","",V259/S259)</f>
        <v/>
      </c>
      <c r="X259" s="120" t="str">
        <f>IF(OR(V259="",U259=""),"",V259/(U259/1000))</f>
        <v/>
      </c>
      <c r="Y259" s="79"/>
    </row>
    <row r="260" spans="1:25" ht="14.1" customHeight="1" x14ac:dyDescent="0.2">
      <c r="A260" s="63">
        <v>56</v>
      </c>
      <c r="B260" s="115"/>
      <c r="C260" s="74"/>
      <c r="D260" s="74"/>
      <c r="E260" s="448" t="s">
        <v>392</v>
      </c>
      <c r="F260" s="448"/>
      <c r="G260" s="74"/>
      <c r="H260" s="74"/>
      <c r="I260" s="82"/>
      <c r="K260" s="74"/>
      <c r="L260" s="82"/>
      <c r="M260" s="309"/>
      <c r="O260" s="77"/>
      <c r="P260" s="118" t="str">
        <f>IF(AK21="","",AK21)</f>
        <v>Mo</v>
      </c>
      <c r="Q260" s="118" t="str">
        <f>IF(AL21="","",AL21)</f>
        <v>Mo</v>
      </c>
      <c r="R260" s="118">
        <f>IF(AH21="","",AH21)</f>
        <v>28</v>
      </c>
      <c r="S260" s="118">
        <f>IF(AI21="","",AI21)</f>
        <v>300</v>
      </c>
      <c r="T260" s="120" t="str">
        <f t="shared" si="29"/>
        <v/>
      </c>
      <c r="U260" s="120" t="str">
        <f t="shared" si="29"/>
        <v/>
      </c>
      <c r="V260" s="120" t="str">
        <f t="shared" si="29"/>
        <v/>
      </c>
      <c r="W260" s="280" t="str">
        <f>IF(V260="","",V260/S260)</f>
        <v/>
      </c>
      <c r="X260" s="120" t="str">
        <f>IF(OR(V260="",U260=""),"",V260/(U260/1000))</f>
        <v/>
      </c>
      <c r="Y260" s="79"/>
    </row>
    <row r="261" spans="1:25" ht="14.1" customHeight="1" thickBot="1" x14ac:dyDescent="0.25">
      <c r="A261" s="63">
        <v>57</v>
      </c>
      <c r="B261" s="115"/>
      <c r="C261" s="74"/>
      <c r="E261" s="82" t="s">
        <v>393</v>
      </c>
      <c r="F261" s="74"/>
      <c r="G261" s="74"/>
      <c r="H261" s="74"/>
      <c r="I261" s="152"/>
      <c r="K261" s="74"/>
      <c r="L261" s="83"/>
      <c r="M261" s="310"/>
      <c r="O261" s="77"/>
      <c r="P261" s="167" t="s">
        <v>284</v>
      </c>
      <c r="Q261" s="74" t="s">
        <v>394</v>
      </c>
      <c r="V261" s="83" t="s">
        <v>395</v>
      </c>
      <c r="W261" s="235" t="str">
        <f>IF(OR(W257="",W258="",W259="",W260=""),"",(MAX(W257:W260)-MIN(W257:W260))/(MAX(W257:W260)+MIN(W257:W260)))</f>
        <v/>
      </c>
      <c r="Y261" s="79"/>
    </row>
    <row r="262" spans="1:25" ht="14.1" customHeight="1" x14ac:dyDescent="0.2">
      <c r="A262" s="63">
        <v>58</v>
      </c>
      <c r="B262" s="115"/>
      <c r="C262" s="74"/>
      <c r="D262" s="83" t="s">
        <v>259</v>
      </c>
      <c r="E262" s="226">
        <f t="shared" ref="E262:E267" si="30">IF(Q285="","",Q285)</f>
        <v>28</v>
      </c>
      <c r="F262" s="74"/>
      <c r="G262" s="74"/>
      <c r="H262" s="74"/>
      <c r="I262" s="152"/>
      <c r="K262" s="83"/>
      <c r="L262" s="152"/>
      <c r="M262" s="309"/>
      <c r="O262" s="77"/>
      <c r="Y262" s="79"/>
    </row>
    <row r="263" spans="1:25" ht="14.1" customHeight="1" x14ac:dyDescent="0.2">
      <c r="A263" s="63">
        <v>59</v>
      </c>
      <c r="B263" s="115"/>
      <c r="C263" s="74"/>
      <c r="D263" s="83" t="s">
        <v>262</v>
      </c>
      <c r="E263" s="230">
        <f t="shared" si="30"/>
        <v>0</v>
      </c>
      <c r="F263" s="74"/>
      <c r="G263" s="74"/>
      <c r="H263" s="74"/>
      <c r="I263" s="152"/>
      <c r="K263" s="83"/>
      <c r="L263" s="152"/>
      <c r="M263" s="309"/>
      <c r="O263" s="159" t="str">
        <f>IF(U260="","",IF(U260/1000&gt;=3,1,2))</f>
        <v/>
      </c>
      <c r="P263" s="67" t="s">
        <v>396</v>
      </c>
      <c r="Y263" s="79"/>
    </row>
    <row r="264" spans="1:25" ht="14.1" customHeight="1" x14ac:dyDescent="0.2">
      <c r="A264" s="63">
        <v>60</v>
      </c>
      <c r="B264" s="115"/>
      <c r="C264" s="74"/>
      <c r="D264" s="83" t="s">
        <v>397</v>
      </c>
      <c r="E264" s="230">
        <f t="shared" si="30"/>
        <v>0</v>
      </c>
      <c r="F264" s="74"/>
      <c r="G264" s="74"/>
      <c r="H264" s="74"/>
      <c r="I264" s="152"/>
      <c r="K264" s="83"/>
      <c r="L264" s="152"/>
      <c r="M264" s="309"/>
      <c r="O264" s="88"/>
      <c r="P264" s="89"/>
      <c r="Q264" s="89"/>
      <c r="R264" s="89"/>
      <c r="S264" s="89"/>
      <c r="T264" s="89"/>
      <c r="U264" s="89"/>
      <c r="V264" s="89"/>
      <c r="W264" s="89"/>
      <c r="X264" s="89"/>
      <c r="Y264" s="90"/>
    </row>
    <row r="265" spans="1:25" ht="14.1" customHeight="1" x14ac:dyDescent="0.2">
      <c r="A265" s="63">
        <v>61</v>
      </c>
      <c r="B265" s="115"/>
      <c r="C265" s="74"/>
      <c r="D265" s="83" t="s">
        <v>264</v>
      </c>
      <c r="E265" s="230" t="str">
        <f t="shared" si="30"/>
        <v/>
      </c>
      <c r="F265" s="74"/>
      <c r="G265" s="74"/>
      <c r="H265" s="74"/>
      <c r="I265" s="152"/>
      <c r="K265" s="74"/>
      <c r="L265" s="83"/>
      <c r="M265" s="310"/>
      <c r="O265" s="191" t="s">
        <v>398</v>
      </c>
      <c r="P265" s="69"/>
      <c r="Q265" s="69"/>
      <c r="R265" s="69"/>
      <c r="S265" s="69"/>
      <c r="T265" s="69"/>
      <c r="U265" s="69"/>
      <c r="V265" s="69"/>
      <c r="W265" s="69"/>
      <c r="X265" s="69"/>
      <c r="Y265" s="70"/>
    </row>
    <row r="266" spans="1:25" ht="14.1" customHeight="1" x14ac:dyDescent="0.2">
      <c r="A266" s="63">
        <v>62</v>
      </c>
      <c r="B266" s="115"/>
      <c r="D266" s="83" t="s">
        <v>266</v>
      </c>
      <c r="E266" s="230" t="str">
        <f t="shared" si="30"/>
        <v/>
      </c>
      <c r="F266" s="74"/>
      <c r="G266" s="74"/>
      <c r="H266" s="74"/>
      <c r="I266" s="152"/>
      <c r="K266" s="83"/>
      <c r="L266" s="152"/>
      <c r="M266" s="309"/>
      <c r="O266" s="77"/>
      <c r="P266" s="311" t="s">
        <v>148</v>
      </c>
      <c r="Q266" s="311" t="str">
        <f>$P$230&amp;"/"&amp;$Q$230</f>
        <v>Mo/Mo</v>
      </c>
      <c r="R266" s="311" t="str">
        <f>$P$230&amp;"/"&amp;$Q$230</f>
        <v>Mo/Mo</v>
      </c>
      <c r="S266" s="311" t="str">
        <f>$P$230&amp;"/"&amp;$Q$230</f>
        <v>Mo/Mo</v>
      </c>
      <c r="T266" s="311" t="str">
        <f>$P$230&amp;"/"&amp;$Q$230</f>
        <v>Mo/Mo</v>
      </c>
      <c r="U266" s="311" t="str">
        <f>$P$230&amp;"/"&amp;$Q$230</f>
        <v>Mo/Mo</v>
      </c>
      <c r="V266" s="152"/>
      <c r="W266" s="152"/>
      <c r="X266" s="152"/>
      <c r="Y266" s="79"/>
    </row>
    <row r="267" spans="1:25" ht="14.1" customHeight="1" x14ac:dyDescent="0.2">
      <c r="A267" s="63">
        <v>63</v>
      </c>
      <c r="B267" s="115"/>
      <c r="D267" s="83" t="s">
        <v>268</v>
      </c>
      <c r="E267" s="312" t="str">
        <f t="shared" si="30"/>
        <v/>
      </c>
      <c r="K267" s="83"/>
      <c r="L267" s="152"/>
      <c r="M267" s="309"/>
      <c r="O267" s="77"/>
      <c r="P267" s="118" t="s">
        <v>320</v>
      </c>
      <c r="Q267" s="118">
        <v>24</v>
      </c>
      <c r="R267" s="118">
        <v>25</v>
      </c>
      <c r="S267" s="118">
        <v>28</v>
      </c>
      <c r="T267" s="118">
        <v>32</v>
      </c>
      <c r="U267" s="118">
        <v>34</v>
      </c>
      <c r="V267" s="152"/>
      <c r="W267" s="152"/>
      <c r="X267" s="152"/>
      <c r="Y267" s="79"/>
    </row>
    <row r="268" spans="1:25" ht="14.1" customHeight="1" thickBot="1" x14ac:dyDescent="0.25">
      <c r="A268" s="63">
        <v>64</v>
      </c>
      <c r="B268" s="73"/>
      <c r="C268" s="74"/>
      <c r="D268" s="74"/>
      <c r="E268" s="74"/>
      <c r="F268" s="74"/>
      <c r="G268" s="74"/>
      <c r="H268" s="74"/>
      <c r="I268" s="74"/>
      <c r="J268" s="74"/>
      <c r="K268" s="74"/>
      <c r="L268" s="74"/>
      <c r="M268" s="76"/>
      <c r="O268" s="77"/>
      <c r="P268" s="152" t="s">
        <v>399</v>
      </c>
      <c r="Q268" s="450" t="s">
        <v>400</v>
      </c>
      <c r="R268" s="450"/>
      <c r="S268" s="450"/>
      <c r="T268" s="450"/>
      <c r="U268" s="313"/>
      <c r="V268" s="313"/>
      <c r="W268" s="313"/>
      <c r="X268" s="313"/>
      <c r="Y268" s="79"/>
    </row>
    <row r="269" spans="1:25" ht="14.1" customHeight="1" x14ac:dyDescent="0.2">
      <c r="A269" s="63">
        <v>65</v>
      </c>
      <c r="B269" s="73"/>
      <c r="C269" s="74"/>
      <c r="D269" s="74"/>
      <c r="E269" s="74"/>
      <c r="F269" s="74"/>
      <c r="G269" s="74"/>
      <c r="H269" s="74"/>
      <c r="I269" s="74"/>
      <c r="J269" s="74"/>
      <c r="K269" s="74"/>
      <c r="L269" s="74"/>
      <c r="M269" s="76"/>
      <c r="O269" s="77"/>
      <c r="P269" s="297">
        <v>0</v>
      </c>
      <c r="Q269" s="314" t="str">
        <f>IF(AO10="","",AO10)</f>
        <v/>
      </c>
      <c r="R269" s="314" t="str">
        <f>IF(AO12="","",AO12)</f>
        <v/>
      </c>
      <c r="S269" s="314" t="str">
        <f>IF(AO17="","",AO17)</f>
        <v/>
      </c>
      <c r="T269" s="360" t="str">
        <f>IF(AO23="","",AO23)</f>
        <v/>
      </c>
      <c r="U269" s="360" t="str">
        <f>IF(AO25="","",AO25)</f>
        <v/>
      </c>
      <c r="V269" s="315"/>
      <c r="W269" s="315"/>
      <c r="X269" s="315"/>
      <c r="Y269" s="79"/>
    </row>
    <row r="270" spans="1:25" ht="14.1" customHeight="1" thickBot="1" x14ac:dyDescent="0.25">
      <c r="A270" s="63">
        <v>66</v>
      </c>
      <c r="B270" s="128"/>
      <c r="C270" s="129"/>
      <c r="D270" s="316"/>
      <c r="E270" s="317"/>
      <c r="F270" s="129"/>
      <c r="G270" s="129"/>
      <c r="H270" s="129"/>
      <c r="I270" s="129"/>
      <c r="J270" s="129"/>
      <c r="K270" s="316"/>
      <c r="L270" s="317"/>
      <c r="M270" s="318"/>
      <c r="O270" s="77"/>
      <c r="P270" s="299">
        <v>0.2</v>
      </c>
      <c r="Q270" s="319"/>
      <c r="R270" s="320"/>
      <c r="S270" s="320"/>
      <c r="T270" s="361"/>
      <c r="U270" s="361"/>
      <c r="V270" s="295"/>
      <c r="W270" s="295"/>
      <c r="X270" s="295"/>
      <c r="Y270" s="79"/>
    </row>
    <row r="271" spans="1:25" ht="14.1" customHeight="1" thickTop="1" x14ac:dyDescent="0.2">
      <c r="A271" s="63">
        <v>67</v>
      </c>
      <c r="C271" s="162" t="s">
        <v>91</v>
      </c>
      <c r="D271" s="163" t="str">
        <f>IF($P$7="","",$P$7)</f>
        <v/>
      </c>
      <c r="E271" s="74"/>
      <c r="F271" s="74"/>
      <c r="G271" s="74"/>
      <c r="H271" s="74"/>
      <c r="I271" s="74"/>
      <c r="J271" s="74"/>
      <c r="K271" s="74"/>
      <c r="L271" s="162" t="s">
        <v>92</v>
      </c>
      <c r="M271" s="164" t="str">
        <f>IF($X$7="","",$X$7)</f>
        <v>Eugene Mah</v>
      </c>
      <c r="O271" s="77"/>
      <c r="P271" s="299">
        <v>0.3</v>
      </c>
      <c r="Q271" s="319"/>
      <c r="R271" s="319"/>
      <c r="S271" s="319"/>
      <c r="T271" s="362"/>
      <c r="U271" s="362"/>
      <c r="V271" s="295"/>
      <c r="W271" s="295"/>
      <c r="X271" s="295"/>
      <c r="Y271" s="79"/>
    </row>
    <row r="272" spans="1:25" ht="14.1" customHeight="1" x14ac:dyDescent="0.2">
      <c r="A272" s="63">
        <v>68</v>
      </c>
      <c r="C272" s="162" t="s">
        <v>197</v>
      </c>
      <c r="D272" s="165" t="str">
        <f>IF($R$14="","",$R$14)</f>
        <v/>
      </c>
      <c r="E272" s="74"/>
      <c r="F272" s="74"/>
      <c r="G272" s="74"/>
      <c r="H272" s="74"/>
      <c r="I272" s="74"/>
      <c r="J272" s="74"/>
      <c r="K272" s="74"/>
      <c r="L272" s="162" t="s">
        <v>115</v>
      </c>
      <c r="M272" s="164" t="str">
        <f>IF($R$13="","",$R$13)</f>
        <v/>
      </c>
      <c r="O272" s="77"/>
      <c r="P272" s="299">
        <v>0.4</v>
      </c>
      <c r="Q272" s="320"/>
      <c r="R272" s="319"/>
      <c r="S272" s="319"/>
      <c r="T272" s="362"/>
      <c r="U272" s="362"/>
      <c r="V272" s="315"/>
      <c r="W272" s="315"/>
      <c r="X272" s="315"/>
      <c r="Y272" s="79"/>
    </row>
    <row r="273" spans="1:25" ht="14.1" customHeight="1" x14ac:dyDescent="0.2">
      <c r="A273" s="63">
        <v>1</v>
      </c>
      <c r="M273" s="166" t="str">
        <f>$H$2</f>
        <v>Medical University of South Carolina</v>
      </c>
      <c r="O273" s="77"/>
      <c r="P273" s="299">
        <v>0.5</v>
      </c>
      <c r="Q273" s="320"/>
      <c r="R273" s="320"/>
      <c r="S273" s="320"/>
      <c r="T273" s="361"/>
      <c r="U273" s="361"/>
      <c r="V273" s="315"/>
      <c r="W273" s="315"/>
      <c r="X273" s="315"/>
      <c r="Y273" s="79"/>
    </row>
    <row r="274" spans="1:25" ht="14.1" customHeight="1" thickBot="1" x14ac:dyDescent="0.25">
      <c r="A274" s="63">
        <v>2</v>
      </c>
      <c r="H274" s="99" t="s">
        <v>150</v>
      </c>
      <c r="M274" s="167" t="str">
        <f>$H$5</f>
        <v>Stereotactic Breast Biopsy System Compliance Inspection</v>
      </c>
      <c r="O274" s="77"/>
      <c r="P274" s="321">
        <v>0</v>
      </c>
      <c r="Q274" s="322" t="str">
        <f>IF(AO11="","",AO11)</f>
        <v/>
      </c>
      <c r="R274" s="322" t="str">
        <f>IF(AO13="","",AO13)</f>
        <v/>
      </c>
      <c r="S274" s="322" t="str">
        <f>IF(AO18="","",AO18)</f>
        <v/>
      </c>
      <c r="T274" s="363" t="str">
        <f>IF(AO24="","",AO24)</f>
        <v/>
      </c>
      <c r="U274" s="363" t="str">
        <f>IF(AO26="","",AO26)</f>
        <v/>
      </c>
      <c r="V274" s="315"/>
      <c r="W274" s="315"/>
      <c r="X274" s="315"/>
      <c r="Y274" s="79"/>
    </row>
    <row r="275" spans="1:25" ht="14.1" customHeight="1" thickTop="1" x14ac:dyDescent="0.2">
      <c r="A275" s="63">
        <v>3</v>
      </c>
      <c r="B275" s="106"/>
      <c r="C275" s="323" t="s">
        <v>371</v>
      </c>
      <c r="D275" s="324" t="str">
        <f>IF(P225="","",P225)</f>
        <v/>
      </c>
      <c r="E275" s="323" t="s">
        <v>401</v>
      </c>
      <c r="F275" s="324" t="str">
        <f>IF(P226="","",P226)</f>
        <v/>
      </c>
      <c r="G275" s="107"/>
      <c r="H275" s="323" t="s">
        <v>372</v>
      </c>
      <c r="I275" s="451" t="str">
        <f>IF(S225="","",S225)</f>
        <v/>
      </c>
      <c r="J275" s="451"/>
      <c r="K275" s="107"/>
      <c r="L275" s="107"/>
      <c r="M275" s="109"/>
      <c r="O275" s="77"/>
      <c r="P275" s="242" t="s">
        <v>402</v>
      </c>
      <c r="Q275" s="325" t="str">
        <f>IF(AQ10="","",AVERAGE(AQ10:AQ11))</f>
        <v/>
      </c>
      <c r="R275" s="325" t="str">
        <f>IF(AQ12="","",AVERAGE(AQ12:AQ13))</f>
        <v/>
      </c>
      <c r="S275" s="325" t="str">
        <f>IF(AQ15="","",AVERAGE(AQ15:AQ19))</f>
        <v/>
      </c>
      <c r="T275" s="244" t="str">
        <f>IF(AQ23="","",AVERAGE(AQ23:AQ24))</f>
        <v/>
      </c>
      <c r="U275" s="244" t="str">
        <f>IF(AQ25="","",AVERAGE(AQ25:AQ26))</f>
        <v/>
      </c>
      <c r="V275" s="154"/>
      <c r="W275" s="154"/>
      <c r="X275" s="154"/>
      <c r="Y275" s="79"/>
    </row>
    <row r="276" spans="1:25" ht="14.1" customHeight="1" thickBot="1" x14ac:dyDescent="0.25">
      <c r="A276" s="63">
        <v>4</v>
      </c>
      <c r="B276" s="115"/>
      <c r="C276" s="74"/>
      <c r="D276" s="74"/>
      <c r="E276" s="74"/>
      <c r="F276" s="74"/>
      <c r="G276" s="74"/>
      <c r="H276" s="269" t="s">
        <v>374</v>
      </c>
      <c r="I276" s="452" t="str">
        <f>IF(S226="","",S226)</f>
        <v/>
      </c>
      <c r="J276" s="452"/>
      <c r="K276" s="74"/>
      <c r="M276" s="117"/>
      <c r="O276" s="77"/>
      <c r="P276" s="257" t="s">
        <v>403</v>
      </c>
      <c r="Q276" s="305" t="str">
        <f>IF(OR(Q269="",Q274=""),"",ABS(Q274-Q269)/Q269)</f>
        <v/>
      </c>
      <c r="R276" s="305" t="str">
        <f>IF(OR(R269="",R274=""),"",ABS(R274-R269)/R269)</f>
        <v/>
      </c>
      <c r="S276" s="305" t="str">
        <f>IF(OR(S269="",S274=""),"",ABS(S274-S269)/S269)</f>
        <v/>
      </c>
      <c r="T276" s="306" t="str">
        <f>IF(OR(T269="",T274=""),"",ABS(T274-T269)/T269)</f>
        <v/>
      </c>
      <c r="U276" s="306" t="str">
        <f>IF(OR(U269="",U274=""),"",ABS(U274-U269)/U269)</f>
        <v/>
      </c>
      <c r="V276" s="211"/>
      <c r="W276" s="211"/>
      <c r="X276" s="211"/>
      <c r="Y276" s="79"/>
    </row>
    <row r="277" spans="1:25" ht="14.1" customHeight="1" x14ac:dyDescent="0.2">
      <c r="A277" s="63">
        <v>5</v>
      </c>
      <c r="B277" s="115"/>
      <c r="C277" s="205" t="s">
        <v>404</v>
      </c>
      <c r="D277" s="116"/>
      <c r="E277" s="116"/>
      <c r="F277" s="116"/>
      <c r="G277" s="116"/>
      <c r="H277" s="124" t="s">
        <v>405</v>
      </c>
      <c r="M277" s="117"/>
      <c r="O277" s="77"/>
      <c r="P277" s="242" t="s">
        <v>406</v>
      </c>
      <c r="Q277" s="326">
        <f>Q267/100</f>
        <v>0.24</v>
      </c>
      <c r="R277" s="326">
        <f>R267/100</f>
        <v>0.25</v>
      </c>
      <c r="S277" s="326">
        <f>S267/100</f>
        <v>0.28000000000000003</v>
      </c>
      <c r="T277" s="364">
        <f>T267/100</f>
        <v>0.32</v>
      </c>
      <c r="U277" s="364">
        <f>U267/100</f>
        <v>0.34</v>
      </c>
      <c r="V277" s="327"/>
      <c r="W277" s="327"/>
      <c r="X277" s="327"/>
      <c r="Y277" s="79"/>
    </row>
    <row r="278" spans="1:25" ht="14.1" customHeight="1" thickBot="1" x14ac:dyDescent="0.25">
      <c r="A278" s="63">
        <v>6</v>
      </c>
      <c r="B278" s="115"/>
      <c r="C278" s="83" t="s">
        <v>129</v>
      </c>
      <c r="D278" s="198" t="str">
        <f>IF(P230="","",P230)</f>
        <v>Mo</v>
      </c>
      <c r="E278" s="83" t="s">
        <v>132</v>
      </c>
      <c r="F278" s="198" t="str">
        <f>IF(Q230="","",Q230)</f>
        <v>Mo</v>
      </c>
      <c r="H278" s="83" t="s">
        <v>129</v>
      </c>
      <c r="I278" s="198" t="str">
        <f>IF(P243="","",P243)</f>
        <v>Mo</v>
      </c>
      <c r="J278" s="83" t="s">
        <v>132</v>
      </c>
      <c r="K278" s="198" t="str">
        <f>IF(Q243="","",Q243)</f>
        <v>Mo</v>
      </c>
      <c r="M278" s="117"/>
      <c r="O278" s="77"/>
      <c r="P278" s="328" t="s">
        <v>407</v>
      </c>
      <c r="Q278" s="329">
        <f>Q267/100+0.12</f>
        <v>0.36</v>
      </c>
      <c r="R278" s="329">
        <f>R267/100+0.12</f>
        <v>0.37</v>
      </c>
      <c r="S278" s="329">
        <f>S267/100+0.12</f>
        <v>0.4</v>
      </c>
      <c r="T278" s="365">
        <f>T267/100+0.12</f>
        <v>0.44</v>
      </c>
      <c r="U278" s="365">
        <f>U267/100+0.12</f>
        <v>0.46</v>
      </c>
      <c r="V278" s="327"/>
      <c r="W278" s="327"/>
      <c r="X278" s="327"/>
      <c r="Y278" s="79"/>
    </row>
    <row r="279" spans="1:25" ht="14.1" customHeight="1" thickBot="1" x14ac:dyDescent="0.25">
      <c r="A279" s="63">
        <v>7</v>
      </c>
      <c r="B279" s="115"/>
      <c r="C279" s="83" t="s">
        <v>297</v>
      </c>
      <c r="D279" s="198">
        <f>IF(S230="","",S230)</f>
        <v>50</v>
      </c>
      <c r="H279" s="83" t="s">
        <v>297</v>
      </c>
      <c r="I279" s="198">
        <f>IF(S243="","",S243)</f>
        <v>50</v>
      </c>
      <c r="M279" s="117"/>
      <c r="O279" s="77"/>
      <c r="P279" s="330"/>
      <c r="Q279" s="412" t="str">
        <f>IF(Q275="","",IF(AND(Q275&gt;=Q277,Q275&lt;=Q278),"Pass","Fail"))</f>
        <v/>
      </c>
      <c r="R279" s="412" t="str">
        <f>IF(R275="","",IF(AND(R275&gt;=R277,R275&lt;=R278),"Pass","Fail"))</f>
        <v/>
      </c>
      <c r="S279" s="412" t="str">
        <f>IF(S275="","",IF(AND(S275&gt;=S277,S275&lt;=S278),"Pass","Fail"))</f>
        <v/>
      </c>
      <c r="T279" s="412" t="str">
        <f>IF(T275="","",IF(AND(T275&gt;=T277,T275&lt;=T278),"Pass","Fail"))</f>
        <v/>
      </c>
      <c r="U279" s="412" t="str">
        <f>IF(U275="","",IF(AND(U275&gt;=U277,U275&lt;=U278),"Pass","Fail"))</f>
        <v/>
      </c>
      <c r="V279" s="152"/>
      <c r="W279" s="152"/>
      <c r="X279" s="152"/>
      <c r="Y279" s="79"/>
    </row>
    <row r="280" spans="1:25" ht="14.1" customHeight="1" x14ac:dyDescent="0.2">
      <c r="A280" s="63">
        <v>8</v>
      </c>
      <c r="B280" s="115"/>
      <c r="C280" s="331" t="s">
        <v>278</v>
      </c>
      <c r="D280" s="331" t="s">
        <v>279</v>
      </c>
      <c r="E280" s="331"/>
      <c r="H280" s="331" t="s">
        <v>278</v>
      </c>
      <c r="I280" s="331" t="s">
        <v>279</v>
      </c>
      <c r="J280" s="82"/>
      <c r="K280" s="82"/>
      <c r="L280" s="82"/>
      <c r="M280" s="117"/>
      <c r="O280" s="77"/>
      <c r="P280" s="167" t="s">
        <v>284</v>
      </c>
      <c r="Q280" s="74" t="s">
        <v>408</v>
      </c>
      <c r="R280" s="74"/>
      <c r="S280" s="74"/>
      <c r="T280" s="74"/>
      <c r="U280" s="74"/>
      <c r="V280" s="74"/>
      <c r="W280" s="74"/>
      <c r="X280" s="74"/>
      <c r="Y280" s="274"/>
    </row>
    <row r="281" spans="1:25" ht="14.1" customHeight="1" x14ac:dyDescent="0.2">
      <c r="A281" s="63">
        <v>9</v>
      </c>
      <c r="B281" s="115"/>
      <c r="C281" s="332" t="s">
        <v>105</v>
      </c>
      <c r="D281" s="332" t="s">
        <v>105</v>
      </c>
      <c r="E281" s="332" t="s">
        <v>409</v>
      </c>
      <c r="H281" s="332" t="s">
        <v>105</v>
      </c>
      <c r="I281" s="332" t="s">
        <v>105</v>
      </c>
      <c r="J281" s="332" t="s">
        <v>34</v>
      </c>
      <c r="K281" s="332" t="s">
        <v>376</v>
      </c>
      <c r="L281" s="332" t="s">
        <v>377</v>
      </c>
      <c r="M281" s="117"/>
      <c r="O281" s="88"/>
      <c r="P281" s="89"/>
      <c r="Q281" s="89"/>
      <c r="R281" s="89"/>
      <c r="S281" s="89"/>
      <c r="T281" s="89"/>
      <c r="U281" s="89"/>
      <c r="V281" s="89"/>
      <c r="W281" s="89"/>
      <c r="X281" s="89"/>
      <c r="Y281" s="90"/>
    </row>
    <row r="282" spans="1:25" ht="14.1" customHeight="1" x14ac:dyDescent="0.2">
      <c r="A282" s="63">
        <v>10</v>
      </c>
      <c r="B282" s="115"/>
      <c r="C282" s="118">
        <f t="shared" ref="C282:C288" si="31">IF(R230="","",R230)</f>
        <v>24</v>
      </c>
      <c r="D282" s="120" t="str">
        <f t="shared" ref="D282:D288" si="32">IF(T230="","",T230)</f>
        <v/>
      </c>
      <c r="E282" s="333" t="str">
        <f t="shared" ref="E282:E288" si="33">IF(OR(C282="",D282=""),"",IF(AND(C282&gt;0,D282&gt;0),(D282-C282)/C282,""))</f>
        <v/>
      </c>
      <c r="H282" s="118">
        <f>IF(R243="","",R243)</f>
        <v>28</v>
      </c>
      <c r="I282" s="120" t="str">
        <f t="shared" ref="I282:I288" si="34">IF(T243="","",T243)</f>
        <v/>
      </c>
      <c r="J282" s="120" t="str">
        <f t="shared" ref="J282:L288" si="35">IF(V243="","",V243)</f>
        <v/>
      </c>
      <c r="K282" s="280" t="str">
        <f t="shared" si="35"/>
        <v/>
      </c>
      <c r="L282" s="120" t="str">
        <f t="shared" si="35"/>
        <v/>
      </c>
      <c r="M282" s="117"/>
      <c r="O282" s="191" t="s">
        <v>391</v>
      </c>
      <c r="P282" s="69"/>
      <c r="Q282" s="69"/>
      <c r="R282" s="69"/>
      <c r="S282" s="69"/>
      <c r="T282" s="69"/>
      <c r="U282" s="69"/>
      <c r="V282" s="69"/>
      <c r="W282" s="69"/>
      <c r="X282" s="69"/>
      <c r="Y282" s="70"/>
    </row>
    <row r="283" spans="1:25" ht="14.1" customHeight="1" x14ac:dyDescent="0.2">
      <c r="A283" s="63">
        <v>11</v>
      </c>
      <c r="B283" s="115"/>
      <c r="C283" s="118">
        <f t="shared" si="31"/>
        <v>25</v>
      </c>
      <c r="D283" s="120" t="str">
        <f t="shared" si="32"/>
        <v/>
      </c>
      <c r="E283" s="333" t="str">
        <f t="shared" si="33"/>
        <v/>
      </c>
      <c r="I283" s="120" t="str">
        <f t="shared" si="34"/>
        <v/>
      </c>
      <c r="J283" s="120" t="str">
        <f t="shared" si="35"/>
        <v/>
      </c>
      <c r="K283" s="280" t="str">
        <f t="shared" si="35"/>
        <v/>
      </c>
      <c r="L283" s="120" t="str">
        <f t="shared" si="35"/>
        <v/>
      </c>
      <c r="M283" s="117"/>
      <c r="O283" s="334" t="s">
        <v>410</v>
      </c>
      <c r="Q283" s="194">
        <v>1</v>
      </c>
      <c r="R283" s="67" t="s">
        <v>411</v>
      </c>
      <c r="U283" s="446" t="s">
        <v>383</v>
      </c>
      <c r="V283" s="446"/>
      <c r="Y283" s="79"/>
    </row>
    <row r="284" spans="1:25" ht="14.1" customHeight="1" x14ac:dyDescent="0.2">
      <c r="A284" s="63">
        <v>12</v>
      </c>
      <c r="B284" s="115"/>
      <c r="C284" s="118">
        <f t="shared" si="31"/>
        <v>26</v>
      </c>
      <c r="D284" s="120" t="str">
        <f t="shared" si="32"/>
        <v/>
      </c>
      <c r="E284" s="333" t="str">
        <f t="shared" si="33"/>
        <v/>
      </c>
      <c r="I284" s="120" t="str">
        <f t="shared" si="34"/>
        <v/>
      </c>
      <c r="J284" s="120" t="str">
        <f t="shared" si="35"/>
        <v/>
      </c>
      <c r="K284" s="280" t="str">
        <f t="shared" si="35"/>
        <v/>
      </c>
      <c r="L284" s="120" t="str">
        <f t="shared" si="35"/>
        <v/>
      </c>
      <c r="M284" s="117"/>
      <c r="O284" s="77"/>
      <c r="P284" s="83"/>
      <c r="Q284" s="82">
        <v>512</v>
      </c>
      <c r="R284" s="82">
        <v>1024</v>
      </c>
      <c r="T284" s="74"/>
      <c r="U284" s="82">
        <v>512</v>
      </c>
      <c r="V284" s="82">
        <v>1024</v>
      </c>
      <c r="Y284" s="79"/>
    </row>
    <row r="285" spans="1:25" ht="14.1" customHeight="1" x14ac:dyDescent="0.2">
      <c r="A285" s="63">
        <v>13</v>
      </c>
      <c r="B285" s="115"/>
      <c r="C285" s="118">
        <f t="shared" si="31"/>
        <v>28</v>
      </c>
      <c r="D285" s="120" t="str">
        <f t="shared" si="32"/>
        <v/>
      </c>
      <c r="E285" s="333" t="str">
        <f t="shared" si="33"/>
        <v/>
      </c>
      <c r="I285" s="120" t="str">
        <f t="shared" si="34"/>
        <v/>
      </c>
      <c r="J285" s="120" t="str">
        <f t="shared" si="35"/>
        <v/>
      </c>
      <c r="K285" s="280" t="str">
        <f t="shared" si="35"/>
        <v/>
      </c>
      <c r="L285" s="120" t="str">
        <f t="shared" si="35"/>
        <v/>
      </c>
      <c r="M285" s="117"/>
      <c r="O285" s="77"/>
      <c r="P285" s="83" t="s">
        <v>259</v>
      </c>
      <c r="Q285" s="118">
        <f>T210</f>
        <v>28</v>
      </c>
      <c r="R285" s="118">
        <f>T210</f>
        <v>28</v>
      </c>
      <c r="T285" s="74"/>
      <c r="U285" s="176" t="str">
        <f t="shared" ref="U285:U292" si="36">IF(AB94="","",AB94)</f>
        <v/>
      </c>
      <c r="V285" s="176" t="str">
        <f t="shared" ref="V285:V292" si="37">IF(AB102="","",AB102)</f>
        <v/>
      </c>
      <c r="Y285" s="79"/>
    </row>
    <row r="286" spans="1:25" ht="14.1" customHeight="1" x14ac:dyDescent="0.2">
      <c r="A286" s="63">
        <v>14</v>
      </c>
      <c r="B286" s="115"/>
      <c r="C286" s="118">
        <f t="shared" si="31"/>
        <v>30</v>
      </c>
      <c r="D286" s="120" t="str">
        <f t="shared" si="32"/>
        <v/>
      </c>
      <c r="E286" s="333" t="str">
        <f t="shared" si="33"/>
        <v/>
      </c>
      <c r="H286" s="83" t="s">
        <v>290</v>
      </c>
      <c r="I286" s="120" t="str">
        <f t="shared" si="34"/>
        <v/>
      </c>
      <c r="J286" s="120" t="str">
        <f t="shared" si="35"/>
        <v/>
      </c>
      <c r="K286" s="280" t="str">
        <f t="shared" si="35"/>
        <v/>
      </c>
      <c r="L286" s="120" t="str">
        <f t="shared" si="35"/>
        <v/>
      </c>
      <c r="M286" s="117"/>
      <c r="O286" s="77"/>
      <c r="P286" s="83" t="s">
        <v>297</v>
      </c>
      <c r="Q286" s="118">
        <f>Q217</f>
        <v>0</v>
      </c>
      <c r="R286" s="118">
        <v>138.9</v>
      </c>
      <c r="T286" s="74"/>
      <c r="U286" s="176" t="str">
        <f t="shared" si="36"/>
        <v/>
      </c>
      <c r="V286" s="176" t="str">
        <f t="shared" si="37"/>
        <v/>
      </c>
      <c r="Y286" s="79"/>
    </row>
    <row r="287" spans="1:25" ht="14.1" customHeight="1" x14ac:dyDescent="0.2">
      <c r="A287" s="63">
        <v>15</v>
      </c>
      <c r="B287" s="115"/>
      <c r="C287" s="118">
        <f t="shared" si="31"/>
        <v>32</v>
      </c>
      <c r="D287" s="120" t="str">
        <f t="shared" si="32"/>
        <v/>
      </c>
      <c r="E287" s="333" t="str">
        <f t="shared" si="33"/>
        <v/>
      </c>
      <c r="H287" s="83" t="s">
        <v>380</v>
      </c>
      <c r="I287" s="120" t="str">
        <f t="shared" si="34"/>
        <v/>
      </c>
      <c r="J287" s="120" t="str">
        <f t="shared" si="35"/>
        <v/>
      </c>
      <c r="K287" s="280" t="str">
        <f t="shared" si="35"/>
        <v/>
      </c>
      <c r="L287" s="120" t="str">
        <f t="shared" si="35"/>
        <v/>
      </c>
      <c r="M287" s="117"/>
      <c r="O287" s="77"/>
      <c r="P287" s="83" t="s">
        <v>397</v>
      </c>
      <c r="Q287" s="118">
        <f>R217</f>
        <v>0</v>
      </c>
      <c r="R287" s="118">
        <f>R217</f>
        <v>0</v>
      </c>
      <c r="T287" s="74"/>
      <c r="U287" s="176" t="str">
        <f t="shared" si="36"/>
        <v/>
      </c>
      <c r="V287" s="176" t="str">
        <f t="shared" si="37"/>
        <v/>
      </c>
      <c r="Y287" s="79"/>
    </row>
    <row r="288" spans="1:25" ht="14.1" customHeight="1" thickBot="1" x14ac:dyDescent="0.25">
      <c r="A288" s="63">
        <v>16</v>
      </c>
      <c r="B288" s="115"/>
      <c r="C288" s="118">
        <f t="shared" si="31"/>
        <v>34</v>
      </c>
      <c r="D288" s="120" t="str">
        <f t="shared" si="32"/>
        <v/>
      </c>
      <c r="E288" s="333" t="str">
        <f t="shared" si="33"/>
        <v/>
      </c>
      <c r="H288" s="83" t="s">
        <v>364</v>
      </c>
      <c r="I288" s="235" t="str">
        <f t="shared" si="34"/>
        <v/>
      </c>
      <c r="J288" s="235" t="str">
        <f t="shared" si="35"/>
        <v/>
      </c>
      <c r="K288" s="235" t="str">
        <f t="shared" si="35"/>
        <v/>
      </c>
      <c r="L288" s="235" t="str">
        <f t="shared" si="35"/>
        <v/>
      </c>
      <c r="M288" s="117"/>
      <c r="O288" s="77"/>
      <c r="P288" s="83" t="s">
        <v>264</v>
      </c>
      <c r="Q288" s="192"/>
      <c r="R288" s="192"/>
      <c r="T288" s="74"/>
      <c r="U288" s="176" t="str">
        <f t="shared" si="36"/>
        <v/>
      </c>
      <c r="V288" s="176" t="str">
        <f t="shared" si="37"/>
        <v/>
      </c>
      <c r="Y288" s="79"/>
    </row>
    <row r="289" spans="1:25" ht="14.1" customHeight="1" thickBot="1" x14ac:dyDescent="0.25">
      <c r="A289" s="63">
        <v>17</v>
      </c>
      <c r="B289" s="115"/>
      <c r="C289" s="414"/>
      <c r="D289" s="336" t="s">
        <v>301</v>
      </c>
      <c r="E289" s="337" t="str">
        <f>IF(E282="","",IF(AND(ABS(MAX(E282:E288))&lt;=0.05,ABS(MIN(E282:E288))&lt;=0.05),"YES","NO"))</f>
        <v/>
      </c>
      <c r="H289" s="83" t="s">
        <v>301</v>
      </c>
      <c r="I289" s="200" t="str">
        <f>IF(I288="","",IF(ABS(I288)&lt;=0.02,"YES","NO"))</f>
        <v/>
      </c>
      <c r="J289" s="200" t="str">
        <f>IF(J288="","",IF(ABS(J288)&lt;=0.02,"YES","NO"))</f>
        <v/>
      </c>
      <c r="K289" s="200" t="str">
        <f>IF(K288="","",IF(ABS(K288)&lt;=0.02,"YES","NO"))</f>
        <v/>
      </c>
      <c r="L289" s="335" t="str">
        <f>IF(OR(I278="",L286="",L288=""),"",IF(I278="Mo",IF(AND(ABS(L288)&lt;=0.02,L286&gt;=7),"YES","NO"),IF(I278="W",IF(AND(ABS(L288)&lt;=0.02,L286&gt;=2),"YES","NO"))))</f>
        <v/>
      </c>
      <c r="M289" s="117"/>
      <c r="O289" s="77"/>
      <c r="P289" s="83" t="s">
        <v>266</v>
      </c>
      <c r="Q289" s="192"/>
      <c r="R289" s="192"/>
      <c r="T289" s="74"/>
      <c r="U289" s="176" t="str">
        <f t="shared" si="36"/>
        <v/>
      </c>
      <c r="V289" s="176" t="str">
        <f t="shared" si="37"/>
        <v/>
      </c>
      <c r="Y289" s="79"/>
    </row>
    <row r="290" spans="1:25" ht="14.1" customHeight="1" x14ac:dyDescent="0.2">
      <c r="A290" s="63">
        <v>18</v>
      </c>
      <c r="B290" s="115"/>
      <c r="H290" s="167" t="s">
        <v>284</v>
      </c>
      <c r="I290" s="74" t="s">
        <v>412</v>
      </c>
      <c r="J290" s="74"/>
      <c r="M290" s="117"/>
      <c r="O290" s="77"/>
      <c r="P290" s="83" t="s">
        <v>268</v>
      </c>
      <c r="Q290" s="192"/>
      <c r="R290" s="192"/>
      <c r="T290" s="74"/>
      <c r="U290" s="176" t="str">
        <f t="shared" si="36"/>
        <v/>
      </c>
      <c r="V290" s="176" t="str">
        <f t="shared" si="37"/>
        <v/>
      </c>
      <c r="Y290" s="79"/>
    </row>
    <row r="291" spans="1:25" ht="14.1" customHeight="1" x14ac:dyDescent="0.2">
      <c r="A291" s="63">
        <v>19</v>
      </c>
      <c r="B291" s="115"/>
      <c r="D291" s="74"/>
      <c r="E291" s="74"/>
      <c r="I291" s="74" t="s">
        <v>386</v>
      </c>
      <c r="J291" s="74"/>
      <c r="M291" s="117"/>
      <c r="O291" s="77"/>
      <c r="P291" s="83" t="s">
        <v>413</v>
      </c>
      <c r="Q291" s="192"/>
      <c r="R291" s="192"/>
      <c r="S291" s="74"/>
      <c r="T291" s="74"/>
      <c r="U291" s="176" t="str">
        <f t="shared" si="36"/>
        <v/>
      </c>
      <c r="V291" s="176" t="str">
        <f t="shared" si="37"/>
        <v/>
      </c>
      <c r="W291" s="74"/>
      <c r="X291" s="74"/>
      <c r="Y291" s="79"/>
    </row>
    <row r="292" spans="1:25" ht="14.1" customHeight="1" x14ac:dyDescent="0.2">
      <c r="A292" s="63">
        <v>20</v>
      </c>
      <c r="B292" s="115"/>
      <c r="D292" s="167" t="s">
        <v>284</v>
      </c>
      <c r="E292" s="74" t="s">
        <v>414</v>
      </c>
      <c r="H292" s="116"/>
      <c r="I292" s="221" t="s">
        <v>415</v>
      </c>
      <c r="J292" s="74"/>
      <c r="M292" s="117"/>
      <c r="O292" s="77"/>
      <c r="P292" s="83" t="s">
        <v>273</v>
      </c>
      <c r="Q292" s="192"/>
      <c r="R292" s="192"/>
      <c r="S292" s="74"/>
      <c r="T292" s="74"/>
      <c r="U292" s="176" t="str">
        <f t="shared" si="36"/>
        <v/>
      </c>
      <c r="V292" s="176" t="str">
        <f t="shared" si="37"/>
        <v/>
      </c>
      <c r="W292" s="74"/>
      <c r="X292" s="74"/>
      <c r="Y292" s="79"/>
    </row>
    <row r="293" spans="1:25" ht="14.1" customHeight="1" thickBot="1" x14ac:dyDescent="0.25">
      <c r="A293" s="63">
        <v>21</v>
      </c>
      <c r="B293" s="115"/>
      <c r="D293" s="74"/>
      <c r="E293" s="74"/>
      <c r="M293" s="117"/>
      <c r="O293" s="88"/>
      <c r="P293" s="239" t="s">
        <v>284</v>
      </c>
      <c r="Q293" s="240" t="str">
        <f>IF(Q283=1,"Must see at least 3 fibers, 3 specks, 2.5 masses","Must see at least 5 fibers, 4 specks, 3.5 masses")</f>
        <v>Must see at least 3 fibers, 3 specks, 2.5 masses</v>
      </c>
      <c r="R293" s="89"/>
      <c r="S293" s="89"/>
      <c r="T293" s="89"/>
      <c r="U293" s="89"/>
      <c r="V293" s="89"/>
      <c r="W293" s="89"/>
      <c r="X293" s="89"/>
      <c r="Y293" s="90"/>
    </row>
    <row r="294" spans="1:25" ht="14.1" customHeight="1" x14ac:dyDescent="0.2">
      <c r="A294" s="63">
        <v>22</v>
      </c>
      <c r="B294" s="115"/>
      <c r="C294" s="124" t="s">
        <v>388</v>
      </c>
      <c r="M294" s="117"/>
      <c r="O294" s="338"/>
      <c r="P294" s="286"/>
      <c r="Q294" s="286"/>
      <c r="R294" s="286"/>
      <c r="S294" s="339" t="s">
        <v>416</v>
      </c>
      <c r="T294" s="286"/>
      <c r="U294" s="286"/>
      <c r="V294" s="286"/>
      <c r="W294" s="286"/>
      <c r="X294" s="286"/>
      <c r="Y294" s="340"/>
    </row>
    <row r="295" spans="1:25" ht="14.1" customHeight="1" x14ac:dyDescent="0.2">
      <c r="A295" s="63">
        <v>23</v>
      </c>
      <c r="B295" s="115"/>
      <c r="C295" s="83" t="s">
        <v>129</v>
      </c>
      <c r="D295" s="198" t="str">
        <f>IF(P257="","",P257)</f>
        <v>Mo</v>
      </c>
      <c r="E295" s="83" t="s">
        <v>132</v>
      </c>
      <c r="F295" s="198" t="str">
        <f>IF(Q257="","",Q257)</f>
        <v>Mo</v>
      </c>
      <c r="M295" s="117"/>
      <c r="O295" s="275"/>
      <c r="P295" s="162" t="s">
        <v>80</v>
      </c>
      <c r="Q295" s="341"/>
      <c r="R295" s="342"/>
      <c r="S295" s="343" t="str">
        <f>IF(AB111="","",AB111)</f>
        <v/>
      </c>
      <c r="T295" s="164"/>
      <c r="U295" s="164"/>
      <c r="V295" s="74"/>
      <c r="W295" s="74"/>
      <c r="X295" s="164"/>
      <c r="Y295" s="274"/>
    </row>
    <row r="296" spans="1:25" ht="14.1" customHeight="1" x14ac:dyDescent="0.2">
      <c r="A296" s="63">
        <v>24</v>
      </c>
      <c r="B296" s="115"/>
      <c r="D296" s="152"/>
      <c r="M296" s="117"/>
      <c r="O296" s="275"/>
      <c r="P296" s="344" t="s">
        <v>302</v>
      </c>
      <c r="Q296" s="223"/>
      <c r="R296" s="345">
        <f>LEN(Q295)</f>
        <v>0</v>
      </c>
      <c r="S296" s="224"/>
      <c r="T296" s="224"/>
      <c r="U296" s="346" t="s">
        <v>417</v>
      </c>
      <c r="V296" s="224"/>
      <c r="W296" s="224"/>
      <c r="X296" s="224"/>
      <c r="Y296" s="274"/>
    </row>
    <row r="297" spans="1:25" ht="14.1" customHeight="1" x14ac:dyDescent="0.2">
      <c r="A297" s="63">
        <v>25</v>
      </c>
      <c r="B297" s="115"/>
      <c r="C297" s="332" t="s">
        <v>418</v>
      </c>
      <c r="D297" s="332" t="s">
        <v>105</v>
      </c>
      <c r="E297" s="332" t="s">
        <v>34</v>
      </c>
      <c r="F297" s="332" t="s">
        <v>376</v>
      </c>
      <c r="G297" s="332" t="s">
        <v>377</v>
      </c>
      <c r="M297" s="117"/>
      <c r="O297" s="275"/>
      <c r="P297" s="162" t="s">
        <v>419</v>
      </c>
      <c r="Q297" s="341"/>
      <c r="R297" s="342"/>
      <c r="S297" s="343" t="str">
        <f>IF(AB113="","",AB113)</f>
        <v/>
      </c>
      <c r="T297" s="164"/>
      <c r="U297" s="164"/>
      <c r="V297" s="74"/>
      <c r="W297" s="74"/>
      <c r="X297" s="164"/>
      <c r="Y297" s="274"/>
    </row>
    <row r="298" spans="1:25" ht="14.1" customHeight="1" x14ac:dyDescent="0.2">
      <c r="A298" s="63">
        <v>26</v>
      </c>
      <c r="B298" s="115"/>
      <c r="C298" s="118">
        <f t="shared" ref="C298:D301" si="38">IF(S257="","",S257)</f>
        <v>20</v>
      </c>
      <c r="D298" s="120" t="str">
        <f t="shared" si="38"/>
        <v/>
      </c>
      <c r="E298" s="120" t="str">
        <f t="shared" ref="E298:G301" si="39">IF(V257="","",V257)</f>
        <v/>
      </c>
      <c r="F298" s="280" t="str">
        <f t="shared" si="39"/>
        <v/>
      </c>
      <c r="G298" s="120" t="str">
        <f t="shared" si="39"/>
        <v/>
      </c>
      <c r="M298" s="117"/>
      <c r="O298" s="275"/>
      <c r="P298" s="344" t="s">
        <v>302</v>
      </c>
      <c r="Q298" s="223"/>
      <c r="R298" s="345">
        <f>LEN(Q297)</f>
        <v>0</v>
      </c>
      <c r="S298" s="224"/>
      <c r="T298" s="224"/>
      <c r="U298" s="346" t="s">
        <v>420</v>
      </c>
      <c r="V298" s="224"/>
      <c r="W298" s="224"/>
      <c r="X298" s="224"/>
      <c r="Y298" s="274"/>
    </row>
    <row r="299" spans="1:25" ht="14.1" customHeight="1" x14ac:dyDescent="0.2">
      <c r="A299" s="63">
        <v>27</v>
      </c>
      <c r="B299" s="115"/>
      <c r="C299" s="118">
        <f t="shared" si="38"/>
        <v>50</v>
      </c>
      <c r="D299" s="120" t="str">
        <f t="shared" si="38"/>
        <v/>
      </c>
      <c r="E299" s="120" t="str">
        <f t="shared" si="39"/>
        <v/>
      </c>
      <c r="F299" s="280" t="str">
        <f t="shared" si="39"/>
        <v/>
      </c>
      <c r="G299" s="120" t="str">
        <f t="shared" si="39"/>
        <v/>
      </c>
      <c r="M299" s="117"/>
      <c r="O299" s="275"/>
      <c r="P299" s="162" t="s">
        <v>419</v>
      </c>
      <c r="Q299" s="341"/>
      <c r="R299" s="342"/>
      <c r="S299" s="343" t="str">
        <f>IF(AB115="","",AB115)</f>
        <v/>
      </c>
      <c r="T299" s="164"/>
      <c r="U299" s="164"/>
      <c r="V299" s="74"/>
      <c r="W299" s="74"/>
      <c r="X299" s="164"/>
      <c r="Y299" s="274"/>
    </row>
    <row r="300" spans="1:25" ht="14.1" customHeight="1" x14ac:dyDescent="0.2">
      <c r="A300" s="63">
        <v>28</v>
      </c>
      <c r="B300" s="115"/>
      <c r="C300" s="118">
        <f t="shared" si="38"/>
        <v>100</v>
      </c>
      <c r="D300" s="120" t="str">
        <f t="shared" si="38"/>
        <v/>
      </c>
      <c r="E300" s="120" t="str">
        <f t="shared" si="39"/>
        <v/>
      </c>
      <c r="F300" s="280" t="str">
        <f t="shared" si="39"/>
        <v/>
      </c>
      <c r="G300" s="120" t="str">
        <f t="shared" si="39"/>
        <v/>
      </c>
      <c r="M300" s="117"/>
      <c r="O300" s="275"/>
      <c r="P300" s="344" t="s">
        <v>302</v>
      </c>
      <c r="Q300" s="223"/>
      <c r="R300" s="345">
        <f>LEN(Q299)</f>
        <v>0</v>
      </c>
      <c r="S300" s="224"/>
      <c r="T300" s="224"/>
      <c r="U300" s="346" t="s">
        <v>421</v>
      </c>
      <c r="V300" s="224"/>
      <c r="W300" s="224"/>
      <c r="X300" s="224"/>
      <c r="Y300" s="274"/>
    </row>
    <row r="301" spans="1:25" ht="14.1" customHeight="1" x14ac:dyDescent="0.2">
      <c r="A301" s="63">
        <v>29</v>
      </c>
      <c r="B301" s="115"/>
      <c r="C301" s="118">
        <f t="shared" si="38"/>
        <v>300</v>
      </c>
      <c r="D301" s="120" t="str">
        <f t="shared" si="38"/>
        <v/>
      </c>
      <c r="E301" s="120" t="str">
        <f t="shared" si="39"/>
        <v/>
      </c>
      <c r="F301" s="280" t="str">
        <f t="shared" si="39"/>
        <v/>
      </c>
      <c r="G301" s="120" t="str">
        <f t="shared" si="39"/>
        <v/>
      </c>
      <c r="M301" s="117"/>
      <c r="O301" s="275"/>
      <c r="P301" s="162" t="s">
        <v>419</v>
      </c>
      <c r="Q301" s="341"/>
      <c r="R301" s="342"/>
      <c r="S301" s="343" t="str">
        <f>IF(AB117="","",AB117)</f>
        <v/>
      </c>
      <c r="T301" s="164"/>
      <c r="U301" s="164"/>
      <c r="V301" s="74"/>
      <c r="W301" s="74"/>
      <c r="X301" s="164"/>
      <c r="Y301" s="274"/>
    </row>
    <row r="302" spans="1:25" ht="14.1" customHeight="1" x14ac:dyDescent="0.2">
      <c r="A302" s="63">
        <v>30</v>
      </c>
      <c r="B302" s="115"/>
      <c r="E302" s="83" t="s">
        <v>395</v>
      </c>
      <c r="F302" s="216" t="str">
        <f>IF(W261="","",W261)</f>
        <v/>
      </c>
      <c r="M302" s="117"/>
      <c r="O302" s="275"/>
      <c r="P302" s="344" t="s">
        <v>302</v>
      </c>
      <c r="Q302" s="223"/>
      <c r="R302" s="345">
        <f>LEN(Q301)</f>
        <v>0</v>
      </c>
      <c r="S302" s="224"/>
      <c r="T302" s="224"/>
      <c r="U302" s="346" t="s">
        <v>422</v>
      </c>
      <c r="V302" s="224"/>
      <c r="W302" s="224"/>
      <c r="X302" s="224"/>
      <c r="Y302" s="274"/>
    </row>
    <row r="303" spans="1:25" ht="14.1" customHeight="1" x14ac:dyDescent="0.2">
      <c r="A303" s="63">
        <v>31</v>
      </c>
      <c r="B303" s="115"/>
      <c r="D303" s="167" t="s">
        <v>284</v>
      </c>
      <c r="E303" s="74" t="s">
        <v>394</v>
      </c>
      <c r="M303" s="117"/>
      <c r="O303" s="275"/>
      <c r="P303" s="162" t="s">
        <v>419</v>
      </c>
      <c r="Q303" s="341"/>
      <c r="R303" s="342"/>
      <c r="S303" s="343" t="str">
        <f>IF(AB119="","",AB119)</f>
        <v/>
      </c>
      <c r="T303" s="164"/>
      <c r="U303" s="164"/>
      <c r="V303" s="74"/>
      <c r="W303" s="74"/>
      <c r="X303" s="164"/>
      <c r="Y303" s="274"/>
    </row>
    <row r="304" spans="1:25" ht="14.1" customHeight="1" x14ac:dyDescent="0.2">
      <c r="A304" s="63">
        <v>32</v>
      </c>
      <c r="B304" s="115"/>
      <c r="M304" s="117"/>
      <c r="O304" s="275"/>
      <c r="P304" s="344" t="s">
        <v>302</v>
      </c>
      <c r="Q304" s="223"/>
      <c r="R304" s="345">
        <f>LEN(Q303)</f>
        <v>0</v>
      </c>
      <c r="S304" s="224"/>
      <c r="T304" s="224"/>
      <c r="U304" s="346" t="s">
        <v>423</v>
      </c>
      <c r="V304" s="224"/>
      <c r="W304" s="224"/>
      <c r="X304" s="224"/>
      <c r="Y304" s="274"/>
    </row>
    <row r="305" spans="1:25" ht="14.1" customHeight="1" x14ac:dyDescent="0.2">
      <c r="A305" s="63">
        <v>33</v>
      </c>
      <c r="B305" s="115"/>
      <c r="C305" s="124" t="s">
        <v>398</v>
      </c>
      <c r="M305" s="117"/>
      <c r="O305" s="275"/>
      <c r="P305" s="162" t="s">
        <v>419</v>
      </c>
      <c r="Q305" s="341"/>
      <c r="R305" s="342"/>
      <c r="S305" s="343" t="str">
        <f>IF(AB121="","",AB121)</f>
        <v/>
      </c>
      <c r="T305" s="164"/>
      <c r="U305" s="164"/>
      <c r="V305" s="74"/>
      <c r="W305" s="74"/>
      <c r="X305" s="164"/>
      <c r="Y305" s="274"/>
    </row>
    <row r="306" spans="1:25" ht="14.1" customHeight="1" x14ac:dyDescent="0.2">
      <c r="A306" s="63">
        <v>34</v>
      </c>
      <c r="B306" s="115"/>
      <c r="C306" s="311" t="s">
        <v>148</v>
      </c>
      <c r="D306" s="311" t="str">
        <f>$P$230&amp;"/"&amp;$Q$230</f>
        <v>Mo/Mo</v>
      </c>
      <c r="E306" s="311" t="str">
        <f>$P$230&amp;"/"&amp;$Q$230</f>
        <v>Mo/Mo</v>
      </c>
      <c r="F306" s="311" t="str">
        <f>$P$230&amp;"/"&amp;$Q$230</f>
        <v>Mo/Mo</v>
      </c>
      <c r="G306" s="311" t="str">
        <f>$P$230&amp;"/"&amp;$Q$230</f>
        <v>Mo/Mo</v>
      </c>
      <c r="H306" s="152"/>
      <c r="I306" s="152"/>
      <c r="J306" s="152"/>
      <c r="K306" s="152"/>
      <c r="M306" s="117"/>
      <c r="O306" s="275"/>
      <c r="P306" s="344" t="s">
        <v>302</v>
      </c>
      <c r="Q306" s="223"/>
      <c r="R306" s="345">
        <f>LEN(Q305)</f>
        <v>0</v>
      </c>
      <c r="S306" s="224"/>
      <c r="T306" s="224"/>
      <c r="U306" s="224"/>
      <c r="V306" s="224"/>
      <c r="W306" s="224"/>
      <c r="X306" s="224"/>
      <c r="Y306" s="274"/>
    </row>
    <row r="307" spans="1:25" ht="14.1" customHeight="1" x14ac:dyDescent="0.2">
      <c r="A307" s="63">
        <v>35</v>
      </c>
      <c r="B307" s="115"/>
      <c r="C307" s="118" t="s">
        <v>320</v>
      </c>
      <c r="D307" s="118">
        <v>24</v>
      </c>
      <c r="E307" s="118">
        <v>25</v>
      </c>
      <c r="F307" s="118">
        <v>28</v>
      </c>
      <c r="G307" s="118">
        <v>32</v>
      </c>
      <c r="H307" s="152"/>
      <c r="I307" s="152"/>
      <c r="J307" s="152"/>
      <c r="K307" s="152"/>
      <c r="M307" s="117"/>
      <c r="O307" s="275"/>
      <c r="P307" s="162" t="s">
        <v>419</v>
      </c>
      <c r="Q307" s="341"/>
      <c r="R307" s="342"/>
      <c r="S307" s="343" t="str">
        <f>IF(AB123="","",AB123)</f>
        <v/>
      </c>
      <c r="T307" s="164"/>
      <c r="U307" s="164"/>
      <c r="V307" s="74"/>
      <c r="W307" s="74"/>
      <c r="X307" s="164"/>
      <c r="Y307" s="274"/>
    </row>
    <row r="308" spans="1:25" ht="14.1" customHeight="1" x14ac:dyDescent="0.2">
      <c r="A308" s="63">
        <v>36</v>
      </c>
      <c r="B308" s="115"/>
      <c r="C308" s="242" t="s">
        <v>402</v>
      </c>
      <c r="D308" s="325" t="str">
        <f t="shared" ref="D308:G309" si="40">IF(Q275="","",Q275)</f>
        <v/>
      </c>
      <c r="E308" s="325" t="str">
        <f t="shared" si="40"/>
        <v/>
      </c>
      <c r="F308" s="325" t="str">
        <f t="shared" si="40"/>
        <v/>
      </c>
      <c r="G308" s="325" t="str">
        <f t="shared" si="40"/>
        <v/>
      </c>
      <c r="H308" s="154"/>
      <c r="I308" s="154"/>
      <c r="J308" s="154"/>
      <c r="K308" s="154"/>
      <c r="M308" s="117"/>
      <c r="O308" s="275"/>
      <c r="P308" s="344" t="s">
        <v>302</v>
      </c>
      <c r="Q308" s="223"/>
      <c r="R308" s="345">
        <f>LEN(Q307)</f>
        <v>0</v>
      </c>
      <c r="S308" s="224"/>
      <c r="T308" s="224"/>
      <c r="U308" s="224"/>
      <c r="V308" s="224"/>
      <c r="W308" s="224"/>
      <c r="X308" s="224"/>
      <c r="Y308" s="274"/>
    </row>
    <row r="309" spans="1:25" ht="14.1" customHeight="1" x14ac:dyDescent="0.2">
      <c r="A309" s="63">
        <v>37</v>
      </c>
      <c r="B309" s="115"/>
      <c r="C309" s="257" t="s">
        <v>403</v>
      </c>
      <c r="D309" s="305" t="str">
        <f t="shared" si="40"/>
        <v/>
      </c>
      <c r="E309" s="305" t="str">
        <f t="shared" si="40"/>
        <v/>
      </c>
      <c r="F309" s="305" t="str">
        <f t="shared" si="40"/>
        <v/>
      </c>
      <c r="G309" s="305" t="str">
        <f t="shared" si="40"/>
        <v/>
      </c>
      <c r="H309" s="211"/>
      <c r="I309" s="211"/>
      <c r="J309" s="211"/>
      <c r="K309" s="211"/>
      <c r="M309" s="117"/>
      <c r="O309" s="277"/>
      <c r="P309" s="240"/>
      <c r="Q309" s="240"/>
      <c r="R309" s="240"/>
      <c r="S309" s="240"/>
      <c r="T309" s="240"/>
      <c r="U309" s="240"/>
      <c r="V309" s="240"/>
      <c r="W309" s="240"/>
      <c r="X309" s="240"/>
      <c r="Y309" s="278"/>
    </row>
    <row r="310" spans="1:25" ht="14.1" customHeight="1" x14ac:dyDescent="0.2">
      <c r="A310" s="63">
        <v>38</v>
      </c>
      <c r="B310" s="115"/>
      <c r="C310" s="242" t="s">
        <v>406</v>
      </c>
      <c r="D310" s="325">
        <f t="shared" ref="D310:G312" si="41">Q277</f>
        <v>0.24</v>
      </c>
      <c r="E310" s="325">
        <f t="shared" si="41"/>
        <v>0.25</v>
      </c>
      <c r="F310" s="325">
        <f t="shared" si="41"/>
        <v>0.28000000000000003</v>
      </c>
      <c r="G310" s="325">
        <f t="shared" si="41"/>
        <v>0.32</v>
      </c>
      <c r="H310" s="154"/>
      <c r="I310" s="154"/>
      <c r="J310" s="154"/>
      <c r="K310" s="154"/>
      <c r="M310" s="117"/>
      <c r="O310" s="74"/>
      <c r="P310" s="74"/>
      <c r="Q310" s="74"/>
      <c r="R310" s="74"/>
      <c r="S310" s="74"/>
      <c r="T310" s="74"/>
      <c r="U310" s="74"/>
      <c r="V310" s="74"/>
      <c r="W310" s="74"/>
      <c r="X310" s="74"/>
      <c r="Y310" s="74"/>
    </row>
    <row r="311" spans="1:25" ht="14.1" customHeight="1" x14ac:dyDescent="0.2">
      <c r="A311" s="63">
        <v>39</v>
      </c>
      <c r="B311" s="115"/>
      <c r="C311" s="257" t="s">
        <v>407</v>
      </c>
      <c r="D311" s="292">
        <f t="shared" si="41"/>
        <v>0.36</v>
      </c>
      <c r="E311" s="292">
        <f t="shared" si="41"/>
        <v>0.37</v>
      </c>
      <c r="F311" s="292">
        <f t="shared" si="41"/>
        <v>0.4</v>
      </c>
      <c r="G311" s="292">
        <f t="shared" si="41"/>
        <v>0.44</v>
      </c>
      <c r="H311" s="154"/>
      <c r="I311" s="154"/>
      <c r="J311" s="154"/>
      <c r="K311" s="154"/>
      <c r="M311" s="117"/>
      <c r="O311" s="74"/>
      <c r="P311" s="74"/>
      <c r="Q311" s="74"/>
      <c r="R311" s="74"/>
      <c r="S311" s="74"/>
      <c r="T311" s="74"/>
      <c r="U311" s="74"/>
      <c r="V311" s="74"/>
      <c r="W311" s="74"/>
      <c r="X311" s="74"/>
      <c r="Y311" s="74"/>
    </row>
    <row r="312" spans="1:25" ht="14.1" customHeight="1" x14ac:dyDescent="0.2">
      <c r="A312" s="63">
        <v>40</v>
      </c>
      <c r="B312" s="115"/>
      <c r="C312" s="83" t="s">
        <v>301</v>
      </c>
      <c r="D312" s="347" t="str">
        <f t="shared" si="41"/>
        <v/>
      </c>
      <c r="E312" s="348" t="str">
        <f t="shared" si="41"/>
        <v/>
      </c>
      <c r="F312" s="348" t="str">
        <f t="shared" si="41"/>
        <v/>
      </c>
      <c r="G312" s="348" t="str">
        <f t="shared" si="41"/>
        <v/>
      </c>
      <c r="H312" s="152"/>
      <c r="I312" s="152"/>
      <c r="J312" s="152"/>
      <c r="K312" s="152"/>
      <c r="M312" s="117"/>
      <c r="O312" s="74"/>
      <c r="P312" s="74"/>
      <c r="Q312" s="74"/>
      <c r="R312" s="74"/>
      <c r="S312" s="74"/>
      <c r="T312" s="74"/>
      <c r="U312" s="74"/>
      <c r="V312" s="74"/>
      <c r="W312" s="74"/>
      <c r="X312" s="74"/>
      <c r="Y312" s="74"/>
    </row>
    <row r="313" spans="1:25" ht="14.1" customHeight="1" x14ac:dyDescent="0.2">
      <c r="A313" s="63">
        <v>41</v>
      </c>
      <c r="B313" s="115"/>
      <c r="D313" s="167" t="s">
        <v>284</v>
      </c>
      <c r="E313" s="74" t="s">
        <v>408</v>
      </c>
      <c r="M313" s="117"/>
      <c r="O313" s="74"/>
      <c r="P313" s="74"/>
      <c r="Q313" s="74"/>
      <c r="R313" s="74"/>
      <c r="S313" s="74"/>
      <c r="T313" s="74"/>
      <c r="U313" s="74"/>
      <c r="V313" s="74"/>
      <c r="W313" s="74"/>
      <c r="X313" s="74"/>
      <c r="Y313" s="74"/>
    </row>
    <row r="314" spans="1:25" ht="14.1" customHeight="1" x14ac:dyDescent="0.2">
      <c r="A314" s="63">
        <v>42</v>
      </c>
      <c r="B314" s="115"/>
      <c r="M314" s="117"/>
      <c r="O314" s="74"/>
      <c r="P314" s="74"/>
      <c r="Q314" s="74"/>
      <c r="R314" s="74"/>
      <c r="S314" s="74"/>
      <c r="T314" s="74"/>
      <c r="U314" s="74"/>
      <c r="V314" s="74"/>
      <c r="W314" s="74"/>
      <c r="X314" s="74"/>
      <c r="Y314" s="74"/>
    </row>
    <row r="315" spans="1:25" ht="14.1" customHeight="1" x14ac:dyDescent="0.2">
      <c r="A315" s="63">
        <v>43</v>
      </c>
      <c r="B315" s="115"/>
      <c r="H315" s="102" t="s">
        <v>424</v>
      </c>
      <c r="M315" s="117"/>
      <c r="O315" s="74"/>
      <c r="P315" s="74"/>
      <c r="Q315" s="74"/>
      <c r="R315" s="74"/>
      <c r="S315" s="74"/>
      <c r="T315" s="74"/>
      <c r="U315" s="74"/>
      <c r="V315" s="74"/>
      <c r="W315" s="74"/>
      <c r="X315" s="74"/>
      <c r="Y315" s="74"/>
    </row>
    <row r="316" spans="1:25" ht="14.1" customHeight="1" x14ac:dyDescent="0.2">
      <c r="A316" s="63">
        <v>44</v>
      </c>
      <c r="B316" s="115"/>
      <c r="C316" s="349" t="str">
        <f>IF(Q295="","",IF(LEN(Q295)&lt;=135,Q295,IF(LEN(Q295)&lt;=260,LEFT(Q295,SEARCH(" ",Q295,125)),LEFT(Q295,SEARCH(" ",Q295,130)))))</f>
        <v/>
      </c>
      <c r="D316" s="350"/>
      <c r="E316" s="350"/>
      <c r="F316" s="350"/>
      <c r="G316" s="350"/>
      <c r="H316" s="350"/>
      <c r="I316" s="350"/>
      <c r="J316" s="350"/>
      <c r="K316" s="350"/>
      <c r="L316" s="350"/>
      <c r="M316" s="117"/>
      <c r="O316" s="74"/>
      <c r="P316" s="74"/>
      <c r="Q316" s="74"/>
      <c r="R316" s="74"/>
      <c r="S316" s="74"/>
      <c r="T316" s="74"/>
      <c r="U316" s="74"/>
      <c r="V316" s="74"/>
      <c r="W316" s="74"/>
      <c r="X316" s="74"/>
      <c r="Y316" s="74"/>
    </row>
    <row r="317" spans="1:25" ht="14.1" customHeight="1" x14ac:dyDescent="0.2">
      <c r="A317" s="63">
        <v>45</v>
      </c>
      <c r="B317" s="115"/>
      <c r="C317" s="351" t="str">
        <f>IF(LEN(Q295)&lt;=135,"",IF(LEN(Q295)&lt;=260,RIGHT(Q295,LEN(Q295)-SEARCH(" ",Q295,125)),MID(Q295,SEARCH(" ",Q295,130),IF(LEN(Q295)&lt;=265,LEN(Q295),SEARCH(" ",Q295,255)-SEARCH(" ",Q295,130)))))</f>
        <v/>
      </c>
      <c r="D317" s="352"/>
      <c r="E317" s="352"/>
      <c r="F317" s="352"/>
      <c r="G317" s="352"/>
      <c r="H317" s="352"/>
      <c r="I317" s="352"/>
      <c r="J317" s="352"/>
      <c r="K317" s="352"/>
      <c r="L317" s="352"/>
      <c r="M317" s="117"/>
      <c r="O317" s="74"/>
      <c r="P317" s="74"/>
      <c r="Q317" s="74"/>
      <c r="R317" s="74"/>
      <c r="S317" s="74"/>
      <c r="T317" s="74"/>
      <c r="U317" s="74"/>
      <c r="V317" s="74"/>
      <c r="W317" s="74"/>
      <c r="X317" s="74"/>
      <c r="Y317" s="74"/>
    </row>
    <row r="318" spans="1:25" ht="14.1" customHeight="1" x14ac:dyDescent="0.2">
      <c r="A318" s="63">
        <v>46</v>
      </c>
      <c r="B318" s="115"/>
      <c r="C318" s="351" t="str">
        <f>IF(LEN(Q295)&lt;=265,"",RIGHT(Q295,LEN(Q295)-SEARCH(" ",Q295,255)))</f>
        <v/>
      </c>
      <c r="D318" s="352"/>
      <c r="E318" s="352"/>
      <c r="F318" s="352"/>
      <c r="G318" s="352"/>
      <c r="H318" s="352"/>
      <c r="I318" s="352"/>
      <c r="J318" s="352"/>
      <c r="K318" s="352"/>
      <c r="L318" s="352"/>
      <c r="M318" s="117"/>
      <c r="O318" s="74"/>
      <c r="P318" s="74"/>
      <c r="Q318" s="74"/>
      <c r="R318" s="74"/>
      <c r="S318" s="74"/>
      <c r="T318" s="74"/>
      <c r="U318" s="74"/>
      <c r="V318" s="74"/>
      <c r="W318" s="74"/>
      <c r="X318" s="74"/>
      <c r="Y318" s="74"/>
    </row>
    <row r="319" spans="1:25" ht="14.1" customHeight="1" x14ac:dyDescent="0.2">
      <c r="A319" s="63">
        <v>47</v>
      </c>
      <c r="B319" s="115"/>
      <c r="C319" s="349" t="str">
        <f>IF(Q297="","",IF(LEN(Q297)&lt;=135,Q297,IF(LEN(Q297)&lt;=260,LEFT(Q297,SEARCH(" ",Q297,125)),LEFT(Q297,SEARCH(" ",Q297,130)))))</f>
        <v/>
      </c>
      <c r="D319" s="350"/>
      <c r="E319" s="350"/>
      <c r="F319" s="350"/>
      <c r="G319" s="350"/>
      <c r="H319" s="350"/>
      <c r="I319" s="350"/>
      <c r="J319" s="350"/>
      <c r="K319" s="350"/>
      <c r="L319" s="350"/>
      <c r="M319" s="117"/>
      <c r="O319" s="74"/>
      <c r="P319" s="74"/>
      <c r="Q319" s="74"/>
      <c r="R319" s="74"/>
      <c r="S319" s="74"/>
      <c r="T319" s="74"/>
      <c r="U319" s="74"/>
      <c r="V319" s="74"/>
      <c r="W319" s="74"/>
      <c r="X319" s="74"/>
      <c r="Y319" s="74"/>
    </row>
    <row r="320" spans="1:25" ht="14.1" customHeight="1" x14ac:dyDescent="0.2">
      <c r="A320" s="63">
        <v>48</v>
      </c>
      <c r="B320" s="115"/>
      <c r="C320" s="351" t="str">
        <f>IF(LEN(Q297)&lt;=135,"",IF(LEN(Q297)&lt;=260,RIGHT(Q297,LEN(Q297)-SEARCH(" ",Q297,125)),MID(Q297,SEARCH(" ",Q297,130),IF(LEN(Q297)&lt;=265,LEN(Q297),SEARCH(" ",Q297,255)-SEARCH(" ",Q297,130)))))</f>
        <v/>
      </c>
      <c r="D320" s="352"/>
      <c r="E320" s="352"/>
      <c r="F320" s="352"/>
      <c r="G320" s="352"/>
      <c r="H320" s="352"/>
      <c r="I320" s="352"/>
      <c r="J320" s="352"/>
      <c r="K320" s="352"/>
      <c r="L320" s="352"/>
      <c r="M320" s="117"/>
      <c r="O320" s="74"/>
      <c r="P320" s="74"/>
      <c r="Q320" s="74"/>
      <c r="R320" s="74"/>
      <c r="S320" s="74"/>
      <c r="T320" s="74"/>
      <c r="U320" s="74"/>
      <c r="V320" s="74"/>
      <c r="W320" s="74"/>
      <c r="X320" s="74"/>
      <c r="Y320" s="74"/>
    </row>
    <row r="321" spans="1:25" ht="14.1" customHeight="1" x14ac:dyDescent="0.2">
      <c r="A321" s="63">
        <v>49</v>
      </c>
      <c r="B321" s="115"/>
      <c r="C321" s="351" t="str">
        <f>IF(LEN(Q297)&lt;=265,"",RIGHT(Q297,LEN(Q297)-SEARCH(" ",Q297,255)))</f>
        <v/>
      </c>
      <c r="D321" s="352"/>
      <c r="E321" s="352"/>
      <c r="F321" s="352"/>
      <c r="G321" s="352"/>
      <c r="H321" s="352"/>
      <c r="I321" s="352"/>
      <c r="J321" s="352"/>
      <c r="K321" s="352"/>
      <c r="L321" s="352"/>
      <c r="M321" s="117"/>
      <c r="O321" s="74"/>
      <c r="P321" s="74"/>
      <c r="Q321" s="74"/>
      <c r="R321" s="74"/>
      <c r="S321" s="74"/>
      <c r="T321" s="74"/>
      <c r="U321" s="74"/>
      <c r="V321" s="74"/>
      <c r="W321" s="74"/>
      <c r="X321" s="74"/>
      <c r="Y321" s="74"/>
    </row>
    <row r="322" spans="1:25" ht="14.1" customHeight="1" x14ac:dyDescent="0.2">
      <c r="A322" s="63">
        <v>50</v>
      </c>
      <c r="B322" s="115"/>
      <c r="C322" s="349" t="str">
        <f>IF(Q299="","",IF(LEN(Q299)&lt;=135,Q299,IF(LEN(Q299)&lt;=260,LEFT(Q299,SEARCH(" ",Q299,125)),LEFT(Q299,SEARCH(" ",Q299,130)))))</f>
        <v/>
      </c>
      <c r="D322" s="350"/>
      <c r="E322" s="350"/>
      <c r="F322" s="350"/>
      <c r="G322" s="350"/>
      <c r="H322" s="350"/>
      <c r="I322" s="350"/>
      <c r="J322" s="350"/>
      <c r="K322" s="350"/>
      <c r="L322" s="350"/>
      <c r="M322" s="117"/>
      <c r="O322" s="74"/>
      <c r="P322" s="74"/>
      <c r="Q322" s="74"/>
      <c r="R322" s="74"/>
      <c r="S322" s="74"/>
      <c r="T322" s="74"/>
      <c r="U322" s="74"/>
      <c r="V322" s="74"/>
      <c r="W322" s="74"/>
      <c r="X322" s="74"/>
      <c r="Y322" s="74"/>
    </row>
    <row r="323" spans="1:25" ht="14.1" customHeight="1" x14ac:dyDescent="0.2">
      <c r="A323" s="63">
        <v>51</v>
      </c>
      <c r="B323" s="115"/>
      <c r="C323" s="351" t="str">
        <f>IF(LEN(Q299)&lt;=135,"",IF(LEN(Q299)&lt;=260,RIGHT(Q299,LEN(Q299)-SEARCH(" ",Q299,125)),MID(Q299,SEARCH(" ",Q299,130),IF(LEN(Q299)&lt;=265,LEN(Q299),SEARCH(" ",Q299,255)-SEARCH(" ",Q299,130)))))</f>
        <v/>
      </c>
      <c r="D323" s="352"/>
      <c r="E323" s="352"/>
      <c r="F323" s="352"/>
      <c r="G323" s="352"/>
      <c r="H323" s="352"/>
      <c r="I323" s="352"/>
      <c r="J323" s="352"/>
      <c r="K323" s="352"/>
      <c r="L323" s="352"/>
      <c r="M323" s="117"/>
      <c r="O323" s="74"/>
      <c r="P323" s="74"/>
      <c r="Q323" s="74"/>
      <c r="R323" s="74"/>
      <c r="S323" s="74"/>
      <c r="T323" s="74"/>
      <c r="U323" s="74"/>
      <c r="V323" s="74"/>
      <c r="W323" s="74"/>
      <c r="X323" s="74"/>
      <c r="Y323" s="74"/>
    </row>
    <row r="324" spans="1:25" ht="14.1" customHeight="1" x14ac:dyDescent="0.2">
      <c r="A324" s="63">
        <v>52</v>
      </c>
      <c r="B324" s="115"/>
      <c r="C324" s="351" t="str">
        <f>IF(LEN(Q299)&lt;=265,"",RIGHT(Q299,LEN(Q299)-SEARCH(" ",Q299,255)))</f>
        <v/>
      </c>
      <c r="D324" s="352"/>
      <c r="E324" s="352"/>
      <c r="F324" s="352"/>
      <c r="G324" s="352"/>
      <c r="H324" s="352"/>
      <c r="I324" s="352"/>
      <c r="J324" s="352"/>
      <c r="K324" s="352"/>
      <c r="L324" s="352"/>
      <c r="M324" s="117"/>
      <c r="O324" s="74"/>
      <c r="P324" s="74"/>
      <c r="Q324" s="74"/>
      <c r="R324" s="74"/>
      <c r="S324" s="74"/>
      <c r="T324" s="74"/>
      <c r="U324" s="74"/>
      <c r="V324" s="74"/>
      <c r="W324" s="74"/>
      <c r="X324" s="74"/>
      <c r="Y324" s="74"/>
    </row>
    <row r="325" spans="1:25" ht="14.1" customHeight="1" x14ac:dyDescent="0.2">
      <c r="A325" s="63">
        <v>53</v>
      </c>
      <c r="B325" s="115"/>
      <c r="C325" s="349" t="str">
        <f>IF(Q301="","",IF(LEN(Q301)&lt;=135,Q301,IF(LEN(Q301)&lt;=260,LEFT(Q301,SEARCH(" ",Q301,125)),LEFT(Q301,SEARCH(" ",Q301,130)))))</f>
        <v/>
      </c>
      <c r="D325" s="350"/>
      <c r="E325" s="350"/>
      <c r="F325" s="350"/>
      <c r="G325" s="350"/>
      <c r="H325" s="350"/>
      <c r="I325" s="350"/>
      <c r="J325" s="350"/>
      <c r="K325" s="350"/>
      <c r="L325" s="350"/>
      <c r="M325" s="117"/>
      <c r="O325" s="74"/>
      <c r="P325" s="74"/>
      <c r="Q325" s="74"/>
      <c r="R325" s="74"/>
      <c r="S325" s="74"/>
      <c r="T325" s="74"/>
      <c r="U325" s="74"/>
      <c r="V325" s="74"/>
      <c r="W325" s="74"/>
      <c r="X325" s="74"/>
      <c r="Y325" s="74"/>
    </row>
    <row r="326" spans="1:25" ht="14.1" customHeight="1" x14ac:dyDescent="0.2">
      <c r="A326" s="63">
        <v>54</v>
      </c>
      <c r="B326" s="115"/>
      <c r="C326" s="351" t="str">
        <f>IF(LEN(Q301)&lt;=135,"",IF(LEN(Q301)&lt;=260,RIGHT(Q301,LEN(Q301)-SEARCH(" ",Q301,125)),MID(Q301,SEARCH(" ",Q301,130),IF(LEN(Q301)&lt;=265,LEN(Q301),SEARCH(" ",Q301,255)-SEARCH(" ",Q301,130)))))</f>
        <v/>
      </c>
      <c r="D326" s="352"/>
      <c r="E326" s="352"/>
      <c r="F326" s="352"/>
      <c r="G326" s="352"/>
      <c r="H326" s="352"/>
      <c r="I326" s="352"/>
      <c r="J326" s="352"/>
      <c r="K326" s="352"/>
      <c r="L326" s="352"/>
      <c r="M326" s="117"/>
      <c r="O326" s="74"/>
      <c r="P326" s="74"/>
      <c r="Q326" s="74"/>
      <c r="R326" s="74"/>
      <c r="S326" s="74"/>
      <c r="T326" s="74"/>
      <c r="U326" s="74"/>
      <c r="V326" s="74"/>
      <c r="W326" s="74"/>
      <c r="X326" s="74"/>
      <c r="Y326" s="74"/>
    </row>
    <row r="327" spans="1:25" ht="14.1" customHeight="1" x14ac:dyDescent="0.2">
      <c r="A327" s="63">
        <v>55</v>
      </c>
      <c r="B327" s="115"/>
      <c r="C327" s="351" t="str">
        <f>IF(LEN(Q301)&lt;=265,"",RIGHT(Q301,LEN(Q301)-SEARCH(" ",Q301,255)))</f>
        <v/>
      </c>
      <c r="D327" s="352"/>
      <c r="E327" s="352"/>
      <c r="F327" s="352"/>
      <c r="G327" s="352"/>
      <c r="H327" s="352"/>
      <c r="I327" s="352"/>
      <c r="J327" s="352"/>
      <c r="K327" s="352"/>
      <c r="L327" s="352"/>
      <c r="M327" s="117"/>
      <c r="O327" s="74"/>
      <c r="P327" s="74"/>
      <c r="Q327" s="74"/>
      <c r="R327" s="74"/>
      <c r="S327" s="74"/>
      <c r="T327" s="74"/>
      <c r="U327" s="74"/>
      <c r="V327" s="74"/>
      <c r="W327" s="74"/>
      <c r="X327" s="74"/>
      <c r="Y327" s="74"/>
    </row>
    <row r="328" spans="1:25" ht="14.1" customHeight="1" x14ac:dyDescent="0.2">
      <c r="A328" s="63">
        <v>56</v>
      </c>
      <c r="B328" s="115"/>
      <c r="C328" s="349" t="str">
        <f>IF(Q303="","",IF(LEN(Q303)&lt;=135,Q303,IF(LEN(Q303)&lt;=260,LEFT(Q303,SEARCH(" ",Q303,125)),LEFT(Q303,SEARCH(" ",Q303,130)))))</f>
        <v/>
      </c>
      <c r="D328" s="350"/>
      <c r="E328" s="350"/>
      <c r="F328" s="350"/>
      <c r="G328" s="350"/>
      <c r="H328" s="350"/>
      <c r="I328" s="350"/>
      <c r="J328" s="350"/>
      <c r="K328" s="350"/>
      <c r="L328" s="350"/>
      <c r="M328" s="117"/>
      <c r="O328" s="74"/>
      <c r="P328" s="74"/>
      <c r="Q328" s="74"/>
      <c r="R328" s="74"/>
      <c r="S328" s="74"/>
      <c r="T328" s="74"/>
      <c r="U328" s="74"/>
      <c r="V328" s="74"/>
      <c r="W328" s="74"/>
      <c r="X328" s="74"/>
      <c r="Y328" s="74"/>
    </row>
    <row r="329" spans="1:25" ht="14.1" customHeight="1" x14ac:dyDescent="0.2">
      <c r="A329" s="63">
        <v>57</v>
      </c>
      <c r="B329" s="115"/>
      <c r="C329" s="351" t="str">
        <f>IF(LEN(Q303)&lt;=135,"",IF(LEN(Q303)&lt;=260,RIGHT(Q303,LEN(Q303)-SEARCH(" ",Q303,125)),MID(Q303,SEARCH(" ",Q303,130),IF(LEN(Q303)&lt;=265,LEN(Q303),SEARCH(" ",Q303,255)-SEARCH(" ",Q303,130)))))</f>
        <v/>
      </c>
      <c r="D329" s="352"/>
      <c r="E329" s="352"/>
      <c r="F329" s="352"/>
      <c r="G329" s="352"/>
      <c r="H329" s="352"/>
      <c r="I329" s="352"/>
      <c r="J329" s="352"/>
      <c r="K329" s="352"/>
      <c r="L329" s="352"/>
      <c r="M329" s="117"/>
      <c r="O329" s="74"/>
      <c r="P329" s="74"/>
      <c r="Q329" s="74"/>
      <c r="R329" s="74"/>
      <c r="S329" s="74"/>
      <c r="T329" s="74"/>
      <c r="U329" s="74"/>
      <c r="V329" s="74"/>
      <c r="W329" s="74"/>
      <c r="X329" s="74"/>
      <c r="Y329" s="74"/>
    </row>
    <row r="330" spans="1:25" ht="14.1" customHeight="1" x14ac:dyDescent="0.2">
      <c r="A330" s="63">
        <v>58</v>
      </c>
      <c r="B330" s="115"/>
      <c r="C330" s="351" t="str">
        <f>IF(LEN(Q303)&lt;=265,"",RIGHT(Q303,LEN(Q303)-SEARCH(" ",Q303,255)))</f>
        <v/>
      </c>
      <c r="D330" s="352"/>
      <c r="E330" s="352"/>
      <c r="F330" s="352"/>
      <c r="G330" s="352"/>
      <c r="H330" s="352"/>
      <c r="I330" s="352"/>
      <c r="J330" s="352"/>
      <c r="K330" s="352"/>
      <c r="L330" s="352"/>
      <c r="M330" s="117"/>
      <c r="O330" s="74"/>
      <c r="P330" s="74"/>
      <c r="Q330" s="74"/>
      <c r="R330" s="74"/>
      <c r="S330" s="74"/>
      <c r="T330" s="74"/>
      <c r="U330" s="74"/>
      <c r="V330" s="74"/>
      <c r="W330" s="74"/>
      <c r="X330" s="74"/>
      <c r="Y330" s="74"/>
    </row>
    <row r="331" spans="1:25" ht="14.1" customHeight="1" x14ac:dyDescent="0.2">
      <c r="A331" s="63">
        <v>59</v>
      </c>
      <c r="B331" s="115"/>
      <c r="C331" s="349" t="str">
        <f>IF(Q305="","",IF(LEN(Q305)&lt;=135,Q305,IF(LEN(Q305)&lt;=260,LEFT(Q305,SEARCH(" ",Q305,125)),LEFT(Q305,SEARCH(" ",Q305,130)))))</f>
        <v/>
      </c>
      <c r="D331" s="350"/>
      <c r="E331" s="350"/>
      <c r="F331" s="350"/>
      <c r="G331" s="350"/>
      <c r="H331" s="350"/>
      <c r="I331" s="350"/>
      <c r="J331" s="350"/>
      <c r="K331" s="350"/>
      <c r="L331" s="350"/>
      <c r="M331" s="117"/>
      <c r="O331" s="74"/>
      <c r="P331" s="74"/>
      <c r="Q331" s="74"/>
      <c r="R331" s="74"/>
      <c r="S331" s="74"/>
      <c r="T331" s="74"/>
      <c r="U331" s="74"/>
      <c r="V331" s="74"/>
      <c r="W331" s="74"/>
      <c r="X331" s="74"/>
      <c r="Y331" s="74"/>
    </row>
    <row r="332" spans="1:25" ht="14.1" customHeight="1" x14ac:dyDescent="0.2">
      <c r="A332" s="63">
        <v>60</v>
      </c>
      <c r="B332" s="115"/>
      <c r="C332" s="351" t="str">
        <f>IF(LEN(Q305)&lt;=135,"",IF(LEN(Q305)&lt;=260,RIGHT(Q305,LEN(Q305)-SEARCH(" ",Q305,125)),MID(Q305,SEARCH(" ",Q305,130),IF(LEN(Q305)&lt;=265,LEN(Q305),SEARCH(" ",Q305,255)-SEARCH(" ",Q305,130)))))</f>
        <v/>
      </c>
      <c r="D332" s="352"/>
      <c r="E332" s="352"/>
      <c r="F332" s="352"/>
      <c r="G332" s="352"/>
      <c r="H332" s="352"/>
      <c r="I332" s="352"/>
      <c r="J332" s="352"/>
      <c r="K332" s="352"/>
      <c r="L332" s="352"/>
      <c r="M332" s="117"/>
      <c r="O332" s="74"/>
      <c r="P332" s="74"/>
      <c r="Q332" s="74"/>
      <c r="R332" s="74"/>
      <c r="S332" s="74"/>
      <c r="T332" s="74"/>
      <c r="U332" s="74"/>
      <c r="V332" s="74"/>
      <c r="W332" s="74"/>
      <c r="X332" s="74"/>
      <c r="Y332" s="74"/>
    </row>
    <row r="333" spans="1:25" ht="14.1" customHeight="1" x14ac:dyDescent="0.2">
      <c r="A333" s="63">
        <v>61</v>
      </c>
      <c r="B333" s="115"/>
      <c r="C333" s="351" t="str">
        <f>IF(LEN(Q305)&lt;=265,"",RIGHT(Q305,LEN(Q305)-SEARCH(" ",Q305,255)))</f>
        <v/>
      </c>
      <c r="D333" s="352"/>
      <c r="E333" s="352"/>
      <c r="F333" s="352"/>
      <c r="G333" s="352"/>
      <c r="H333" s="352"/>
      <c r="I333" s="352"/>
      <c r="J333" s="352"/>
      <c r="K333" s="352"/>
      <c r="L333" s="352"/>
      <c r="M333" s="117"/>
      <c r="O333" s="74"/>
      <c r="P333" s="74"/>
      <c r="Q333" s="74"/>
      <c r="R333" s="74"/>
      <c r="S333" s="74"/>
      <c r="T333" s="74"/>
      <c r="U333" s="74"/>
      <c r="V333" s="74"/>
      <c r="W333" s="74"/>
      <c r="X333" s="74"/>
      <c r="Y333" s="74"/>
    </row>
    <row r="334" spans="1:25" ht="14.1" customHeight="1" x14ac:dyDescent="0.2">
      <c r="A334" s="63">
        <v>62</v>
      </c>
      <c r="B334" s="115"/>
      <c r="C334" s="349" t="str">
        <f>IF(Q307="","",IF(LEN(Q307)&lt;=135,Q307,IF(LEN(Q307)&lt;=260,LEFT(Q307,SEARCH(" ",Q307,125)),LEFT(Q307,SEARCH(" ",Q307,130)))))</f>
        <v/>
      </c>
      <c r="D334" s="350"/>
      <c r="E334" s="350"/>
      <c r="F334" s="350"/>
      <c r="G334" s="350"/>
      <c r="H334" s="350"/>
      <c r="I334" s="350"/>
      <c r="J334" s="350"/>
      <c r="K334" s="350"/>
      <c r="L334" s="350"/>
      <c r="M334" s="117"/>
      <c r="O334" s="74"/>
      <c r="P334" s="74"/>
      <c r="Q334" s="74"/>
      <c r="R334" s="74"/>
      <c r="S334" s="74"/>
      <c r="T334" s="74"/>
      <c r="U334" s="74"/>
      <c r="V334" s="74"/>
      <c r="W334" s="74"/>
      <c r="X334" s="74"/>
      <c r="Y334" s="74"/>
    </row>
    <row r="335" spans="1:25" ht="14.1" customHeight="1" x14ac:dyDescent="0.2">
      <c r="A335" s="63">
        <v>63</v>
      </c>
      <c r="B335" s="115"/>
      <c r="C335" s="351" t="str">
        <f>IF(LEN(Q307)&lt;=135,"",IF(LEN(Q307)&lt;=260,RIGHT(Q307,LEN(Q307)-SEARCH(" ",Q307,125)),MID(Q307,SEARCH(" ",Q307,130),IF(LEN(Q307)&lt;=265,LEN(Q307),SEARCH(" ",Q307,255)-SEARCH(" ",Q307,130)))))</f>
        <v/>
      </c>
      <c r="D335" s="352"/>
      <c r="E335" s="352"/>
      <c r="F335" s="352"/>
      <c r="G335" s="352"/>
      <c r="H335" s="352"/>
      <c r="I335" s="352"/>
      <c r="J335" s="352"/>
      <c r="K335" s="352"/>
      <c r="L335" s="352"/>
      <c r="M335" s="117"/>
      <c r="O335" s="74"/>
      <c r="P335" s="74"/>
      <c r="Q335" s="74"/>
      <c r="R335" s="74"/>
      <c r="S335" s="74"/>
      <c r="T335" s="74"/>
      <c r="U335" s="74"/>
      <c r="V335" s="74"/>
      <c r="W335" s="74"/>
      <c r="X335" s="74"/>
      <c r="Y335" s="74"/>
    </row>
    <row r="336" spans="1:25" ht="14.1" customHeight="1" x14ac:dyDescent="0.2">
      <c r="A336" s="63">
        <v>64</v>
      </c>
      <c r="B336" s="128"/>
      <c r="C336" s="353" t="str">
        <f>IF(LEN(Q307)&lt;=265,"",RIGHT(Q307,LEN(Q307)-SEARCH(" ",Q307,255)))</f>
        <v/>
      </c>
      <c r="D336" s="354"/>
      <c r="E336" s="354"/>
      <c r="F336" s="354"/>
      <c r="G336" s="354"/>
      <c r="H336" s="354"/>
      <c r="I336" s="354"/>
      <c r="J336" s="354"/>
      <c r="K336" s="354"/>
      <c r="L336" s="354"/>
      <c r="M336" s="130"/>
      <c r="O336" s="74"/>
      <c r="P336" s="74"/>
      <c r="Q336" s="74"/>
      <c r="R336" s="74"/>
      <c r="S336" s="74"/>
      <c r="T336" s="74"/>
      <c r="U336" s="74"/>
      <c r="V336" s="74"/>
      <c r="W336" s="355"/>
      <c r="X336" s="74"/>
      <c r="Y336" s="74"/>
    </row>
    <row r="337" spans="1:25" ht="14.1" customHeight="1" x14ac:dyDescent="0.2">
      <c r="A337" s="63">
        <v>65</v>
      </c>
      <c r="C337" s="162" t="s">
        <v>91</v>
      </c>
      <c r="D337" s="356" t="str">
        <f>IF($P$7="","",$P$7)</f>
        <v/>
      </c>
      <c r="E337" s="74"/>
      <c r="F337" s="74"/>
      <c r="G337" s="74"/>
      <c r="H337" s="74"/>
      <c r="I337" s="74"/>
      <c r="J337" s="74"/>
      <c r="K337" s="74"/>
      <c r="L337" s="162" t="s">
        <v>92</v>
      </c>
      <c r="M337" s="164" t="str">
        <f>IF($X$7="","",$X$7)</f>
        <v>Eugene Mah</v>
      </c>
      <c r="O337" s="74"/>
      <c r="P337" s="74"/>
      <c r="Q337" s="74"/>
      <c r="R337" s="74"/>
      <c r="S337" s="74"/>
      <c r="T337" s="74"/>
      <c r="U337" s="74"/>
      <c r="V337" s="74"/>
      <c r="W337" s="74"/>
      <c r="X337" s="74"/>
      <c r="Y337" s="74"/>
    </row>
    <row r="338" spans="1:25" ht="14.1" customHeight="1" x14ac:dyDescent="0.2">
      <c r="A338" s="63">
        <v>66</v>
      </c>
      <c r="C338" s="162" t="s">
        <v>197</v>
      </c>
      <c r="D338" s="165" t="str">
        <f>IF($R$14="","",$R$14)</f>
        <v/>
      </c>
      <c r="E338" s="74"/>
      <c r="F338" s="74"/>
      <c r="G338" s="74"/>
      <c r="H338" s="74"/>
      <c r="I338" s="74"/>
      <c r="J338" s="74"/>
      <c r="K338" s="74"/>
      <c r="L338" s="162" t="s">
        <v>115</v>
      </c>
      <c r="M338" s="164" t="str">
        <f>IF($R$13="","",$R$13)</f>
        <v/>
      </c>
      <c r="O338" s="74"/>
      <c r="P338" s="74"/>
      <c r="Q338" s="74"/>
      <c r="R338" s="74"/>
      <c r="S338" s="74"/>
      <c r="T338" s="74"/>
      <c r="U338" s="74"/>
      <c r="V338" s="74"/>
      <c r="W338" s="74"/>
      <c r="X338" s="74"/>
      <c r="Y338" s="74"/>
    </row>
  </sheetData>
  <customSheetViews>
    <customSheetView guid="{D62192A2-80E4-4F30-AFA0-04511C5E7F57}" scale="75">
      <rowBreaks count="4" manualBreakCount="4">
        <brk id="68" min="1" max="12" man="1"/>
        <brk id="136" min="1" max="12" man="1"/>
        <brk id="204" min="1" max="12" man="1"/>
        <brk id="272" min="1" max="12" man="1"/>
      </rowBreaks>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customSheetView>
  </customSheetViews>
  <mergeCells count="59">
    <mergeCell ref="E260:F260"/>
    <mergeCell ref="Q268:T268"/>
    <mergeCell ref="I275:J275"/>
    <mergeCell ref="I276:J276"/>
    <mergeCell ref="U283:V283"/>
    <mergeCell ref="S226:T226"/>
    <mergeCell ref="T228:X228"/>
    <mergeCell ref="T241:X241"/>
    <mergeCell ref="T255:X255"/>
    <mergeCell ref="D259:E259"/>
    <mergeCell ref="L259:M259"/>
    <mergeCell ref="R158:S158"/>
    <mergeCell ref="T158:U158"/>
    <mergeCell ref="E179:F179"/>
    <mergeCell ref="G179:H179"/>
    <mergeCell ref="S225:T225"/>
    <mergeCell ref="S98:U98"/>
    <mergeCell ref="P105:R105"/>
    <mergeCell ref="S105:U105"/>
    <mergeCell ref="V105:X105"/>
    <mergeCell ref="S106:U106"/>
    <mergeCell ref="G36:I36"/>
    <mergeCell ref="L44:M44"/>
    <mergeCell ref="P97:R97"/>
    <mergeCell ref="S97:U97"/>
    <mergeCell ref="V97:X97"/>
    <mergeCell ref="F30:G30"/>
    <mergeCell ref="K30:L30"/>
    <mergeCell ref="D35:F35"/>
    <mergeCell ref="G35:I35"/>
    <mergeCell ref="J35:L35"/>
    <mergeCell ref="K27:L27"/>
    <mergeCell ref="F28:G28"/>
    <mergeCell ref="K28:L28"/>
    <mergeCell ref="F29:G29"/>
    <mergeCell ref="K29:L29"/>
    <mergeCell ref="K23:L23"/>
    <mergeCell ref="F24:G24"/>
    <mergeCell ref="K24:L24"/>
    <mergeCell ref="F25:G25"/>
    <mergeCell ref="F26:G26"/>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45:L49 L51:L62 L72:L103">
    <cfRule type="cellIs" dxfId="23" priority="31" operator="equal">
      <formula>"TBD"</formula>
    </cfRule>
  </conditionalFormatting>
  <conditionalFormatting sqref="I226:I228 I230:I233 J181 E165 K142">
    <cfRule type="cellIs" dxfId="22" priority="29" operator="equal">
      <formula>"Fail"</formula>
    </cfRule>
  </conditionalFormatting>
  <conditionalFormatting sqref="K147:K149">
    <cfRule type="cellIs" dxfId="21" priority="26" operator="equal">
      <formula>"NO"</formula>
    </cfRule>
    <cfRule type="cellIs" dxfId="20" priority="27" operator="equal">
      <formula>"TBD"</formula>
    </cfRule>
  </conditionalFormatting>
  <conditionalFormatting sqref="V169:V175">
    <cfRule type="cellIs" dxfId="19" priority="24" operator="lessThan">
      <formula>0.1</formula>
    </cfRule>
    <cfRule type="cellIs" dxfId="18" priority="25" operator="greaterThan">
      <formula>0.1</formula>
    </cfRule>
  </conditionalFormatting>
  <conditionalFormatting sqref="X216 L243">
    <cfRule type="cellIs" dxfId="17" priority="23" operator="greaterThan">
      <formula>3</formula>
    </cfRule>
  </conditionalFormatting>
  <conditionalFormatting sqref="D312:G312 Q279:U279">
    <cfRule type="cellIs" dxfId="16" priority="21" operator="equal">
      <formula>"Fail"</formula>
    </cfRule>
  </conditionalFormatting>
  <conditionalFormatting sqref="I289:L289 E289">
    <cfRule type="cellIs" dxfId="15" priority="19" operator="equal">
      <formula>"NO"</formula>
    </cfRule>
  </conditionalFormatting>
  <conditionalFormatting sqref="T249:X249">
    <cfRule type="cellIs" dxfId="14" priority="17" operator="lessThan">
      <formula>0.05</formula>
    </cfRule>
    <cfRule type="cellIs" dxfId="13" priority="18" operator="greaterThan">
      <formula>0.05</formula>
    </cfRule>
  </conditionalFormatting>
  <conditionalFormatting sqref="I288:L288">
    <cfRule type="cellIs" dxfId="12" priority="16" operator="greaterThan">
      <formula>0.05</formula>
    </cfRule>
  </conditionalFormatting>
  <conditionalFormatting sqref="E282:E288">
    <cfRule type="cellIs" dxfId="11" priority="14" operator="greaterThan">
      <formula>0.05</formula>
    </cfRule>
  </conditionalFormatting>
  <conditionalFormatting sqref="Q275">
    <cfRule type="cellIs" dxfId="10" priority="12" operator="between">
      <formula>$Q$277</formula>
      <formula>$Q$278</formula>
    </cfRule>
  </conditionalFormatting>
  <conditionalFormatting sqref="R275">
    <cfRule type="cellIs" dxfId="9" priority="11" operator="between">
      <formula>$R$277</formula>
      <formula>$R$278</formula>
    </cfRule>
  </conditionalFormatting>
  <conditionalFormatting sqref="S275">
    <cfRule type="cellIs" dxfId="8" priority="10" operator="between">
      <formula>$S$277</formula>
      <formula>$S$278</formula>
    </cfRule>
  </conditionalFormatting>
  <conditionalFormatting sqref="T275:U275">
    <cfRule type="cellIs" dxfId="7" priority="9" operator="between">
      <formula>$T$277</formula>
      <formula>$T$278</formula>
    </cfRule>
  </conditionalFormatting>
  <conditionalFormatting sqref="M45:M49 M51:M62 M72:M103">
    <cfRule type="cellIs" dxfId="6" priority="8" operator="equal">
      <formula>"NO"</formula>
    </cfRule>
  </conditionalFormatting>
  <conditionalFormatting sqref="L147:L148">
    <cfRule type="cellIs" dxfId="5" priority="7" operator="equal">
      <formula>"NO"</formula>
    </cfRule>
  </conditionalFormatting>
  <conditionalFormatting sqref="D178">
    <cfRule type="cellIs" dxfId="4" priority="4" operator="equal">
      <formula>"Fail"</formula>
    </cfRule>
    <cfRule type="cellIs" dxfId="3" priority="5" operator="equal">
      <formula>"TBD"</formula>
    </cfRule>
  </conditionalFormatting>
  <conditionalFormatting sqref="R162:U162">
    <cfRule type="cellIs" dxfId="2" priority="2" operator="equal">
      <formula>"Fail"</formula>
    </cfRule>
    <cfRule type="cellIs" dxfId="1" priority="3" operator="equal">
      <formula>"Pass"</formula>
    </cfRule>
  </conditionalFormatting>
  <conditionalFormatting sqref="Q279:U279">
    <cfRule type="cellIs" dxfId="0" priority="1" operator="equal">
      <formula>"Pass"</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2"/>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2"/>
  <sheetViews>
    <sheetView topLeftCell="A22" zoomScale="75" zoomScaleNormal="75" workbookViewId="0">
      <selection activeCell="D68" sqref="D68"/>
    </sheetView>
  </sheetViews>
  <sheetFormatPr defaultRowHeight="12.75" x14ac:dyDescent="0.2"/>
  <cols>
    <col min="1" max="30" width="11.5703125" style="1"/>
  </cols>
  <sheetData>
    <row r="1" spans="1:30" ht="14.1" customHeight="1" x14ac:dyDescent="0.2">
      <c r="A1" s="2" t="s">
        <v>427</v>
      </c>
      <c r="K1" s="2" t="s">
        <v>428</v>
      </c>
      <c r="U1" s="1" t="s">
        <v>429</v>
      </c>
    </row>
    <row r="2" spans="1:30" ht="14.1" customHeight="1" x14ac:dyDescent="0.2">
      <c r="A2" s="3"/>
      <c r="B2" s="453" t="s">
        <v>105</v>
      </c>
      <c r="C2" s="453"/>
      <c r="D2" s="453"/>
      <c r="E2" s="453"/>
      <c r="F2" s="453"/>
      <c r="G2" s="453"/>
      <c r="H2" s="453"/>
      <c r="I2" s="453"/>
      <c r="J2" s="453"/>
      <c r="K2" s="3"/>
      <c r="L2" s="453" t="s">
        <v>105</v>
      </c>
      <c r="M2" s="453"/>
      <c r="N2" s="453"/>
      <c r="O2" s="453"/>
      <c r="P2" s="453"/>
      <c r="Q2" s="453"/>
      <c r="R2" s="453"/>
      <c r="S2" s="453"/>
      <c r="T2" s="453"/>
      <c r="U2" s="3"/>
      <c r="V2" s="453" t="s">
        <v>105</v>
      </c>
      <c r="W2" s="453"/>
      <c r="X2" s="453"/>
      <c r="Y2" s="453"/>
      <c r="Z2" s="453"/>
      <c r="AA2" s="453"/>
      <c r="AB2" s="453"/>
      <c r="AC2" s="453"/>
      <c r="AD2" s="453"/>
    </row>
    <row r="3" spans="1:30" ht="14.1" customHeight="1" x14ac:dyDescent="0.2">
      <c r="A3" s="4" t="s">
        <v>402</v>
      </c>
      <c r="B3" s="5">
        <v>23</v>
      </c>
      <c r="C3" s="5">
        <v>24</v>
      </c>
      <c r="D3" s="5">
        <v>25</v>
      </c>
      <c r="E3" s="5">
        <v>26</v>
      </c>
      <c r="F3" s="5">
        <v>27</v>
      </c>
      <c r="G3" s="5">
        <v>28</v>
      </c>
      <c r="H3" s="5">
        <v>29</v>
      </c>
      <c r="I3" s="5">
        <v>30</v>
      </c>
      <c r="J3" s="6">
        <v>31</v>
      </c>
      <c r="K3" s="4" t="s">
        <v>402</v>
      </c>
      <c r="L3" s="5">
        <v>23</v>
      </c>
      <c r="M3" s="5">
        <v>24</v>
      </c>
      <c r="N3" s="5">
        <v>25</v>
      </c>
      <c r="O3" s="5">
        <v>26</v>
      </c>
      <c r="P3" s="5">
        <v>27</v>
      </c>
      <c r="Q3" s="5">
        <v>28</v>
      </c>
      <c r="R3" s="5">
        <v>29</v>
      </c>
      <c r="S3" s="5">
        <v>30</v>
      </c>
      <c r="T3" s="6">
        <v>31</v>
      </c>
      <c r="U3" s="4" t="s">
        <v>402</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430</v>
      </c>
      <c r="N25" s="2" t="s">
        <v>431</v>
      </c>
    </row>
    <row r="26" spans="1:30" ht="14.1" customHeight="1" x14ac:dyDescent="0.2">
      <c r="A26" s="3"/>
      <c r="B26" s="454" t="s">
        <v>105</v>
      </c>
      <c r="C26" s="454"/>
      <c r="D26" s="454"/>
      <c r="E26" s="454"/>
      <c r="F26" s="454"/>
      <c r="G26" s="454"/>
      <c r="H26" s="454"/>
      <c r="I26" s="454"/>
      <c r="J26" s="454"/>
      <c r="K26" s="454"/>
      <c r="L26" s="454"/>
      <c r="M26" s="10"/>
      <c r="N26" s="3"/>
      <c r="O26" s="453" t="s">
        <v>105</v>
      </c>
      <c r="P26" s="453"/>
      <c r="Q26" s="453"/>
      <c r="R26" s="453"/>
      <c r="S26" s="453"/>
      <c r="T26" s="453"/>
      <c r="U26" s="453"/>
      <c r="V26" s="453"/>
      <c r="W26" s="453"/>
      <c r="X26" s="453"/>
      <c r="Y26" s="453"/>
      <c r="Z26" s="453"/>
      <c r="AA26" s="453"/>
    </row>
    <row r="27" spans="1:30" ht="14.1" customHeight="1" x14ac:dyDescent="0.2">
      <c r="A27" s="4" t="s">
        <v>402</v>
      </c>
      <c r="B27" s="5">
        <v>22</v>
      </c>
      <c r="C27" s="5">
        <v>23</v>
      </c>
      <c r="D27" s="5">
        <v>24</v>
      </c>
      <c r="E27" s="5">
        <v>25</v>
      </c>
      <c r="F27" s="5">
        <v>26</v>
      </c>
      <c r="G27" s="5">
        <v>27</v>
      </c>
      <c r="H27" s="5">
        <v>28</v>
      </c>
      <c r="I27" s="5">
        <v>29</v>
      </c>
      <c r="J27" s="5">
        <v>30</v>
      </c>
      <c r="K27" s="5">
        <v>31</v>
      </c>
      <c r="L27" s="5">
        <v>32</v>
      </c>
      <c r="M27" s="6">
        <v>33</v>
      </c>
      <c r="N27" s="4" t="s">
        <v>402</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432</v>
      </c>
      <c r="B50" s="12"/>
      <c r="C50" s="12"/>
      <c r="D50" s="12"/>
      <c r="E50" s="12"/>
      <c r="F50" s="12"/>
      <c r="G50" s="12"/>
      <c r="H50" s="12"/>
      <c r="I50" s="12"/>
      <c r="J50" s="12"/>
      <c r="K50" s="12"/>
    </row>
    <row r="51" spans="1:19" s="13" customFormat="1" ht="14.1" customHeight="1" x14ac:dyDescent="0.2">
      <c r="A51" s="12"/>
      <c r="B51" s="455" t="s">
        <v>433</v>
      </c>
      <c r="C51" s="455" t="s">
        <v>434</v>
      </c>
      <c r="D51" s="456" t="s">
        <v>435</v>
      </c>
      <c r="E51" s="456"/>
      <c r="F51" s="456"/>
      <c r="G51" s="456"/>
      <c r="H51" s="456"/>
      <c r="I51" s="456"/>
      <c r="J51" s="456"/>
      <c r="K51" s="456"/>
    </row>
    <row r="52" spans="1:19" s="13" customFormat="1" ht="14.1" customHeight="1" x14ac:dyDescent="0.2">
      <c r="A52" s="12"/>
      <c r="B52" s="455"/>
      <c r="C52" s="455"/>
      <c r="D52" s="14">
        <v>0.25</v>
      </c>
      <c r="E52" s="15">
        <v>0.3</v>
      </c>
      <c r="F52" s="15">
        <v>0.35</v>
      </c>
      <c r="G52" s="15">
        <v>0.4</v>
      </c>
      <c r="H52" s="15">
        <v>0.45</v>
      </c>
      <c r="I52" s="15">
        <v>0.5</v>
      </c>
      <c r="J52" s="15">
        <v>0.55000000000000004</v>
      </c>
      <c r="K52" s="16">
        <v>0.6</v>
      </c>
      <c r="L52" s="13" t="s">
        <v>436</v>
      </c>
      <c r="M52" s="13" t="s">
        <v>437</v>
      </c>
    </row>
    <row r="53" spans="1:19" s="13" customFormat="1" ht="14.1" customHeight="1" x14ac:dyDescent="0.2">
      <c r="A53" s="17" t="s">
        <v>438</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439</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438</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439</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354</v>
      </c>
      <c r="C58" s="29" t="s">
        <v>440</v>
      </c>
      <c r="D58" s="30" t="s">
        <v>441</v>
      </c>
    </row>
    <row r="59" spans="1:19" s="13" customFormat="1" ht="14.1" customHeight="1" x14ac:dyDescent="0.2">
      <c r="A59" s="31" t="s">
        <v>442</v>
      </c>
      <c r="B59" s="32">
        <v>1</v>
      </c>
      <c r="C59" s="33">
        <v>1.0169999999999999</v>
      </c>
      <c r="D59" s="34">
        <v>1.042</v>
      </c>
    </row>
    <row r="60" spans="1:19" s="13" customFormat="1" ht="14.1" customHeight="1" x14ac:dyDescent="0.2"/>
    <row r="61" spans="1:19" ht="14.1" customHeight="1" x14ac:dyDescent="0.2">
      <c r="A61" s="2" t="s">
        <v>443</v>
      </c>
      <c r="C61" s="1" t="s">
        <v>444</v>
      </c>
      <c r="N61" s="2" t="s">
        <v>445</v>
      </c>
    </row>
    <row r="62" spans="1:19" ht="14.1" customHeight="1" x14ac:dyDescent="0.2">
      <c r="A62" s="35" t="s">
        <v>103</v>
      </c>
      <c r="B62" s="36" t="s">
        <v>320</v>
      </c>
      <c r="C62" s="36" t="s">
        <v>446</v>
      </c>
      <c r="D62" s="36" t="s">
        <v>376</v>
      </c>
      <c r="E62" s="36" t="s">
        <v>377</v>
      </c>
      <c r="G62" s="35"/>
      <c r="H62" s="36"/>
      <c r="I62" s="36"/>
      <c r="J62" s="36"/>
      <c r="K62" s="36"/>
      <c r="N62"/>
      <c r="O62" s="457" t="s">
        <v>447</v>
      </c>
      <c r="P62" s="457"/>
      <c r="Q62" s="457" t="s">
        <v>448</v>
      </c>
      <c r="R62" s="457"/>
      <c r="S62" s="457"/>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279</v>
      </c>
      <c r="O63" s="39" t="s">
        <v>441</v>
      </c>
      <c r="P63" s="39" t="s">
        <v>449</v>
      </c>
      <c r="Q63" s="39" t="s">
        <v>441</v>
      </c>
      <c r="R63" s="39" t="s">
        <v>449</v>
      </c>
      <c r="S63" s="39" t="s">
        <v>450</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e">
        <f>IF(Sheet1!#REF!="","",Sheet1!#REF!)</f>
        <v>#REF!</v>
      </c>
      <c r="O66" s="40" t="e">
        <f t="shared" si="1"/>
        <v>#REF!</v>
      </c>
      <c r="P66" s="40" t="e">
        <f t="shared" si="2"/>
        <v>#REF!</v>
      </c>
      <c r="Q66" s="40" t="e">
        <f t="shared" si="3"/>
        <v>#REF!</v>
      </c>
      <c r="R66" s="40" t="e">
        <f t="shared" si="4"/>
        <v>#REF!</v>
      </c>
      <c r="S66" s="40" t="e">
        <f t="shared" si="5"/>
        <v>#REF!</v>
      </c>
    </row>
    <row r="67" spans="1:19" ht="14.1" customHeight="1" x14ac:dyDescent="0.2">
      <c r="A67" s="36"/>
      <c r="B67" s="36">
        <f>Sheet1!R234</f>
        <v>30</v>
      </c>
      <c r="C67" s="36">
        <f t="shared" si="0"/>
        <v>900</v>
      </c>
      <c r="D67" s="37" t="str">
        <f>Sheet1!W234</f>
        <v/>
      </c>
      <c r="E67" s="38" t="str">
        <f>Sheet1!X234</f>
        <v/>
      </c>
      <c r="G67" s="36"/>
      <c r="H67" s="36"/>
      <c r="I67" s="36"/>
      <c r="J67" s="37"/>
      <c r="K67" s="38"/>
      <c r="N67" s="39" t="e">
        <f>IF(Sheet1!#REF!="","",Sheet1!#REF!)</f>
        <v>#REF!</v>
      </c>
      <c r="O67" s="40" t="e">
        <f t="shared" si="1"/>
        <v>#REF!</v>
      </c>
      <c r="P67" s="40" t="e">
        <f t="shared" si="2"/>
        <v>#REF!</v>
      </c>
      <c r="Q67" s="40" t="e">
        <f t="shared" si="3"/>
        <v>#REF!</v>
      </c>
      <c r="R67" s="40" t="e">
        <f t="shared" si="4"/>
        <v>#REF!</v>
      </c>
      <c r="S67" s="40" t="e">
        <f t="shared" si="5"/>
        <v>#REF!</v>
      </c>
    </row>
    <row r="68" spans="1:19" ht="14.1" customHeight="1" x14ac:dyDescent="0.2">
      <c r="A68" s="36"/>
      <c r="B68" s="36">
        <f>Sheet1!R235</f>
        <v>32</v>
      </c>
      <c r="C68" s="36">
        <f t="shared" si="0"/>
        <v>1024</v>
      </c>
      <c r="D68" s="37" t="str">
        <f>Sheet1!W235</f>
        <v/>
      </c>
      <c r="E68" s="38" t="str">
        <f>Sheet1!X235</f>
        <v/>
      </c>
      <c r="G68" s="36"/>
      <c r="H68" s="36"/>
      <c r="I68" s="36"/>
      <c r="J68" s="37"/>
      <c r="K68" s="38"/>
      <c r="N68" s="39" t="e">
        <f>IF(Sheet1!#REF!="","",Sheet1!#REF!)</f>
        <v>#REF!</v>
      </c>
      <c r="O68" s="40" t="e">
        <f t="shared" si="1"/>
        <v>#REF!</v>
      </c>
      <c r="P68" s="40" t="e">
        <f t="shared" si="2"/>
        <v>#REF!</v>
      </c>
      <c r="Q68" s="40" t="e">
        <f t="shared" si="3"/>
        <v>#REF!</v>
      </c>
      <c r="R68" s="40" t="e">
        <f t="shared" si="4"/>
        <v>#REF!</v>
      </c>
      <c r="S68" s="40" t="e">
        <f t="shared" si="5"/>
        <v>#REF!</v>
      </c>
    </row>
    <row r="69" spans="1:19" ht="14.1" customHeight="1" x14ac:dyDescent="0.2">
      <c r="A69" s="36"/>
      <c r="B69" s="36">
        <f>Sheet1!R236</f>
        <v>34</v>
      </c>
      <c r="C69" s="36">
        <f t="shared" si="0"/>
        <v>1156</v>
      </c>
      <c r="D69" s="409" t="str">
        <f>Sheet1!W236</f>
        <v/>
      </c>
      <c r="E69" s="410" t="str">
        <f>Sheet1!X236</f>
        <v/>
      </c>
      <c r="G69" s="36"/>
      <c r="H69" s="36"/>
      <c r="I69" s="41"/>
      <c r="N69" s="39" t="e">
        <f>IF(Sheet1!#REF!="","",Sheet1!#REF!)</f>
        <v>#REF!</v>
      </c>
      <c r="O69" s="40" t="e">
        <f t="shared" si="1"/>
        <v>#REF!</v>
      </c>
      <c r="P69" s="40" t="e">
        <f t="shared" si="2"/>
        <v>#REF!</v>
      </c>
      <c r="Q69" s="40" t="e">
        <f t="shared" si="3"/>
        <v>#REF!</v>
      </c>
      <c r="R69" s="40" t="e">
        <f t="shared" si="4"/>
        <v>#REF!</v>
      </c>
      <c r="S69" s="40" t="e">
        <f t="shared" si="5"/>
        <v>#REF!</v>
      </c>
    </row>
    <row r="70" spans="1:19" ht="14.1" customHeight="1" x14ac:dyDescent="0.2">
      <c r="C70" s="41" t="s">
        <v>451</v>
      </c>
      <c r="D70" s="1" t="e">
        <f>SLOPE(D63:D69,$C$63:$C$69)</f>
        <v>#DIV/0!</v>
      </c>
      <c r="E70" s="1" t="e">
        <f>SLOPE(E63:E69,$C$63:$C$69)</f>
        <v>#DIV/0!</v>
      </c>
      <c r="I70" s="41"/>
      <c r="N70" s="39" t="str">
        <f>IF(Sheet1!AM12="","",Sheet1!AM12)</f>
        <v/>
      </c>
      <c r="O70" s="40" t="str">
        <f t="shared" si="1"/>
        <v/>
      </c>
      <c r="P70" s="40" t="str">
        <f t="shared" si="2"/>
        <v/>
      </c>
      <c r="Q70" s="40" t="str">
        <f t="shared" si="3"/>
        <v/>
      </c>
      <c r="R70" s="40" t="str">
        <f t="shared" si="4"/>
        <v/>
      </c>
      <c r="S70" s="40" t="str">
        <f t="shared" si="5"/>
        <v/>
      </c>
    </row>
    <row r="71" spans="1:19" ht="14.1" customHeight="1" x14ac:dyDescent="0.2">
      <c r="C71" s="41" t="s">
        <v>452</v>
      </c>
      <c r="D71" s="1" t="e">
        <f>INTERCEPT(D63:D69,$C$63:$C$69)</f>
        <v>#DIV/0!</v>
      </c>
      <c r="E71" s="1" t="e">
        <f>INTERCEPT(E63:E69,$C$63:$C$69)</f>
        <v>#DIV/0!</v>
      </c>
      <c r="N71" s="39" t="str">
        <f>IF(Sheet1!AM13="","",Sheet1!AM13)</f>
        <v/>
      </c>
      <c r="O71" s="40" t="str">
        <f t="shared" si="1"/>
        <v/>
      </c>
      <c r="P71" s="40" t="str">
        <f t="shared" si="2"/>
        <v/>
      </c>
      <c r="Q71" s="40" t="str">
        <f t="shared" si="3"/>
        <v/>
      </c>
      <c r="R71" s="40" t="str">
        <f t="shared" si="4"/>
        <v/>
      </c>
      <c r="S71" s="40" t="str">
        <f t="shared" si="5"/>
        <v/>
      </c>
    </row>
    <row r="72" spans="1:19" ht="14.1" customHeight="1" x14ac:dyDescent="0.2">
      <c r="N72" s="39" t="e">
        <f>IF(Sheet1!#REF!="","",Sheet1!#REF!)</f>
        <v>#REF!</v>
      </c>
      <c r="O72" s="40" t="e">
        <f t="shared" si="1"/>
        <v>#REF!</v>
      </c>
      <c r="P72" s="40" t="e">
        <f t="shared" si="2"/>
        <v>#REF!</v>
      </c>
      <c r="Q72" s="40" t="e">
        <f t="shared" si="3"/>
        <v>#REF!</v>
      </c>
      <c r="R72" s="40" t="e">
        <f t="shared" si="4"/>
        <v>#REF!</v>
      </c>
      <c r="S72" s="40" t="e">
        <f t="shared" si="5"/>
        <v>#REF!</v>
      </c>
    </row>
    <row r="73" spans="1:19" ht="14.1" customHeight="1" x14ac:dyDescent="0.2">
      <c r="A73" s="2" t="s">
        <v>398</v>
      </c>
      <c r="N73" s="39" t="e">
        <f>IF(Sheet1!#REF!="","",Sheet1!#REF!)</f>
        <v>#REF!</v>
      </c>
      <c r="O73" s="40" t="e">
        <f t="shared" si="1"/>
        <v>#REF!</v>
      </c>
      <c r="P73" s="40" t="e">
        <f t="shared" si="2"/>
        <v>#REF!</v>
      </c>
      <c r="Q73" s="40" t="e">
        <f t="shared" si="3"/>
        <v>#REF!</v>
      </c>
      <c r="R73" s="40" t="e">
        <f t="shared" si="4"/>
        <v>#REF!</v>
      </c>
      <c r="S73" s="40" t="e">
        <f t="shared" si="5"/>
        <v>#REF!</v>
      </c>
    </row>
    <row r="74" spans="1:19" ht="14.1" customHeight="1" x14ac:dyDescent="0.2">
      <c r="A74" s="35" t="s">
        <v>103</v>
      </c>
      <c r="B74" s="36" t="s">
        <v>320</v>
      </c>
      <c r="C74" s="36" t="s">
        <v>402</v>
      </c>
      <c r="D74" s="35"/>
      <c r="E74" s="36"/>
      <c r="F74" s="36"/>
      <c r="H74" s="42" t="s">
        <v>103</v>
      </c>
      <c r="I74" s="43" t="s">
        <v>104</v>
      </c>
      <c r="J74" s="44" t="s">
        <v>453</v>
      </c>
      <c r="N74" s="39" t="e">
        <f>IF(Sheet1!#REF!="","",Sheet1!#REF!)</f>
        <v>#REF!</v>
      </c>
      <c r="O74" s="40" t="e">
        <f t="shared" si="1"/>
        <v>#REF!</v>
      </c>
      <c r="P74" s="40" t="e">
        <f t="shared" si="2"/>
        <v>#REF!</v>
      </c>
      <c r="Q74" s="40" t="e">
        <f t="shared" si="3"/>
        <v>#REF!</v>
      </c>
      <c r="R74" s="40" t="e">
        <f t="shared" si="4"/>
        <v>#REF!</v>
      </c>
      <c r="S74" s="40" t="e">
        <f t="shared" si="5"/>
        <v>#REF!</v>
      </c>
    </row>
    <row r="75" spans="1:19" ht="14.1" customHeight="1" x14ac:dyDescent="0.2">
      <c r="A75" s="36" t="str">
        <f>Sheet1!$P$230</f>
        <v>Mo</v>
      </c>
      <c r="B75" s="36">
        <f>Sheet1!Q267</f>
        <v>24</v>
      </c>
      <c r="C75" s="38" t="str">
        <f>Sheet1!Q275</f>
        <v/>
      </c>
      <c r="D75" s="36"/>
      <c r="E75" s="36"/>
      <c r="F75" s="38"/>
      <c r="H75" s="45" t="s">
        <v>130</v>
      </c>
      <c r="I75" s="46" t="s">
        <v>130</v>
      </c>
      <c r="J75" s="47">
        <v>0.12</v>
      </c>
      <c r="N75" s="39" t="e">
        <f>IF(Sheet1!#REF!="","",Sheet1!#REF!)</f>
        <v>#REF!</v>
      </c>
      <c r="O75" s="40" t="e">
        <f t="shared" si="1"/>
        <v>#REF!</v>
      </c>
      <c r="P75" s="40" t="e">
        <f t="shared" si="2"/>
        <v>#REF!</v>
      </c>
      <c r="Q75" s="40" t="e">
        <f t="shared" si="3"/>
        <v>#REF!</v>
      </c>
      <c r="R75" s="40" t="e">
        <f t="shared" si="4"/>
        <v>#REF!</v>
      </c>
      <c r="S75" s="40" t="e">
        <f t="shared" si="5"/>
        <v>#REF!</v>
      </c>
    </row>
    <row r="76" spans="1:19" ht="14.1" customHeight="1" x14ac:dyDescent="0.2">
      <c r="A76" s="35" t="s">
        <v>104</v>
      </c>
      <c r="B76" s="36">
        <f>Sheet1!R267</f>
        <v>25</v>
      </c>
      <c r="C76" s="38" t="str">
        <f>Sheet1!R275</f>
        <v/>
      </c>
      <c r="D76" s="35"/>
      <c r="E76" s="36"/>
      <c r="F76" s="38"/>
      <c r="H76" s="45" t="s">
        <v>130</v>
      </c>
      <c r="I76" s="46" t="s">
        <v>454</v>
      </c>
      <c r="J76" s="47">
        <v>0.19</v>
      </c>
      <c r="N76" s="39" t="str">
        <f>IF(Sheet1!AM14="","",Sheet1!AM14)</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454</v>
      </c>
      <c r="I77" s="49" t="s">
        <v>454</v>
      </c>
      <c r="J77" s="50">
        <v>0.22</v>
      </c>
      <c r="N77" s="39" t="str">
        <f>IF(Sheet1!AM15="","",Sheet1!AM15)</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455</v>
      </c>
      <c r="I78" s="51" t="s">
        <v>456</v>
      </c>
      <c r="J78" s="51"/>
      <c r="N78" s="39" t="str">
        <f>IF(Sheet1!AM16="","",Sheet1!AM16)</f>
        <v/>
      </c>
      <c r="O78" s="40" t="str">
        <f t="shared" si="1"/>
        <v/>
      </c>
      <c r="P78" s="40" t="str">
        <f t="shared" si="2"/>
        <v/>
      </c>
      <c r="Q78" s="40" t="str">
        <f t="shared" si="3"/>
        <v/>
      </c>
      <c r="R78" s="40" t="str">
        <f t="shared" si="4"/>
        <v/>
      </c>
      <c r="S78" s="40" t="str">
        <f t="shared" si="5"/>
        <v/>
      </c>
    </row>
    <row r="79" spans="1:19" ht="14.1" customHeight="1" x14ac:dyDescent="0.2">
      <c r="B79" s="41" t="s">
        <v>451</v>
      </c>
      <c r="C79" s="36" t="e">
        <f>SLOPE(C75:C78,B75:B78)</f>
        <v>#DIV/0!</v>
      </c>
      <c r="E79" s="41"/>
      <c r="F79" s="36"/>
      <c r="H79" s="51"/>
      <c r="I79" s="51" t="s">
        <v>457</v>
      </c>
      <c r="J79" s="51"/>
      <c r="N79" s="39" t="str">
        <f>IF(Sheet1!AM17="","",Sheet1!AM17)</f>
        <v/>
      </c>
      <c r="O79" s="40" t="str">
        <f t="shared" si="1"/>
        <v/>
      </c>
      <c r="P79" s="40" t="str">
        <f t="shared" si="2"/>
        <v/>
      </c>
      <c r="Q79" s="40" t="str">
        <f t="shared" si="3"/>
        <v/>
      </c>
      <c r="R79" s="40" t="str">
        <f t="shared" si="4"/>
        <v/>
      </c>
      <c r="S79" s="40" t="str">
        <f t="shared" si="5"/>
        <v/>
      </c>
    </row>
    <row r="80" spans="1:19" ht="14.1" customHeight="1" x14ac:dyDescent="0.2">
      <c r="B80" s="41" t="s">
        <v>452</v>
      </c>
      <c r="C80" s="36" t="e">
        <f>INTERCEPT(C75:C78,B75:B78)</f>
        <v>#DIV/0!</v>
      </c>
      <c r="E80" s="41"/>
      <c r="F80" s="36"/>
      <c r="H80" s="51"/>
      <c r="I80" s="51" t="s">
        <v>458</v>
      </c>
      <c r="J80" s="51"/>
      <c r="N80" s="39" t="str">
        <f>IF(Sheet1!AM18="","",Sheet1!AM18)</f>
        <v/>
      </c>
      <c r="O80" s="40" t="str">
        <f t="shared" si="1"/>
        <v/>
      </c>
      <c r="P80" s="40" t="str">
        <f t="shared" si="2"/>
        <v/>
      </c>
      <c r="Q80" s="40" t="str">
        <f t="shared" si="3"/>
        <v/>
      </c>
      <c r="R80" s="40" t="str">
        <f t="shared" si="4"/>
        <v/>
      </c>
      <c r="S80" s="40" t="str">
        <f t="shared" si="5"/>
        <v/>
      </c>
    </row>
    <row r="81" spans="1:19" ht="14.1" customHeight="1" x14ac:dyDescent="0.2">
      <c r="N81" s="39" t="str">
        <f>IF(Sheet1!AM19="","",Sheet1!AM19)</f>
        <v/>
      </c>
      <c r="O81" s="40" t="str">
        <f t="shared" si="1"/>
        <v/>
      </c>
      <c r="P81" s="40" t="str">
        <f t="shared" si="2"/>
        <v/>
      </c>
      <c r="Q81" s="40" t="str">
        <f t="shared" si="3"/>
        <v/>
      </c>
      <c r="R81" s="40" t="str">
        <f t="shared" si="4"/>
        <v/>
      </c>
      <c r="S81" s="40" t="str">
        <f t="shared" si="5"/>
        <v/>
      </c>
    </row>
    <row r="82" spans="1:19" ht="14.1" customHeight="1" x14ac:dyDescent="0.2">
      <c r="A82" s="2" t="s">
        <v>459</v>
      </c>
      <c r="B82" s="13" t="e">
        <f>"DGN values (mrad/R) for "&amp;Sheet1!$T$210&amp;" kV and HVL="&amp;ROUND(Sheet1!$X$213,2)&amp;" mm Al"</f>
        <v>#VALUE!</v>
      </c>
      <c r="N82" s="39" t="e">
        <f>IF(Sheet1!#REF!="","",Sheet1!#REF!)</f>
        <v>#REF!</v>
      </c>
      <c r="O82" s="40" t="e">
        <f t="shared" si="1"/>
        <v>#REF!</v>
      </c>
      <c r="P82" s="40" t="e">
        <f t="shared" si="2"/>
        <v>#REF!</v>
      </c>
      <c r="Q82" s="40" t="e">
        <f t="shared" si="3"/>
        <v>#REF!</v>
      </c>
      <c r="R82" s="40" t="e">
        <f t="shared" si="4"/>
        <v>#REF!</v>
      </c>
      <c r="S82" s="40" t="e">
        <f t="shared" si="5"/>
        <v>#REF!</v>
      </c>
    </row>
    <row r="83" spans="1:19" ht="14.1" customHeight="1" x14ac:dyDescent="0.2">
      <c r="A83" s="52" t="s">
        <v>354</v>
      </c>
      <c r="B83" s="52" t="s">
        <v>440</v>
      </c>
      <c r="C83" s="52" t="s">
        <v>460</v>
      </c>
      <c r="D83" s="52" t="s">
        <v>441</v>
      </c>
      <c r="E83" s="52" t="s">
        <v>449</v>
      </c>
      <c r="F83" s="52" t="s">
        <v>432</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461</v>
      </c>
      <c r="N86" s="39" t="str">
        <f>IF(Sheet1!AM20="","",Sheet1!AM20)</f>
        <v/>
      </c>
      <c r="O86" s="40" t="str">
        <f t="shared" si="1"/>
        <v/>
      </c>
      <c r="P86" s="40" t="str">
        <f t="shared" si="2"/>
        <v/>
      </c>
      <c r="Q86" s="40" t="str">
        <f t="shared" si="3"/>
        <v/>
      </c>
      <c r="R86" s="40" t="str">
        <f t="shared" si="4"/>
        <v/>
      </c>
      <c r="S86" s="40" t="str">
        <f t="shared" si="5"/>
        <v/>
      </c>
    </row>
    <row r="87" spans="1:19" ht="14.1" customHeight="1" x14ac:dyDescent="0.2">
      <c r="A87"/>
      <c r="B87" s="55" t="s">
        <v>320</v>
      </c>
      <c r="C87"/>
      <c r="D87" s="56" t="s">
        <v>462</v>
      </c>
      <c r="E87" s="56" t="s">
        <v>463</v>
      </c>
      <c r="F87" s="56" t="s">
        <v>446</v>
      </c>
      <c r="G87" s="56" t="s">
        <v>464</v>
      </c>
      <c r="H87" s="56" t="s">
        <v>465</v>
      </c>
      <c r="I87" s="56" t="s">
        <v>466</v>
      </c>
      <c r="J87" s="56" t="s">
        <v>467</v>
      </c>
      <c r="N87" s="39" t="str">
        <f>IF(Sheet1!AM21="","",Sheet1!AM21)</f>
        <v/>
      </c>
      <c r="O87" s="40" t="str">
        <f t="shared" si="1"/>
        <v/>
      </c>
      <c r="P87" s="40" t="str">
        <f t="shared" si="2"/>
        <v/>
      </c>
      <c r="Q87" s="40" t="str">
        <f t="shared" si="3"/>
        <v/>
      </c>
      <c r="R87" s="40" t="str">
        <f t="shared" si="4"/>
        <v/>
      </c>
      <c r="S87" s="40" t="str">
        <f t="shared" si="5"/>
        <v/>
      </c>
    </row>
    <row r="88" spans="1:19" ht="14.1" customHeight="1" x14ac:dyDescent="0.2">
      <c r="A88" s="1" t="s">
        <v>441</v>
      </c>
      <c r="B88" s="55" t="s">
        <v>468</v>
      </c>
      <c r="C88" s="57">
        <v>27.585999999999999</v>
      </c>
      <c r="D88" s="57">
        <v>-8375.0727645925508</v>
      </c>
      <c r="E88" s="57">
        <v>975.92543560432796</v>
      </c>
      <c r="F88" s="57">
        <v>-37.913729682039403</v>
      </c>
      <c r="G88" s="57">
        <v>0.49086583472609402</v>
      </c>
      <c r="H88" s="57">
        <v>0</v>
      </c>
      <c r="I88" s="57">
        <v>0</v>
      </c>
      <c r="J88" s="57">
        <v>0</v>
      </c>
      <c r="N88" s="39" t="str">
        <f>IF(Sheet1!AM22="","",Sheet1!AM22)</f>
        <v/>
      </c>
      <c r="O88" s="40" t="str">
        <f t="shared" si="1"/>
        <v/>
      </c>
      <c r="P88" s="40" t="str">
        <f t="shared" si="2"/>
        <v/>
      </c>
      <c r="Q88" s="40" t="str">
        <f t="shared" si="3"/>
        <v/>
      </c>
      <c r="R88" s="40" t="str">
        <f t="shared" si="4"/>
        <v/>
      </c>
      <c r="S88" s="40" t="str">
        <f t="shared" si="5"/>
        <v/>
      </c>
    </row>
    <row r="89" spans="1:19" ht="14.1" customHeight="1" x14ac:dyDescent="0.2">
      <c r="B89" s="55" t="s">
        <v>469</v>
      </c>
      <c r="C89" s="56">
        <v>27.585999999999999</v>
      </c>
      <c r="D89" s="57">
        <v>-9984.6167916494396</v>
      </c>
      <c r="E89" s="57">
        <v>1436.52454571413</v>
      </c>
      <c r="F89" s="57">
        <v>-82.505102185254898</v>
      </c>
      <c r="G89" s="57">
        <v>2.36559081763837</v>
      </c>
      <c r="H89" s="57">
        <v>-3.38672433779705E-2</v>
      </c>
      <c r="I89" s="57">
        <v>1.93686920423126E-4</v>
      </c>
      <c r="J89" s="57">
        <v>0</v>
      </c>
      <c r="N89" s="39" t="str">
        <f>IF(Sheet1!AM23="","",Sheet1!AM23)</f>
        <v/>
      </c>
      <c r="O89" s="40" t="str">
        <f t="shared" si="1"/>
        <v/>
      </c>
      <c r="P89" s="40" t="str">
        <f t="shared" si="2"/>
        <v/>
      </c>
      <c r="Q89" s="40" t="str">
        <f t="shared" si="3"/>
        <v/>
      </c>
      <c r="R89" s="40" t="str">
        <f t="shared" si="4"/>
        <v/>
      </c>
      <c r="S89" s="40" t="str">
        <f t="shared" si="5"/>
        <v/>
      </c>
    </row>
    <row r="90" spans="1:19" ht="14.1" customHeight="1" x14ac:dyDescent="0.2">
      <c r="A90"/>
      <c r="B90"/>
      <c r="C90" t="s">
        <v>470</v>
      </c>
      <c r="D90"/>
      <c r="E90"/>
      <c r="F90"/>
      <c r="G90"/>
      <c r="H90"/>
      <c r="I90"/>
      <c r="J90"/>
      <c r="N90" s="39" t="str">
        <f>IF(Sheet1!AM24="","",Sheet1!AM24)</f>
        <v/>
      </c>
      <c r="O90" s="40" t="str">
        <f t="shared" si="1"/>
        <v/>
      </c>
      <c r="P90" s="40" t="str">
        <f t="shared" si="2"/>
        <v/>
      </c>
      <c r="Q90" s="40" t="str">
        <f t="shared" si="3"/>
        <v/>
      </c>
      <c r="R90" s="40" t="str">
        <f t="shared" si="4"/>
        <v/>
      </c>
      <c r="S90" s="40" t="str">
        <f t="shared" si="5"/>
        <v/>
      </c>
    </row>
    <row r="91" spans="1:19" ht="14.1" customHeight="1" x14ac:dyDescent="0.2">
      <c r="A91"/>
      <c r="B91"/>
      <c r="C91" t="s">
        <v>471</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320</v>
      </c>
      <c r="C92"/>
      <c r="D92" s="56" t="s">
        <v>462</v>
      </c>
      <c r="E92" s="56" t="s">
        <v>463</v>
      </c>
      <c r="F92" s="56" t="s">
        <v>446</v>
      </c>
      <c r="G92" s="56" t="s">
        <v>464</v>
      </c>
      <c r="H92" s="56" t="s">
        <v>465</v>
      </c>
      <c r="I92" s="56" t="s">
        <v>466</v>
      </c>
      <c r="J92" s="56" t="s">
        <v>467</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449</v>
      </c>
      <c r="B93" s="55" t="s">
        <v>468</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469</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472</v>
      </c>
      <c r="N95" s="39" t="str">
        <f>IF(Sheet1!AM25="","",Sheet1!AM25)</f>
        <v/>
      </c>
      <c r="O95" s="40" t="str">
        <f t="shared" si="1"/>
        <v/>
      </c>
      <c r="P95" s="40" t="str">
        <f t="shared" si="2"/>
        <v/>
      </c>
      <c r="Q95" s="40" t="str">
        <f t="shared" si="3"/>
        <v/>
      </c>
      <c r="R95" s="40" t="str">
        <f t="shared" si="4"/>
        <v/>
      </c>
      <c r="S95" s="40" t="str">
        <f t="shared" si="5"/>
        <v/>
      </c>
    </row>
    <row r="96" spans="1:19" ht="14.1" customHeight="1" x14ac:dyDescent="0.2">
      <c r="A96"/>
      <c r="B96"/>
      <c r="C96" t="s">
        <v>473</v>
      </c>
      <c r="N96" s="39" t="str">
        <f>IF(Sheet1!AM26="","",Sheet1!AM26)</f>
        <v/>
      </c>
      <c r="O96" s="40" t="str">
        <f t="shared" ref="O96:O122"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2" si="8">IF(N96="","",IF(N96&lt;$C$100,N96+$D$100+$E$100*N96+$F$100*N96^2+G132*N96^3,IF(N96&gt;=$C$101,N96+$D$101+$E$101*N96+$F$101*N96^2+$G$101*N96^3+$H$101*N96^4,"")))</f>
        <v/>
      </c>
      <c r="R96" s="40" t="str">
        <f t="shared" ref="R96:R122"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474</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320</v>
      </c>
      <c r="C99"/>
      <c r="D99" s="56" t="s">
        <v>462</v>
      </c>
      <c r="E99" s="56" t="s">
        <v>463</v>
      </c>
      <c r="F99" s="56" t="s">
        <v>446</v>
      </c>
      <c r="G99" s="56" t="s">
        <v>464</v>
      </c>
      <c r="H99" s="56" t="s">
        <v>465</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441</v>
      </c>
      <c r="B100" s="55" t="s">
        <v>468</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469</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449</v>
      </c>
      <c r="B103" s="55" t="s">
        <v>320</v>
      </c>
      <c r="C103"/>
      <c r="D103" s="56" t="s">
        <v>462</v>
      </c>
      <c r="E103" s="56" t="s">
        <v>463</v>
      </c>
      <c r="F103" s="56" t="s">
        <v>446</v>
      </c>
      <c r="G103" s="56" t="s">
        <v>464</v>
      </c>
      <c r="H103" s="56" t="s">
        <v>465</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468</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469</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450</v>
      </c>
      <c r="B107"/>
      <c r="C107"/>
      <c r="D107" s="56" t="s">
        <v>462</v>
      </c>
      <c r="E107" s="56" t="s">
        <v>463</v>
      </c>
      <c r="F107" s="56" t="s">
        <v>446</v>
      </c>
      <c r="G107" s="56" t="s">
        <v>464</v>
      </c>
      <c r="H107" s="56" t="s">
        <v>465</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468</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475</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469</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customSheetViews>
    <customSheetView guid="{D62192A2-80E4-4F30-AFA0-04511C5E7F57}" scale="75" topLeftCell="A22">
      <selection activeCell="D68" sqref="D68"/>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mergeCells count="10">
    <mergeCell ref="B51:B52"/>
    <mergeCell ref="C51:C52"/>
    <mergeCell ref="D51:K51"/>
    <mergeCell ref="O62:P62"/>
    <mergeCell ref="Q62:S62"/>
    <mergeCell ref="B2:J2"/>
    <mergeCell ref="L2:T2"/>
    <mergeCell ref="V2:AD2"/>
    <mergeCell ref="B26:L26"/>
    <mergeCell ref="O26:AA26"/>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425</v>
      </c>
      <c r="B1" t="s">
        <v>426</v>
      </c>
    </row>
  </sheetData>
  <customSheetViews>
    <customSheetView guid="{D62192A2-80E4-4F30-AFA0-04511C5E7F57}" scale="75">
      <selection activeCell="B1" sqref="B1"/>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476</v>
      </c>
    </row>
    <row r="2" spans="1:3" x14ac:dyDescent="0.2">
      <c r="B2" t="s">
        <v>477</v>
      </c>
    </row>
    <row r="3" spans="1:3" x14ac:dyDescent="0.2">
      <c r="B3" t="s">
        <v>478</v>
      </c>
    </row>
    <row r="4" spans="1:3" x14ac:dyDescent="0.2">
      <c r="B4" t="s">
        <v>479</v>
      </c>
    </row>
    <row r="5" spans="1:3" x14ac:dyDescent="0.2">
      <c r="B5" t="s">
        <v>480</v>
      </c>
    </row>
    <row r="6" spans="1:3" x14ac:dyDescent="0.2">
      <c r="B6" t="s">
        <v>481</v>
      </c>
    </row>
    <row r="8" spans="1:3" x14ac:dyDescent="0.2">
      <c r="A8" s="60" t="s">
        <v>482</v>
      </c>
    </row>
    <row r="9" spans="1:3" x14ac:dyDescent="0.2">
      <c r="A9" s="60"/>
      <c r="B9" t="s">
        <v>470</v>
      </c>
    </row>
    <row r="10" spans="1:3" x14ac:dyDescent="0.2">
      <c r="A10" s="60"/>
      <c r="B10" t="s">
        <v>471</v>
      </c>
    </row>
    <row r="11" spans="1:3" x14ac:dyDescent="0.2">
      <c r="B11" s="36" t="s">
        <v>483</v>
      </c>
      <c r="C11" s="36" t="s">
        <v>484</v>
      </c>
    </row>
    <row r="12" spans="1:3" x14ac:dyDescent="0.2">
      <c r="B12" s="61">
        <v>25.03</v>
      </c>
      <c r="C12" s="62">
        <f>IF(B12&lt;A22,B12+B22+B12*C22+B12^2*D22+B12^3*E22+B12^4*F22+B12^5*G22+B12^6*H22,B12+B23+B12*C23+B12^2*D23+B12^3*E23+B12^4*F23+B12^5*G23+B12^6*H23)</f>
        <v>21.808137925164374</v>
      </c>
    </row>
    <row r="14" spans="1:3" x14ac:dyDescent="0.2">
      <c r="A14" s="60" t="s">
        <v>485</v>
      </c>
    </row>
    <row r="15" spans="1:3" x14ac:dyDescent="0.2">
      <c r="A15" s="60"/>
      <c r="B15" t="s">
        <v>472</v>
      </c>
    </row>
    <row r="16" spans="1:3" x14ac:dyDescent="0.2">
      <c r="A16" s="60"/>
      <c r="B16" t="s">
        <v>473</v>
      </c>
    </row>
    <row r="17" spans="1:8" x14ac:dyDescent="0.2">
      <c r="B17" s="36" t="s">
        <v>483</v>
      </c>
      <c r="C17" s="36" t="s">
        <v>484</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ustomSheetViews>
    <customSheetView guid="{D62192A2-80E4-4F30-AFA0-04511C5E7F57}">
      <selection activeCell="D12" sqref="D12"/>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C4" sqref="C4:H4"/>
    </sheetView>
  </sheetViews>
  <sheetFormatPr defaultRowHeight="12.75" x14ac:dyDescent="0.2"/>
  <cols>
    <col min="1" max="1" width="10.42578125" style="367" customWidth="1"/>
    <col min="2" max="16384" width="9.140625" style="367"/>
  </cols>
  <sheetData>
    <row r="1" spans="1:1" x14ac:dyDescent="0.2">
      <c r="A1" s="370" t="s">
        <v>486</v>
      </c>
    </row>
    <row r="2" spans="1:1" x14ac:dyDescent="0.2">
      <c r="A2" s="367" t="s">
        <v>487</v>
      </c>
    </row>
    <row r="3" spans="1:1" x14ac:dyDescent="0.2">
      <c r="A3" s="367" t="s">
        <v>488</v>
      </c>
    </row>
    <row r="5" spans="1:1" x14ac:dyDescent="0.2">
      <c r="A5" s="370" t="s">
        <v>489</v>
      </c>
    </row>
    <row r="6" spans="1:1" x14ac:dyDescent="0.2">
      <c r="A6" s="367" t="s">
        <v>487</v>
      </c>
    </row>
    <row r="7" spans="1:1" x14ac:dyDescent="0.2">
      <c r="A7" s="367" t="s">
        <v>488</v>
      </c>
    </row>
    <row r="8" spans="1:1" x14ac:dyDescent="0.2">
      <c r="A8" s="367" t="s">
        <v>490</v>
      </c>
    </row>
    <row r="10" spans="1:1" x14ac:dyDescent="0.2">
      <c r="A10" s="369" t="s">
        <v>491</v>
      </c>
    </row>
    <row r="11" spans="1:1" x14ac:dyDescent="0.2">
      <c r="A11" s="368">
        <v>6</v>
      </c>
    </row>
    <row r="12" spans="1:1" x14ac:dyDescent="0.2">
      <c r="A12" s="368">
        <v>5.5</v>
      </c>
    </row>
    <row r="13" spans="1:1" x14ac:dyDescent="0.2">
      <c r="A13" s="368">
        <v>5</v>
      </c>
    </row>
    <row r="14" spans="1:1" x14ac:dyDescent="0.2">
      <c r="A14" s="368">
        <v>4.5</v>
      </c>
    </row>
    <row r="15" spans="1:1" x14ac:dyDescent="0.2">
      <c r="A15" s="368">
        <v>4</v>
      </c>
    </row>
    <row r="16" spans="1:1" x14ac:dyDescent="0.2">
      <c r="A16" s="368">
        <v>3.5</v>
      </c>
    </row>
    <row r="17" spans="1:1" x14ac:dyDescent="0.2">
      <c r="A17" s="368">
        <v>3</v>
      </c>
    </row>
    <row r="18" spans="1:1" x14ac:dyDescent="0.2">
      <c r="A18" s="368">
        <v>2.5</v>
      </c>
    </row>
    <row r="19" spans="1:1" x14ac:dyDescent="0.2">
      <c r="A19" s="368">
        <v>2</v>
      </c>
    </row>
    <row r="20" spans="1:1" x14ac:dyDescent="0.2">
      <c r="A20" s="368">
        <v>1.5</v>
      </c>
    </row>
    <row r="21" spans="1:1" x14ac:dyDescent="0.2">
      <c r="A21" s="368">
        <v>1</v>
      </c>
    </row>
    <row r="22" spans="1:1" x14ac:dyDescent="0.2">
      <c r="A22" s="368">
        <v>0.5</v>
      </c>
    </row>
  </sheetData>
  <customSheetViews>
    <customSheetView guid="{D62192A2-80E4-4F30-AFA0-04511C5E7F57}">
      <selection activeCell="C4" sqref="C4:H4"/>
      <pageMargins left="0.75" right="0.75" top="1" bottom="1" header="0.5" footer="0.5"/>
      <headerFooter alignWithMargins="0"/>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2020-06-25T17:57:46Z</dcterms:modified>
  <dc:language>en-US</dc:language>
</cp:coreProperties>
</file>