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iff" ContentType="image/tiff"/>
  <Default Extension="vml" ContentType="application/vnd.openxmlformats-officedocument.vmlDrawing"/>
  <Default Extension="wmf" ContentType="image/x-e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Z:\workspace\EquipTestingSpreadsheets\"/>
    </mc:Choice>
  </mc:AlternateContent>
  <xr:revisionPtr revIDLastSave="0" documentId="13_ncr:1_{0BA424DA-1F9C-4D33-9E7B-8EE3E64D0EAC}" xr6:coauthVersionLast="47" xr6:coauthVersionMax="47" xr10:uidLastSave="{00000000-0000-0000-0000-000000000000}"/>
  <bookViews>
    <workbookView xWindow="-18120" yWindow="-8025" windowWidth="18240" windowHeight="24240" firstSheet="1" activeTab="3" xr2:uid="{00000000-000D-0000-FFFF-FFFF00000000}"/>
  </bookViews>
  <sheets>
    <sheet name="QC Test Summary-Siemens" sheetId="1" r:id="rId1"/>
    <sheet name="Tech QC Eval-Siemens" sheetId="10" r:id="rId2"/>
    <sheet name="MQSA Requirements" sheetId="3" r:id="rId3"/>
    <sheet name="Sheet1" sheetId="4" r:id="rId4"/>
    <sheet name="Tables" sheetId="6" r:id="rId5"/>
    <sheet name="Sheet2" sheetId="5" r:id="rId6"/>
    <sheet name="DataPage" sheetId="7" r:id="rId7"/>
    <sheet name="dropdowns" sheetId="8" r:id="rId8"/>
    <sheet name="Corrected kV" sheetId="9" r:id="rId9"/>
  </sheets>
  <definedNames>
    <definedName name="_xlnm._FilterDatabase" localSheetId="7" hidden="1">dropdowns!#REF!</definedName>
    <definedName name="AECSNR">Sheet1!$B$217:$M$288</definedName>
    <definedName name="CollimArtifact">Sheet1!$B$145:$M$216</definedName>
    <definedName name="COMBO2D_ESE">Sheet1!$X$282</definedName>
    <definedName name="COMBO2D_HVL">Sheet1!$X$281</definedName>
    <definedName name="COMBOTOMO_ESE">Sheet1!$X$293</definedName>
    <definedName name="COMBOTOMO_HVL">Sheet1!$X$292</definedName>
    <definedName name="Compg1">Sheet1!$B$433:$M$504</definedName>
    <definedName name="ESE">Sheet1!$X$263</definedName>
    <definedName name="ExpLinHVL">Sheet1!$B$361:$M$432</definedName>
    <definedName name="FiberLst">dropdowns!$A$11:$A$22</definedName>
    <definedName name="HVL">Sheet1!$X$262</definedName>
    <definedName name="kVRepro">Sheet1!$B$289:$M$360</definedName>
    <definedName name="MGD">Sheet1!$X$265</definedName>
    <definedName name="Model">dropdowns!$A$25:$A$30</definedName>
    <definedName name="NA">dropdowns!$A$6:$A$8</definedName>
    <definedName name="Page1">Sheet1!$B$1:$M$72</definedName>
    <definedName name="Page2">Sheet1!$B$73:$M$144</definedName>
    <definedName name="PF">dropdowns!$A$2:$A$3</definedName>
    <definedName name="_xlnm.Print_Area" localSheetId="2">'MQSA Requirements'!$A$1:$E$40</definedName>
    <definedName name="_xlnm.Print_Area" localSheetId="0">'QC Test Summary-Siemens'!$A$1:$N$52</definedName>
    <definedName name="_xlnm.Print_Area" localSheetId="3">Sheet1!$B$1:$M$504</definedName>
    <definedName name="_xlnm.Print_Area" localSheetId="1">'Tech QC Eval-Siemens'!$A$1:$K$32</definedName>
    <definedName name="_xlnm.Print_Titles" localSheetId="2">'MQSA Requirements'!$9:$9</definedName>
    <definedName name="Siemens_Models">dropdowns!$A$25:$A$28</definedName>
    <definedName name="SpeckMassLst">dropdowns!$A$13:$A$22</definedName>
    <definedName name="Z_F38AF2A4_EC1D_460A_B405_E4A69D902BA6_.wvu.PrintArea" localSheetId="2" hidden="1">'MQSA Requirements'!$A$1:$E$40</definedName>
    <definedName name="Z_F38AF2A4_EC1D_460A_B405_E4A69D902BA6_.wvu.PrintArea" localSheetId="0" hidden="1">'QC Test Summary-Siemens'!$A$1:$N$52</definedName>
    <definedName name="Z_F38AF2A4_EC1D_460A_B405_E4A69D902BA6_.wvu.PrintArea" localSheetId="3" hidden="1">Sheet1!$B$1:$M$504</definedName>
    <definedName name="Z_F38AF2A4_EC1D_460A_B405_E4A69D902BA6_.wvu.PrintTitles" localSheetId="2" hidden="1">'MQSA Requirements'!$9:$9</definedName>
  </definedNames>
  <calcPr calcId="191029"/>
  <customWorkbookViews>
    <customWorkbookView name="Eugene Mah - Personal View" guid="{F38AF2A4-EC1D-460A-B405-E4A69D902BA6}" mergeInterval="0" personalView="1" maximized="1" xWindow="-8" yWindow="-8" windowWidth="1382" windowHeight="784" activeSheetId="4"/>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276" i="4" l="1"/>
  <c r="Q275" i="4"/>
  <c r="Q274" i="4"/>
  <c r="Q256" i="4"/>
  <c r="T236" i="4" l="1"/>
  <c r="T235" i="4"/>
  <c r="T234" i="4"/>
  <c r="T233" i="4"/>
  <c r="T232" i="4"/>
  <c r="U232" i="4"/>
  <c r="V232" i="4"/>
  <c r="X232" i="4"/>
  <c r="W228" i="4"/>
  <c r="T464" i="4"/>
  <c r="U460" i="4"/>
  <c r="T460" i="4"/>
  <c r="U459" i="4"/>
  <c r="T459" i="4"/>
  <c r="S407" i="4" l="1"/>
  <c r="S313" i="4"/>
  <c r="V315" i="4"/>
  <c r="V314" i="4"/>
  <c r="V313" i="4"/>
  <c r="R419" i="4"/>
  <c r="Q419" i="4"/>
  <c r="S409" i="4"/>
  <c r="R409" i="4"/>
  <c r="X393" i="4"/>
  <c r="X392" i="4"/>
  <c r="S393" i="4"/>
  <c r="S392" i="4"/>
  <c r="R423" i="4"/>
  <c r="R421" i="4"/>
  <c r="Q423" i="4"/>
  <c r="Q422" i="4"/>
  <c r="Q421" i="4"/>
  <c r="S412" i="4"/>
  <c r="R412" i="4"/>
  <c r="S411" i="4"/>
  <c r="R411" i="4"/>
  <c r="Q412" i="4"/>
  <c r="Q411" i="4"/>
  <c r="Q409" i="4"/>
  <c r="P412" i="4"/>
  <c r="P411" i="4"/>
  <c r="P410" i="4"/>
  <c r="P409" i="4"/>
  <c r="R398" i="4"/>
  <c r="Q398" i="4"/>
  <c r="R397" i="4"/>
  <c r="Q397" i="4"/>
  <c r="R396" i="4"/>
  <c r="Q396" i="4"/>
  <c r="R395" i="4"/>
  <c r="Q395" i="4"/>
  <c r="P398" i="4"/>
  <c r="P397" i="4"/>
  <c r="P396" i="4"/>
  <c r="P395" i="4"/>
  <c r="U383" i="4"/>
  <c r="T383" i="4"/>
  <c r="U382" i="4"/>
  <c r="T382" i="4"/>
  <c r="U381" i="4"/>
  <c r="T381" i="4"/>
  <c r="U380" i="4"/>
  <c r="T380" i="4"/>
  <c r="U379" i="4"/>
  <c r="T379" i="4"/>
  <c r="U378" i="4"/>
  <c r="T378" i="4"/>
  <c r="S383" i="4"/>
  <c r="S382" i="4"/>
  <c r="S381" i="4"/>
  <c r="S380" i="4"/>
  <c r="S379" i="4"/>
  <c r="R383" i="4"/>
  <c r="R382" i="4"/>
  <c r="R381" i="4"/>
  <c r="R380" i="4"/>
  <c r="R379" i="4"/>
  <c r="R378" i="4"/>
  <c r="Q383" i="4"/>
  <c r="Q382" i="4"/>
  <c r="Q381" i="4"/>
  <c r="Q380" i="4"/>
  <c r="Q379" i="4"/>
  <c r="Q378" i="4"/>
  <c r="U374" i="4"/>
  <c r="T374" i="4"/>
  <c r="S374" i="4"/>
  <c r="R377" i="4"/>
  <c r="R376" i="4"/>
  <c r="R375" i="4"/>
  <c r="Q377" i="4"/>
  <c r="Q376" i="4"/>
  <c r="Q375" i="4"/>
  <c r="R374" i="4"/>
  <c r="Q374" i="4"/>
  <c r="R373" i="4"/>
  <c r="R372" i="4"/>
  <c r="R371" i="4"/>
  <c r="Q373" i="4"/>
  <c r="Q372" i="4"/>
  <c r="Q371" i="4"/>
  <c r="S378" i="4"/>
  <c r="U377" i="4"/>
  <c r="T377" i="4"/>
  <c r="U376" i="4"/>
  <c r="T376" i="4"/>
  <c r="U375" i="4"/>
  <c r="T375" i="4"/>
  <c r="U373" i="4"/>
  <c r="T373" i="4"/>
  <c r="U372" i="4"/>
  <c r="T372" i="4"/>
  <c r="U371" i="4"/>
  <c r="T371" i="4"/>
  <c r="S377" i="4"/>
  <c r="S376" i="4"/>
  <c r="S375" i="4"/>
  <c r="S373" i="4"/>
  <c r="S372" i="4"/>
  <c r="S371" i="4"/>
  <c r="S247" i="4"/>
  <c r="R247" i="4"/>
  <c r="Q247" i="4"/>
  <c r="S246" i="4"/>
  <c r="R246" i="4"/>
  <c r="S245" i="4"/>
  <c r="R245" i="4"/>
  <c r="Q245" i="4"/>
  <c r="Q246" i="4"/>
  <c r="J60" i="6" l="1"/>
  <c r="J59" i="6"/>
  <c r="J58" i="6"/>
  <c r="S175" i="4" l="1"/>
  <c r="R175" i="4"/>
  <c r="Q175" i="4"/>
  <c r="P175" i="4"/>
  <c r="U296" i="4" l="1"/>
  <c r="U295" i="4"/>
  <c r="U294" i="4"/>
  <c r="U285" i="4"/>
  <c r="U284" i="4"/>
  <c r="U283" i="4"/>
  <c r="U293" i="4"/>
  <c r="U282" i="4"/>
  <c r="L50" i="4" l="1"/>
  <c r="M50" i="4"/>
  <c r="P44" i="4"/>
  <c r="E50" i="4" s="1"/>
  <c r="B76" i="6" l="1"/>
  <c r="S454" i="4" l="1"/>
  <c r="J398" i="4" s="1"/>
  <c r="H391" i="4"/>
  <c r="I391" i="4"/>
  <c r="J391" i="4"/>
  <c r="F172" i="4" l="1"/>
  <c r="E172" i="4"/>
  <c r="D172" i="4"/>
  <c r="F171" i="4"/>
  <c r="E171" i="4"/>
  <c r="D171" i="4"/>
  <c r="F170" i="4"/>
  <c r="E170" i="4"/>
  <c r="D170" i="4"/>
  <c r="F169" i="4"/>
  <c r="E169" i="4"/>
  <c r="D169" i="4"/>
  <c r="F168" i="4"/>
  <c r="E168" i="4"/>
  <c r="D168" i="4"/>
  <c r="F167" i="4"/>
  <c r="E167" i="4"/>
  <c r="D167" i="4"/>
  <c r="F166" i="4"/>
  <c r="E166" i="4"/>
  <c r="D166" i="4"/>
  <c r="F165" i="4"/>
  <c r="E165" i="4"/>
  <c r="D165" i="4"/>
  <c r="Q344" i="4" l="1"/>
  <c r="P344" i="4"/>
  <c r="R344" i="4" s="1"/>
  <c r="F149" i="4"/>
  <c r="Q253" i="4"/>
  <c r="X218" i="4"/>
  <c r="X219" i="4"/>
  <c r="R141" i="4"/>
  <c r="Q460" i="4"/>
  <c r="Q459" i="4"/>
  <c r="F251" i="4"/>
  <c r="E251" i="4"/>
  <c r="D251" i="4"/>
  <c r="E250" i="4"/>
  <c r="X448" i="4"/>
  <c r="W448" i="4"/>
  <c r="V448" i="4"/>
  <c r="AD115" i="4"/>
  <c r="AD109" i="4"/>
  <c r="AD103" i="4"/>
  <c r="V246" i="4"/>
  <c r="I251" i="4" s="1"/>
  <c r="U246" i="4" l="1"/>
  <c r="H251" i="4" s="1"/>
  <c r="D250" i="4"/>
  <c r="W246" i="4"/>
  <c r="J251" i="4" s="1"/>
  <c r="F250" i="4"/>
  <c r="U175" i="4"/>
  <c r="X175" i="4" s="1"/>
  <c r="I80" i="6" l="1"/>
  <c r="H80" i="6"/>
  <c r="H79" i="6"/>
  <c r="F81" i="6"/>
  <c r="F80" i="6"/>
  <c r="E81" i="6"/>
  <c r="E80" i="6"/>
  <c r="L5" i="1"/>
  <c r="C230" i="4"/>
  <c r="C229" i="4"/>
  <c r="K25" i="4" l="1"/>
  <c r="Q263" i="4" l="1"/>
  <c r="R263" i="4"/>
  <c r="Q264" i="4"/>
  <c r="R264" i="4"/>
  <c r="Q265" i="4"/>
  <c r="R265" i="4"/>
  <c r="Q266" i="4"/>
  <c r="R266" i="4"/>
  <c r="W251" i="4" l="1"/>
  <c r="W250" i="4"/>
  <c r="W249" i="4"/>
  <c r="W248" i="4"/>
  <c r="W247" i="4"/>
  <c r="V251" i="4"/>
  <c r="V250" i="4"/>
  <c r="V249" i="4"/>
  <c r="V248" i="4"/>
  <c r="V247" i="4"/>
  <c r="U251" i="4"/>
  <c r="U250" i="4"/>
  <c r="U249" i="4"/>
  <c r="U248" i="4"/>
  <c r="U247" i="4"/>
  <c r="Q254" i="4" s="1"/>
  <c r="R454" i="4" l="1"/>
  <c r="I398" i="4" s="1"/>
  <c r="I79" i="6" l="1"/>
  <c r="I78" i="6"/>
  <c r="H78" i="6"/>
  <c r="I77" i="6"/>
  <c r="H77" i="6"/>
  <c r="I76" i="6"/>
  <c r="H76" i="6"/>
  <c r="F79" i="6"/>
  <c r="E79" i="6"/>
  <c r="F78" i="6"/>
  <c r="E78" i="6"/>
  <c r="F77" i="6"/>
  <c r="E77" i="6"/>
  <c r="F76" i="6"/>
  <c r="E76" i="6"/>
  <c r="C82" i="6"/>
  <c r="B82" i="6"/>
  <c r="C81" i="6"/>
  <c r="B81" i="6"/>
  <c r="C80" i="6"/>
  <c r="B80" i="6"/>
  <c r="C79" i="6"/>
  <c r="B79" i="6"/>
  <c r="C78" i="6"/>
  <c r="C77" i="6"/>
  <c r="C76" i="6"/>
  <c r="B84" i="6" s="1"/>
  <c r="B78" i="6"/>
  <c r="B77" i="6"/>
  <c r="D84" i="6" l="1"/>
  <c r="C84" i="6"/>
  <c r="C85" i="6"/>
  <c r="C86" i="6"/>
  <c r="D86" i="6"/>
  <c r="D85" i="6"/>
  <c r="B85" i="6"/>
  <c r="B86" i="6"/>
  <c r="F302" i="4"/>
  <c r="E7" i="3" l="1"/>
  <c r="B3" i="3"/>
  <c r="Q454" i="4" l="1"/>
  <c r="H398" i="4" s="1"/>
  <c r="N22" i="1" l="1"/>
  <c r="L48" i="1"/>
  <c r="J48" i="1"/>
  <c r="H48" i="1"/>
  <c r="L25" i="1"/>
  <c r="J25" i="1"/>
  <c r="H25" i="1"/>
  <c r="V21" i="4" l="1"/>
  <c r="V28" i="4"/>
  <c r="Q461" i="4" l="1"/>
  <c r="V33" i="4"/>
  <c r="V32" i="4"/>
  <c r="V25" i="4"/>
  <c r="P378" i="4" s="1"/>
  <c r="V392" i="4" l="1"/>
  <c r="R418" i="4"/>
  <c r="L185" i="4"/>
  <c r="I185" i="4"/>
  <c r="S297" i="4" l="1"/>
  <c r="S305" i="4" s="1"/>
  <c r="Y402" i="4" l="1"/>
  <c r="X402" i="4"/>
  <c r="X296" i="4" l="1"/>
  <c r="X285" i="4"/>
  <c r="Q305" i="4"/>
  <c r="Q304" i="4"/>
  <c r="K280" i="4" s="1"/>
  <c r="O85" i="4" l="1"/>
  <c r="L181" i="4"/>
  <c r="N56" i="6"/>
  <c r="N55" i="6"/>
  <c r="N54" i="6"/>
  <c r="N53" i="6"/>
  <c r="Q319" i="4" l="1"/>
  <c r="D417" i="4" l="1"/>
  <c r="D410" i="4"/>
  <c r="J384" i="4"/>
  <c r="J383" i="4"/>
  <c r="E425" i="4"/>
  <c r="C429" i="4"/>
  <c r="C428" i="4"/>
  <c r="C427" i="4"/>
  <c r="K281" i="4"/>
  <c r="J277" i="4"/>
  <c r="S298" i="4" l="1"/>
  <c r="R297" i="4"/>
  <c r="R298" i="4" s="1"/>
  <c r="Q297" i="4"/>
  <c r="T296" i="4"/>
  <c r="T295" i="4"/>
  <c r="T294" i="4"/>
  <c r="T293" i="4"/>
  <c r="S286" i="4"/>
  <c r="R286" i="4"/>
  <c r="R287" i="4" s="1"/>
  <c r="Q286" i="4"/>
  <c r="T285" i="4"/>
  <c r="T284" i="4"/>
  <c r="T283" i="4"/>
  <c r="T282" i="4"/>
  <c r="S287" i="4" l="1"/>
  <c r="S304" i="4"/>
  <c r="S306" i="4" s="1"/>
  <c r="Q298" i="4"/>
  <c r="R305" i="4"/>
  <c r="L281" i="4" s="1"/>
  <c r="Q287" i="4"/>
  <c r="R304" i="4"/>
  <c r="L280" i="4" s="1"/>
  <c r="T286" i="4"/>
  <c r="T287" i="4" s="1"/>
  <c r="T297" i="4"/>
  <c r="T298" i="4" s="1"/>
  <c r="Q360" i="4"/>
  <c r="P360" i="4"/>
  <c r="U220" i="4" l="1"/>
  <c r="U219" i="4"/>
  <c r="U218" i="4"/>
  <c r="X220" i="4"/>
  <c r="AD132" i="4"/>
  <c r="AD131" i="4"/>
  <c r="AD130" i="4"/>
  <c r="AD129" i="4"/>
  <c r="AD128" i="4"/>
  <c r="AD127" i="4"/>
  <c r="Q351" i="4"/>
  <c r="D416" i="4" l="1"/>
  <c r="D415" i="4"/>
  <c r="Y319" i="4" l="1"/>
  <c r="Y327" i="4"/>
  <c r="W319" i="4"/>
  <c r="W327" i="4"/>
  <c r="Q327" i="4"/>
  <c r="S319" i="4"/>
  <c r="S327" i="4"/>
  <c r="Y334" i="4" l="1"/>
  <c r="W334" i="4"/>
  <c r="S334" i="4"/>
  <c r="Q334" i="4"/>
  <c r="W348" i="4"/>
  <c r="W347" i="4"/>
  <c r="W346" i="4"/>
  <c r="W345" i="4"/>
  <c r="W344" i="4"/>
  <c r="V348" i="4"/>
  <c r="V347" i="4"/>
  <c r="V346" i="4"/>
  <c r="V345" i="4"/>
  <c r="V344" i="4"/>
  <c r="T348" i="4"/>
  <c r="T347" i="4"/>
  <c r="T346" i="4"/>
  <c r="T345" i="4"/>
  <c r="T344" i="4"/>
  <c r="S348" i="4"/>
  <c r="S347" i="4"/>
  <c r="S346" i="4"/>
  <c r="S345" i="4"/>
  <c r="S344" i="4"/>
  <c r="P348" i="4"/>
  <c r="P347" i="4"/>
  <c r="P346" i="4"/>
  <c r="P345" i="4"/>
  <c r="U344" i="4" l="1"/>
  <c r="M139" i="4" l="1"/>
  <c r="L139" i="4"/>
  <c r="M141" i="4"/>
  <c r="L141" i="4"/>
  <c r="M140" i="4"/>
  <c r="L140" i="4"/>
  <c r="D425" i="4"/>
  <c r="E410" i="4"/>
  <c r="E424" i="4"/>
  <c r="E423" i="4"/>
  <c r="E422" i="4"/>
  <c r="E421" i="4"/>
  <c r="D424" i="4"/>
  <c r="D423" i="4"/>
  <c r="D422" i="4"/>
  <c r="D421" i="4"/>
  <c r="E417" i="4"/>
  <c r="D414" i="4"/>
  <c r="E409" i="4"/>
  <c r="D409" i="4"/>
  <c r="E408" i="4"/>
  <c r="D408" i="4"/>
  <c r="E407" i="4"/>
  <c r="D407" i="4"/>
  <c r="F405" i="4"/>
  <c r="F404" i="4"/>
  <c r="F281" i="4" l="1"/>
  <c r="F280" i="4"/>
  <c r="F279" i="4"/>
  <c r="E281" i="4"/>
  <c r="E280" i="4"/>
  <c r="E279" i="4"/>
  <c r="C277" i="4"/>
  <c r="C263" i="4"/>
  <c r="M434" i="4"/>
  <c r="M433" i="4"/>
  <c r="D503" i="4"/>
  <c r="AD146" i="4"/>
  <c r="AD145" i="4"/>
  <c r="AD144" i="4"/>
  <c r="AD142" i="4"/>
  <c r="AD141" i="4"/>
  <c r="AD140" i="4"/>
  <c r="AD126" i="4"/>
  <c r="AD125" i="4"/>
  <c r="AD124" i="4"/>
  <c r="Q345" i="4"/>
  <c r="X344" i="4"/>
  <c r="U359" i="4"/>
  <c r="U358" i="4"/>
  <c r="U357" i="4"/>
  <c r="T359" i="4"/>
  <c r="T358" i="4"/>
  <c r="T357" i="4"/>
  <c r="W352" i="4"/>
  <c r="W351" i="4"/>
  <c r="T352" i="4"/>
  <c r="T351" i="4"/>
  <c r="Q352" i="4"/>
  <c r="U315" i="4"/>
  <c r="T315" i="4"/>
  <c r="U314" i="4"/>
  <c r="T314" i="4"/>
  <c r="U313" i="4"/>
  <c r="T313" i="4"/>
  <c r="T276" i="4"/>
  <c r="T275" i="4"/>
  <c r="T274" i="4"/>
  <c r="X348" i="4" l="1"/>
  <c r="W350" i="4" s="1"/>
  <c r="X350" i="4" s="1"/>
  <c r="X347" i="4"/>
  <c r="X345" i="4"/>
  <c r="U348" i="4"/>
  <c r="T350" i="4" s="1"/>
  <c r="U350" i="4" s="1"/>
  <c r="U347" i="4"/>
  <c r="U345" i="4"/>
  <c r="Q348" i="4"/>
  <c r="R348" i="4" s="1"/>
  <c r="Q350" i="4" s="1"/>
  <c r="Q347" i="4"/>
  <c r="R347" i="4" s="1"/>
  <c r="Q346" i="4"/>
  <c r="R350" i="4" l="1"/>
  <c r="R345" i="4"/>
  <c r="W349" i="4"/>
  <c r="T349" i="4"/>
  <c r="F416" i="4"/>
  <c r="AD138" i="4"/>
  <c r="F415" i="4"/>
  <c r="AD136" i="4"/>
  <c r="S315" i="4"/>
  <c r="F409" i="4" s="1"/>
  <c r="S314" i="4"/>
  <c r="F408" i="4" s="1"/>
  <c r="V276" i="4"/>
  <c r="H281" i="4" s="1"/>
  <c r="V275" i="4"/>
  <c r="H280" i="4" s="1"/>
  <c r="V274" i="4"/>
  <c r="Q349" i="4" l="1"/>
  <c r="R349" i="4" s="1"/>
  <c r="L137" i="4"/>
  <c r="AD134" i="4"/>
  <c r="L135" i="4"/>
  <c r="E415" i="4"/>
  <c r="U349" i="4"/>
  <c r="G415" i="4" s="1"/>
  <c r="AD137" i="4"/>
  <c r="X349" i="4"/>
  <c r="G416" i="4" s="1"/>
  <c r="E416" i="4"/>
  <c r="AD135" i="4"/>
  <c r="F414" i="4"/>
  <c r="E414" i="4"/>
  <c r="AD133" i="4"/>
  <c r="F407" i="4"/>
  <c r="M137" i="4"/>
  <c r="M135" i="4"/>
  <c r="H279" i="4"/>
  <c r="D375" i="4"/>
  <c r="F375" i="4"/>
  <c r="E375" i="4"/>
  <c r="F377" i="4"/>
  <c r="Q424" i="4"/>
  <c r="D377" i="4" s="1"/>
  <c r="E377" i="4" l="1"/>
  <c r="G414" i="4"/>
  <c r="T263" i="4"/>
  <c r="O415" i="4"/>
  <c r="I367" i="4" s="1"/>
  <c r="S397" i="4"/>
  <c r="S395" i="4"/>
  <c r="H67" i="6"/>
  <c r="E68" i="6"/>
  <c r="W383" i="4"/>
  <c r="X383" i="4"/>
  <c r="E67" i="6"/>
  <c r="G302" i="4"/>
  <c r="X377" i="4"/>
  <c r="K302" i="4" s="1"/>
  <c r="E302" i="4"/>
  <c r="D302" i="4"/>
  <c r="S402" i="4"/>
  <c r="T402" i="4"/>
  <c r="W371" i="4" l="1"/>
  <c r="V377" i="4"/>
  <c r="H302" i="4"/>
  <c r="T396" i="4"/>
  <c r="M138" i="4"/>
  <c r="L138" i="4"/>
  <c r="W377" i="4"/>
  <c r="J302" i="4" s="1"/>
  <c r="T397" i="4"/>
  <c r="T398" i="4"/>
  <c r="R400" i="4"/>
  <c r="P400" i="4"/>
  <c r="P399" i="4"/>
  <c r="Q410" i="4" s="1"/>
  <c r="T395" i="4"/>
  <c r="R425" i="4"/>
  <c r="Q400" i="4"/>
  <c r="Q399" i="4"/>
  <c r="V383" i="4"/>
  <c r="F68" i="6" s="1"/>
  <c r="S398" i="4"/>
  <c r="S396" i="4"/>
  <c r="R399" i="4"/>
  <c r="M193" i="4"/>
  <c r="L193" i="4"/>
  <c r="K193" i="4"/>
  <c r="M192" i="4"/>
  <c r="L192" i="4"/>
  <c r="K192" i="4"/>
  <c r="M191" i="4"/>
  <c r="L191" i="4"/>
  <c r="K191" i="4"/>
  <c r="M190" i="4"/>
  <c r="L190" i="4"/>
  <c r="K190" i="4"/>
  <c r="M189" i="4"/>
  <c r="L189" i="4"/>
  <c r="K189" i="4"/>
  <c r="M188" i="4"/>
  <c r="L188" i="4"/>
  <c r="K188" i="4"/>
  <c r="J193" i="4"/>
  <c r="I193" i="4"/>
  <c r="H193" i="4"/>
  <c r="J192" i="4"/>
  <c r="I192" i="4"/>
  <c r="H192" i="4"/>
  <c r="H196" i="4" s="1"/>
  <c r="J191" i="4"/>
  <c r="I191" i="4"/>
  <c r="H191" i="4"/>
  <c r="J190" i="4"/>
  <c r="I190" i="4"/>
  <c r="H190" i="4"/>
  <c r="J189" i="4"/>
  <c r="I189" i="4"/>
  <c r="H189" i="4"/>
  <c r="J188" i="4"/>
  <c r="I188" i="4"/>
  <c r="H188" i="4"/>
  <c r="H195" i="4" s="1"/>
  <c r="F198" i="4"/>
  <c r="E198" i="4"/>
  <c r="D198" i="4"/>
  <c r="F197" i="4"/>
  <c r="E197" i="4"/>
  <c r="D197" i="4"/>
  <c r="F196" i="4"/>
  <c r="E196" i="4"/>
  <c r="D196" i="4"/>
  <c r="F195" i="4"/>
  <c r="E195" i="4"/>
  <c r="D195" i="4"/>
  <c r="D194" i="4"/>
  <c r="F191" i="4"/>
  <c r="E191" i="4"/>
  <c r="D191" i="4"/>
  <c r="F190" i="4"/>
  <c r="E190" i="4"/>
  <c r="D190" i="4"/>
  <c r="F189" i="4"/>
  <c r="E189" i="4"/>
  <c r="D189" i="4"/>
  <c r="F188" i="4"/>
  <c r="E188" i="4"/>
  <c r="D188" i="4"/>
  <c r="C69" i="6" l="1"/>
  <c r="I302" i="4"/>
  <c r="R401" i="4"/>
  <c r="T400" i="4"/>
  <c r="T399" i="4"/>
  <c r="P401" i="4"/>
  <c r="Q401" i="4"/>
  <c r="S399" i="4"/>
  <c r="S400" i="4"/>
  <c r="J397" i="4"/>
  <c r="I397" i="4"/>
  <c r="H397" i="4"/>
  <c r="J396" i="4"/>
  <c r="I396" i="4"/>
  <c r="H396" i="4"/>
  <c r="J395" i="4"/>
  <c r="I395" i="4"/>
  <c r="H395" i="4"/>
  <c r="J394" i="4"/>
  <c r="I394" i="4"/>
  <c r="H394" i="4"/>
  <c r="J393" i="4"/>
  <c r="I393" i="4"/>
  <c r="H393" i="4"/>
  <c r="J392" i="4"/>
  <c r="I392" i="4"/>
  <c r="H392" i="4"/>
  <c r="D185" i="4"/>
  <c r="V235" i="4" l="1"/>
  <c r="V234" i="4"/>
  <c r="V236" i="4"/>
  <c r="V233" i="4"/>
  <c r="S401" i="4"/>
  <c r="Q425" i="4"/>
  <c r="D378" i="4" s="1"/>
  <c r="T401" i="4"/>
  <c r="F378" i="4"/>
  <c r="E378" i="4"/>
  <c r="E376" i="4"/>
  <c r="S446" i="4"/>
  <c r="F376" i="4" l="1"/>
  <c r="D376" i="4"/>
  <c r="D459" i="4" l="1"/>
  <c r="D458" i="4"/>
  <c r="D457" i="4"/>
  <c r="D456" i="4"/>
  <c r="D455" i="4"/>
  <c r="D454" i="4"/>
  <c r="R506" i="4"/>
  <c r="S505" i="4"/>
  <c r="T506" i="4" s="1"/>
  <c r="R504" i="4"/>
  <c r="S503" i="4"/>
  <c r="T504" i="4" s="1"/>
  <c r="D451" i="4" l="1"/>
  <c r="D450" i="4"/>
  <c r="D449" i="4"/>
  <c r="D448" i="4"/>
  <c r="D447" i="4"/>
  <c r="D446" i="4"/>
  <c r="D445" i="4"/>
  <c r="D444" i="4"/>
  <c r="D443" i="4"/>
  <c r="D442" i="4"/>
  <c r="D441" i="4"/>
  <c r="D440" i="4"/>
  <c r="D439" i="4"/>
  <c r="D438" i="4"/>
  <c r="D437" i="4"/>
  <c r="D436" i="4"/>
  <c r="D452" i="4"/>
  <c r="D453" i="4"/>
  <c r="R502" i="4"/>
  <c r="S501" i="4"/>
  <c r="T502" i="4" s="1"/>
  <c r="R500" i="4"/>
  <c r="S499" i="4"/>
  <c r="T500" i="4" s="1"/>
  <c r="R498" i="4"/>
  <c r="S497" i="4"/>
  <c r="T498" i="4" s="1"/>
  <c r="R496" i="4"/>
  <c r="S495" i="4"/>
  <c r="T496" i="4" s="1"/>
  <c r="R494" i="4"/>
  <c r="S493" i="4"/>
  <c r="T494" i="4" s="1"/>
  <c r="R492" i="4"/>
  <c r="S491" i="4"/>
  <c r="T492" i="4" s="1"/>
  <c r="M132" i="4" l="1"/>
  <c r="L132" i="4"/>
  <c r="M131" i="4"/>
  <c r="L131" i="4"/>
  <c r="M130" i="4"/>
  <c r="L130" i="4"/>
  <c r="M129" i="4"/>
  <c r="L129" i="4"/>
  <c r="M128" i="4"/>
  <c r="L128" i="4"/>
  <c r="D431" i="4"/>
  <c r="M362" i="4"/>
  <c r="M361" i="4"/>
  <c r="I292" i="4"/>
  <c r="I291" i="4"/>
  <c r="F291" i="4"/>
  <c r="D291" i="4"/>
  <c r="F257" i="4"/>
  <c r="E257" i="4"/>
  <c r="F256" i="4"/>
  <c r="E256" i="4"/>
  <c r="F255" i="4"/>
  <c r="E255" i="4"/>
  <c r="F254" i="4"/>
  <c r="E254" i="4"/>
  <c r="F253" i="4"/>
  <c r="E253" i="4"/>
  <c r="D257" i="4"/>
  <c r="D256" i="4"/>
  <c r="D255" i="4"/>
  <c r="D254" i="4"/>
  <c r="D253" i="4"/>
  <c r="G241" i="4"/>
  <c r="F241" i="4"/>
  <c r="E241" i="4"/>
  <c r="G240" i="4"/>
  <c r="F240" i="4"/>
  <c r="E240" i="4"/>
  <c r="G239" i="4"/>
  <c r="F239" i="4"/>
  <c r="E239" i="4"/>
  <c r="G238" i="4"/>
  <c r="F238" i="4"/>
  <c r="E238" i="4"/>
  <c r="G237" i="4"/>
  <c r="F237" i="4"/>
  <c r="E237" i="4"/>
  <c r="D241" i="4"/>
  <c r="D240" i="4"/>
  <c r="D239" i="4"/>
  <c r="D238" i="4"/>
  <c r="D237" i="4"/>
  <c r="I233" i="4"/>
  <c r="G233" i="4"/>
  <c r="D233" i="4"/>
  <c r="G225" i="4"/>
  <c r="F225" i="4"/>
  <c r="E225" i="4"/>
  <c r="D225" i="4"/>
  <c r="G224" i="4"/>
  <c r="F224" i="4"/>
  <c r="E224" i="4"/>
  <c r="D224" i="4"/>
  <c r="G223" i="4"/>
  <c r="F223" i="4"/>
  <c r="E223" i="4"/>
  <c r="D223" i="4"/>
  <c r="C225" i="4"/>
  <c r="C224" i="4"/>
  <c r="J220" i="4"/>
  <c r="D359" i="4"/>
  <c r="D287" i="4"/>
  <c r="D71" i="4"/>
  <c r="D143" i="4"/>
  <c r="E207" i="4"/>
  <c r="E206" i="4"/>
  <c r="E205" i="4"/>
  <c r="E204" i="4"/>
  <c r="F148" i="4"/>
  <c r="M125" i="4"/>
  <c r="L125" i="4"/>
  <c r="M124" i="4"/>
  <c r="L124" i="4"/>
  <c r="M123" i="4"/>
  <c r="L123" i="4"/>
  <c r="M122" i="4"/>
  <c r="L122" i="4"/>
  <c r="M121" i="4"/>
  <c r="L121" i="4"/>
  <c r="M120" i="4"/>
  <c r="L120" i="4"/>
  <c r="M119" i="4"/>
  <c r="L119" i="4"/>
  <c r="M118" i="4"/>
  <c r="L118" i="4"/>
  <c r="M117" i="4"/>
  <c r="L117" i="4"/>
  <c r="M116" i="4"/>
  <c r="L116" i="4"/>
  <c r="M115" i="4"/>
  <c r="L115" i="4"/>
  <c r="M114" i="4"/>
  <c r="L114" i="4"/>
  <c r="M113" i="4"/>
  <c r="L113" i="4"/>
  <c r="M112" i="4"/>
  <c r="L112" i="4"/>
  <c r="M111" i="4"/>
  <c r="L111" i="4"/>
  <c r="M110" i="4"/>
  <c r="L110" i="4"/>
  <c r="M109" i="4"/>
  <c r="L109" i="4"/>
  <c r="J349" i="4"/>
  <c r="I349" i="4"/>
  <c r="K348" i="4"/>
  <c r="J348" i="4"/>
  <c r="I348" i="4"/>
  <c r="K347" i="4"/>
  <c r="J347" i="4"/>
  <c r="I347" i="4"/>
  <c r="K346" i="4"/>
  <c r="I346" i="4"/>
  <c r="M349" i="4" l="1"/>
  <c r="K349" i="4"/>
  <c r="J351" i="4"/>
  <c r="J346" i="4"/>
  <c r="M347" i="4"/>
  <c r="M348" i="4"/>
  <c r="I350" i="4"/>
  <c r="K351" i="4"/>
  <c r="I351" i="4"/>
  <c r="J350" i="4" l="1"/>
  <c r="K352" i="4"/>
  <c r="K350" i="4"/>
  <c r="M351" i="4"/>
  <c r="M346" i="4"/>
  <c r="I352" i="4"/>
  <c r="M350" i="4"/>
  <c r="M353" i="4" s="1"/>
  <c r="AD91" i="4" l="1"/>
  <c r="L344" i="4" l="1"/>
  <c r="L343" i="4"/>
  <c r="X453" i="4"/>
  <c r="W453" i="4"/>
  <c r="V453" i="4"/>
  <c r="X452" i="4"/>
  <c r="W452" i="4"/>
  <c r="V452" i="4"/>
  <c r="X451" i="4"/>
  <c r="W451" i="4"/>
  <c r="V451" i="4"/>
  <c r="X450" i="4"/>
  <c r="W450" i="4"/>
  <c r="V450" i="4"/>
  <c r="X449" i="4"/>
  <c r="W449" i="4"/>
  <c r="V449" i="4"/>
  <c r="AD120" i="4"/>
  <c r="AD119" i="4"/>
  <c r="AD118" i="4"/>
  <c r="AD117" i="4"/>
  <c r="AD116" i="4"/>
  <c r="AD114" i="4"/>
  <c r="AD113" i="4"/>
  <c r="AD112" i="4"/>
  <c r="AD111" i="4"/>
  <c r="AD110" i="4"/>
  <c r="AD108" i="4"/>
  <c r="AD107" i="4"/>
  <c r="AD106" i="4"/>
  <c r="L347" i="4" l="1"/>
  <c r="L346" i="4"/>
  <c r="L348" i="4"/>
  <c r="L349" i="4"/>
  <c r="L351" i="4" l="1"/>
  <c r="L350" i="4"/>
  <c r="L352" i="4" l="1"/>
  <c r="AD90" i="4"/>
  <c r="G344" i="4"/>
  <c r="F349" i="4"/>
  <c r="E349" i="4"/>
  <c r="F348" i="4"/>
  <c r="E348" i="4"/>
  <c r="F347" i="4"/>
  <c r="E347" i="4"/>
  <c r="F346" i="4"/>
  <c r="E346" i="4"/>
  <c r="H312" i="4"/>
  <c r="G312" i="4"/>
  <c r="F312" i="4"/>
  <c r="H311" i="4"/>
  <c r="G311" i="4"/>
  <c r="F311" i="4"/>
  <c r="H310" i="4"/>
  <c r="G310" i="4"/>
  <c r="F310" i="4"/>
  <c r="H309" i="4"/>
  <c r="G309" i="4"/>
  <c r="F309" i="4"/>
  <c r="H308" i="4"/>
  <c r="G308" i="4"/>
  <c r="F308" i="4"/>
  <c r="H307" i="4"/>
  <c r="G307" i="4"/>
  <c r="F307" i="4"/>
  <c r="H306" i="4"/>
  <c r="G306" i="4"/>
  <c r="F306" i="4"/>
  <c r="H305" i="4"/>
  <c r="G305" i="4"/>
  <c r="F305" i="4"/>
  <c r="H304" i="4"/>
  <c r="G304" i="4"/>
  <c r="F304" i="4"/>
  <c r="H303" i="4"/>
  <c r="G303" i="4"/>
  <c r="F303" i="4"/>
  <c r="H301" i="4"/>
  <c r="G301" i="4"/>
  <c r="F301" i="4"/>
  <c r="H300" i="4"/>
  <c r="G300" i="4"/>
  <c r="F300" i="4"/>
  <c r="H299" i="4"/>
  <c r="G299" i="4"/>
  <c r="F299" i="4"/>
  <c r="H298" i="4"/>
  <c r="G298" i="4"/>
  <c r="F298" i="4"/>
  <c r="H297" i="4"/>
  <c r="G297" i="4"/>
  <c r="F297" i="4"/>
  <c r="H296" i="4"/>
  <c r="G296" i="4"/>
  <c r="F296" i="4"/>
  <c r="G347" i="4" l="1"/>
  <c r="W372" i="4"/>
  <c r="J297" i="4" s="1"/>
  <c r="W376" i="4"/>
  <c r="J301" i="4" s="1"/>
  <c r="W381" i="4"/>
  <c r="J306" i="4" s="1"/>
  <c r="J310" i="4"/>
  <c r="H346" i="4"/>
  <c r="G346" i="4"/>
  <c r="H349" i="4"/>
  <c r="W374" i="4"/>
  <c r="J299" i="4" s="1"/>
  <c r="W379" i="4"/>
  <c r="J304" i="4" s="1"/>
  <c r="J308" i="4"/>
  <c r="J312" i="4"/>
  <c r="H348" i="4"/>
  <c r="G349" i="4"/>
  <c r="U412" i="4"/>
  <c r="O416" i="4" s="1"/>
  <c r="I368" i="4" s="1"/>
  <c r="H347" i="4"/>
  <c r="G348" i="4"/>
  <c r="U411" i="4"/>
  <c r="U409" i="4"/>
  <c r="W373" i="4"/>
  <c r="J298" i="4" s="1"/>
  <c r="W375" i="4"/>
  <c r="J300" i="4" s="1"/>
  <c r="W378" i="4"/>
  <c r="J303" i="4" s="1"/>
  <c r="W380" i="4"/>
  <c r="J305" i="4" s="1"/>
  <c r="W382" i="4"/>
  <c r="J307" i="4" s="1"/>
  <c r="J309" i="4"/>
  <c r="J311" i="4"/>
  <c r="J296" i="4"/>
  <c r="S238" i="4"/>
  <c r="G243" i="4" s="1"/>
  <c r="R238" i="4"/>
  <c r="F243" i="4" s="1"/>
  <c r="Q238" i="4"/>
  <c r="E243" i="4" s="1"/>
  <c r="P238" i="4"/>
  <c r="D243" i="4" s="1"/>
  <c r="I148" i="4" l="1"/>
  <c r="F252" i="4" l="1"/>
  <c r="E252" i="4"/>
  <c r="D252" i="4"/>
  <c r="C18" i="9" l="1"/>
  <c r="C12" i="9"/>
  <c r="M56" i="6"/>
  <c r="L56" i="6"/>
  <c r="M55" i="6"/>
  <c r="L55" i="6"/>
  <c r="M54" i="6"/>
  <c r="L54" i="6"/>
  <c r="M53" i="6"/>
  <c r="L53" i="6"/>
  <c r="U464" i="4"/>
  <c r="I384" i="4" s="1"/>
  <c r="U463" i="4"/>
  <c r="I383" i="4" s="1"/>
  <c r="R437" i="4"/>
  <c r="Q437" i="4"/>
  <c r="E396" i="4" s="1"/>
  <c r="R436" i="4"/>
  <c r="U435" i="4"/>
  <c r="R435" i="4"/>
  <c r="V434" i="4"/>
  <c r="R434" i="4"/>
  <c r="V433" i="4"/>
  <c r="R433" i="4"/>
  <c r="V432" i="4"/>
  <c r="R432" i="4"/>
  <c r="E370" i="4"/>
  <c r="D370" i="4"/>
  <c r="D369" i="4"/>
  <c r="C368" i="4"/>
  <c r="F364" i="4"/>
  <c r="D349" i="4"/>
  <c r="D348" i="4"/>
  <c r="D347" i="4"/>
  <c r="D346" i="4"/>
  <c r="G343" i="4"/>
  <c r="E312" i="4"/>
  <c r="D312" i="4"/>
  <c r="E311" i="4"/>
  <c r="D311" i="4"/>
  <c r="E310" i="4"/>
  <c r="D310" i="4"/>
  <c r="E309" i="4"/>
  <c r="D309" i="4"/>
  <c r="E308" i="4"/>
  <c r="D308" i="4"/>
  <c r="D307" i="4"/>
  <c r="D306" i="4"/>
  <c r="E305" i="4"/>
  <c r="D305" i="4"/>
  <c r="E304" i="4"/>
  <c r="D304" i="4"/>
  <c r="E303" i="4"/>
  <c r="D303" i="4"/>
  <c r="M290" i="4"/>
  <c r="E301" i="4"/>
  <c r="D301" i="4"/>
  <c r="M289" i="4"/>
  <c r="E300" i="4"/>
  <c r="D300" i="4"/>
  <c r="E299" i="4"/>
  <c r="D299" i="4"/>
  <c r="E298" i="4"/>
  <c r="D298" i="4"/>
  <c r="M399" i="4"/>
  <c r="L399" i="4"/>
  <c r="E399" i="4"/>
  <c r="E297" i="4"/>
  <c r="M398" i="4"/>
  <c r="L398" i="4"/>
  <c r="E398" i="4"/>
  <c r="V371" i="4"/>
  <c r="D296" i="4"/>
  <c r="M397" i="4"/>
  <c r="L397" i="4"/>
  <c r="E397" i="4"/>
  <c r="M396" i="4"/>
  <c r="M395" i="4"/>
  <c r="L395" i="4"/>
  <c r="E395" i="4"/>
  <c r="M394" i="4"/>
  <c r="L394" i="4"/>
  <c r="E394" i="4"/>
  <c r="M393" i="4"/>
  <c r="L393" i="4"/>
  <c r="E393" i="4"/>
  <c r="M392" i="4"/>
  <c r="E392" i="4"/>
  <c r="E391" i="4"/>
  <c r="S267" i="4"/>
  <c r="F272" i="4" s="1"/>
  <c r="R267" i="4"/>
  <c r="Q267" i="4"/>
  <c r="Q268" i="4" s="1"/>
  <c r="D273" i="4" s="1"/>
  <c r="X266" i="4"/>
  <c r="K271" i="4" s="1"/>
  <c r="T266" i="4"/>
  <c r="G271" i="4" s="1"/>
  <c r="T265" i="4"/>
  <c r="G270" i="4" s="1"/>
  <c r="E384" i="4"/>
  <c r="T264" i="4"/>
  <c r="G269" i="4" s="1"/>
  <c r="E383" i="4"/>
  <c r="E382" i="4"/>
  <c r="F271" i="4"/>
  <c r="E271" i="4"/>
  <c r="D271" i="4"/>
  <c r="F270" i="4"/>
  <c r="E270" i="4"/>
  <c r="D270" i="4"/>
  <c r="F269" i="4"/>
  <c r="E269" i="4"/>
  <c r="D269" i="4"/>
  <c r="S253" i="4"/>
  <c r="R253" i="4"/>
  <c r="H256" i="4"/>
  <c r="F268" i="4"/>
  <c r="E268" i="4"/>
  <c r="D268" i="4"/>
  <c r="G265" i="4"/>
  <c r="D265" i="4"/>
  <c r="G264" i="4"/>
  <c r="D264" i="4"/>
  <c r="S237" i="4"/>
  <c r="R237" i="4"/>
  <c r="Q237" i="4"/>
  <c r="P237" i="4"/>
  <c r="D242" i="4" s="1"/>
  <c r="U236" i="4"/>
  <c r="I241" i="4" s="1"/>
  <c r="H241" i="4"/>
  <c r="U235" i="4"/>
  <c r="I240" i="4" s="1"/>
  <c r="H240" i="4"/>
  <c r="U234" i="4"/>
  <c r="I239" i="4" s="1"/>
  <c r="H239" i="4"/>
  <c r="U233" i="4"/>
  <c r="I238" i="4" s="1"/>
  <c r="H238" i="4"/>
  <c r="I237" i="4"/>
  <c r="C223" i="4"/>
  <c r="G220" i="4"/>
  <c r="D220" i="4"/>
  <c r="K224" i="4"/>
  <c r="M218" i="4"/>
  <c r="M217" i="4"/>
  <c r="D215" i="4"/>
  <c r="D208" i="4"/>
  <c r="D207" i="4"/>
  <c r="D206" i="4"/>
  <c r="R211" i="4"/>
  <c r="Q211" i="4"/>
  <c r="D205" i="4"/>
  <c r="D204" i="4"/>
  <c r="G181" i="4"/>
  <c r="F181" i="4"/>
  <c r="E181" i="4"/>
  <c r="D181" i="4"/>
  <c r="W189" i="4"/>
  <c r="F200" i="4" s="1"/>
  <c r="V189" i="4"/>
  <c r="E200" i="4" s="1"/>
  <c r="U189" i="4"/>
  <c r="D200" i="4" s="1"/>
  <c r="S189" i="4"/>
  <c r="F193" i="4" s="1"/>
  <c r="R189" i="4"/>
  <c r="E193" i="4" s="1"/>
  <c r="Q189" i="4"/>
  <c r="D193" i="4" s="1"/>
  <c r="W188" i="4"/>
  <c r="F199" i="4" s="1"/>
  <c r="V188" i="4"/>
  <c r="E199" i="4" s="1"/>
  <c r="U188" i="4"/>
  <c r="D199" i="4" s="1"/>
  <c r="S188" i="4"/>
  <c r="F192" i="4" s="1"/>
  <c r="R188" i="4"/>
  <c r="E192" i="4" s="1"/>
  <c r="Q188" i="4"/>
  <c r="D192" i="4" s="1"/>
  <c r="H194" i="4" s="1"/>
  <c r="D174" i="4"/>
  <c r="H172" i="4"/>
  <c r="H171" i="4"/>
  <c r="H170" i="4"/>
  <c r="H169" i="4"/>
  <c r="H168" i="4"/>
  <c r="H167" i="4"/>
  <c r="H166" i="4"/>
  <c r="H165" i="4"/>
  <c r="I181" i="4"/>
  <c r="D162" i="4"/>
  <c r="D161" i="4"/>
  <c r="D160" i="4"/>
  <c r="D159" i="4"/>
  <c r="D158" i="4"/>
  <c r="D157" i="4"/>
  <c r="D156" i="4"/>
  <c r="Q168" i="4"/>
  <c r="E175" i="4" s="1"/>
  <c r="K155" i="4"/>
  <c r="J155" i="4"/>
  <c r="D155" i="4"/>
  <c r="K154" i="4"/>
  <c r="J154" i="4"/>
  <c r="M146" i="4"/>
  <c r="M145" i="4"/>
  <c r="R154" i="4"/>
  <c r="E162" i="4" s="1"/>
  <c r="R153" i="4"/>
  <c r="E161" i="4" s="1"/>
  <c r="R152" i="4"/>
  <c r="E160" i="4" s="1"/>
  <c r="R151" i="4"/>
  <c r="E159" i="4" s="1"/>
  <c r="T150" i="4"/>
  <c r="J158" i="4" s="1"/>
  <c r="R150" i="4"/>
  <c r="T149" i="4"/>
  <c r="J157" i="4" s="1"/>
  <c r="R149" i="4"/>
  <c r="E157" i="4" s="1"/>
  <c r="R148" i="4"/>
  <c r="E156" i="4" s="1"/>
  <c r="R147" i="4"/>
  <c r="X127" i="4"/>
  <c r="AD83" i="4" s="1"/>
  <c r="W127" i="4"/>
  <c r="K41" i="4" s="1"/>
  <c r="V127" i="4"/>
  <c r="U127" i="4"/>
  <c r="I41" i="4" s="1"/>
  <c r="T127" i="4"/>
  <c r="AD69" i="4" s="1"/>
  <c r="S127" i="4"/>
  <c r="G41" i="4" s="1"/>
  <c r="R127" i="4"/>
  <c r="F41" i="4" s="1"/>
  <c r="Q127" i="4"/>
  <c r="E41" i="4" s="1"/>
  <c r="P127" i="4"/>
  <c r="D41" i="4" s="1"/>
  <c r="X126" i="4"/>
  <c r="W126" i="4"/>
  <c r="AD79" i="4" s="1"/>
  <c r="V126" i="4"/>
  <c r="J40" i="4" s="1"/>
  <c r="U126" i="4"/>
  <c r="I40" i="4" s="1"/>
  <c r="T126" i="4"/>
  <c r="H40" i="4" s="1"/>
  <c r="S126" i="4"/>
  <c r="AD65" i="4" s="1"/>
  <c r="R126" i="4"/>
  <c r="AD54" i="4" s="1"/>
  <c r="Q126" i="4"/>
  <c r="AD53" i="4" s="1"/>
  <c r="P126" i="4"/>
  <c r="X125" i="4"/>
  <c r="AD77" i="4" s="1"/>
  <c r="W125" i="4"/>
  <c r="AD76" i="4" s="1"/>
  <c r="V125" i="4"/>
  <c r="AD75" i="4" s="1"/>
  <c r="U125" i="4"/>
  <c r="AD64" i="4" s="1"/>
  <c r="T125" i="4"/>
  <c r="AD63" i="4" s="1"/>
  <c r="S125" i="4"/>
  <c r="G39" i="4" s="1"/>
  <c r="R125" i="4"/>
  <c r="AD51" i="4" s="1"/>
  <c r="Q125" i="4"/>
  <c r="AD50" i="4" s="1"/>
  <c r="P125" i="4"/>
  <c r="D39" i="4" s="1"/>
  <c r="M107" i="4"/>
  <c r="L107" i="4"/>
  <c r="AD105" i="4"/>
  <c r="X124" i="4"/>
  <c r="L38" i="4" s="1"/>
  <c r="W124" i="4"/>
  <c r="AD73" i="4" s="1"/>
  <c r="V124" i="4"/>
  <c r="U124" i="4"/>
  <c r="AD61" i="4" s="1"/>
  <c r="T124" i="4"/>
  <c r="H38" i="4" s="1"/>
  <c r="S124" i="4"/>
  <c r="G38" i="4" s="1"/>
  <c r="R124" i="4"/>
  <c r="Q124" i="4"/>
  <c r="AD47" i="4" s="1"/>
  <c r="P124" i="4"/>
  <c r="D38" i="4" s="1"/>
  <c r="M106" i="4"/>
  <c r="L106" i="4"/>
  <c r="AD104" i="4"/>
  <c r="M105" i="4"/>
  <c r="L105" i="4"/>
  <c r="M104" i="4"/>
  <c r="L104" i="4"/>
  <c r="AD101" i="4"/>
  <c r="M103" i="4"/>
  <c r="L103" i="4"/>
  <c r="AD100" i="4"/>
  <c r="M102" i="4"/>
  <c r="L102" i="4"/>
  <c r="AD99" i="4"/>
  <c r="M101" i="4"/>
  <c r="L101" i="4"/>
  <c r="M100" i="4"/>
  <c r="L100" i="4"/>
  <c r="AD97" i="4"/>
  <c r="M99" i="4"/>
  <c r="L99" i="4"/>
  <c r="AD96" i="4"/>
  <c r="M98" i="4"/>
  <c r="L98" i="4"/>
  <c r="AD95" i="4"/>
  <c r="M97" i="4"/>
  <c r="L97" i="4"/>
  <c r="AD94" i="4"/>
  <c r="M96" i="4"/>
  <c r="L96" i="4"/>
  <c r="AD93" i="4"/>
  <c r="M95" i="4"/>
  <c r="L95" i="4"/>
  <c r="M94" i="4"/>
  <c r="L94" i="4"/>
  <c r="M93" i="4"/>
  <c r="L93" i="4"/>
  <c r="M92" i="4"/>
  <c r="L92" i="4"/>
  <c r="M91" i="4"/>
  <c r="L91" i="4"/>
  <c r="M90" i="4"/>
  <c r="L90" i="4"/>
  <c r="M89" i="4"/>
  <c r="L89" i="4"/>
  <c r="M88" i="4"/>
  <c r="L88" i="4"/>
  <c r="M87" i="4"/>
  <c r="L87" i="4"/>
  <c r="M86" i="4"/>
  <c r="L86" i="4"/>
  <c r="M85" i="4"/>
  <c r="L85" i="4"/>
  <c r="M84" i="4"/>
  <c r="L84" i="4"/>
  <c r="M83" i="4"/>
  <c r="L83" i="4"/>
  <c r="M82" i="4"/>
  <c r="L82" i="4"/>
  <c r="M81" i="4"/>
  <c r="L81" i="4"/>
  <c r="M80" i="4"/>
  <c r="L80" i="4"/>
  <c r="M79" i="4"/>
  <c r="L79" i="4"/>
  <c r="M78" i="4"/>
  <c r="L78" i="4"/>
  <c r="M77" i="4"/>
  <c r="L77" i="4"/>
  <c r="M76" i="4"/>
  <c r="L76" i="4"/>
  <c r="M74" i="4"/>
  <c r="AD67" i="4"/>
  <c r="M73" i="4"/>
  <c r="M64" i="4"/>
  <c r="L64" i="4"/>
  <c r="M63" i="4"/>
  <c r="L63" i="4"/>
  <c r="M62" i="4"/>
  <c r="L62" i="4"/>
  <c r="M61" i="4"/>
  <c r="L61" i="4"/>
  <c r="M60" i="4"/>
  <c r="L60" i="4"/>
  <c r="M59" i="4"/>
  <c r="L59" i="4"/>
  <c r="M58" i="4"/>
  <c r="L58" i="4"/>
  <c r="M57" i="4"/>
  <c r="L57" i="4"/>
  <c r="M56" i="4"/>
  <c r="L56" i="4"/>
  <c r="M55" i="4"/>
  <c r="L55" i="4"/>
  <c r="M54" i="4"/>
  <c r="L54" i="4"/>
  <c r="M53" i="4"/>
  <c r="L53" i="4"/>
  <c r="M52" i="4"/>
  <c r="L52" i="4"/>
  <c r="M49" i="4"/>
  <c r="L49" i="4"/>
  <c r="M48" i="4"/>
  <c r="L48" i="4"/>
  <c r="M47" i="4"/>
  <c r="L47" i="4"/>
  <c r="M46" i="4"/>
  <c r="L46" i="4"/>
  <c r="M45" i="4"/>
  <c r="L45" i="4"/>
  <c r="E40" i="4"/>
  <c r="AD43" i="4"/>
  <c r="AC43" i="4" s="1"/>
  <c r="AD42" i="4"/>
  <c r="AC42" i="4" s="1"/>
  <c r="R31" i="4"/>
  <c r="R30" i="4"/>
  <c r="F29" i="4" s="1"/>
  <c r="V29" i="4"/>
  <c r="AD37" i="4" s="1"/>
  <c r="AC37" i="4" s="1"/>
  <c r="R29" i="4"/>
  <c r="AD33" i="4" s="1"/>
  <c r="AC33" i="4" s="1"/>
  <c r="AD36" i="4"/>
  <c r="AC36" i="4" s="1"/>
  <c r="R27" i="4"/>
  <c r="AD32" i="4" s="1"/>
  <c r="AC32" i="4" s="1"/>
  <c r="R26" i="4"/>
  <c r="AD31" i="4" s="1"/>
  <c r="AC31" i="4" s="1"/>
  <c r="R25" i="4"/>
  <c r="AD30" i="4" s="1"/>
  <c r="AC30" i="4" s="1"/>
  <c r="V24" i="4"/>
  <c r="R23" i="4"/>
  <c r="F22" i="4" s="1"/>
  <c r="V22" i="4"/>
  <c r="R22" i="4"/>
  <c r="AD28" i="4" s="1"/>
  <c r="AC28" i="4" s="1"/>
  <c r="AD38" i="4"/>
  <c r="AC38" i="4" s="1"/>
  <c r="V19" i="4"/>
  <c r="AD26" i="4" s="1"/>
  <c r="AC26" i="4" s="1"/>
  <c r="R19" i="4"/>
  <c r="V18" i="4"/>
  <c r="B5" i="3" s="1"/>
  <c r="R18" i="4"/>
  <c r="V17" i="4"/>
  <c r="E5" i="3" s="1"/>
  <c r="R17" i="4"/>
  <c r="B4" i="3" s="1"/>
  <c r="V14" i="4"/>
  <c r="AD19" i="4" s="1"/>
  <c r="AC19" i="4" s="1"/>
  <c r="R14" i="4"/>
  <c r="V13" i="4"/>
  <c r="K13" i="4" s="1"/>
  <c r="R13" i="4"/>
  <c r="V12" i="4"/>
  <c r="R12" i="4"/>
  <c r="F12" i="4" s="1"/>
  <c r="V11" i="4"/>
  <c r="AD16" i="4" s="1"/>
  <c r="AC16" i="4" s="1"/>
  <c r="R11" i="4"/>
  <c r="AD11" i="4" s="1"/>
  <c r="AC11" i="4" s="1"/>
  <c r="V10" i="4"/>
  <c r="AD15" i="4" s="1"/>
  <c r="AC15" i="4" s="1"/>
  <c r="R10" i="4"/>
  <c r="AD8" i="4"/>
  <c r="AC8" i="4" s="1"/>
  <c r="P8" i="4"/>
  <c r="AD7" i="4"/>
  <c r="AC7" i="4" s="1"/>
  <c r="X7" i="4"/>
  <c r="B6" i="3" s="1"/>
  <c r="AA3" i="4"/>
  <c r="U276" i="4" l="1"/>
  <c r="U275" i="4"/>
  <c r="U274" i="4"/>
  <c r="G279" i="4" s="1"/>
  <c r="G281" i="4"/>
  <c r="G280" i="4"/>
  <c r="I39" i="4"/>
  <c r="Q462" i="4"/>
  <c r="E385" i="4" s="1"/>
  <c r="P371" i="4"/>
  <c r="AD68" i="4"/>
  <c r="E4" i="3"/>
  <c r="D88" i="6"/>
  <c r="H237" i="4"/>
  <c r="AD55" i="4"/>
  <c r="E6" i="3"/>
  <c r="L8" i="1"/>
  <c r="F242" i="4"/>
  <c r="E242" i="4"/>
  <c r="I38" i="4"/>
  <c r="AD82" i="4"/>
  <c r="D504" i="4"/>
  <c r="K17" i="4"/>
  <c r="F16" i="4"/>
  <c r="AD24" i="4"/>
  <c r="AC24" i="4" s="1"/>
  <c r="K223" i="4"/>
  <c r="H223" i="4"/>
  <c r="H39" i="4"/>
  <c r="L39" i="4"/>
  <c r="K22" i="4"/>
  <c r="M432" i="4"/>
  <c r="M504" i="4"/>
  <c r="M503" i="4"/>
  <c r="M431" i="4"/>
  <c r="AD41" i="4"/>
  <c r="AC41" i="4" s="1"/>
  <c r="D63" i="6"/>
  <c r="C70" i="6" s="1"/>
  <c r="AD40" i="4"/>
  <c r="AC40" i="4" s="1"/>
  <c r="AD17" i="4"/>
  <c r="AC17" i="4" s="1"/>
  <c r="D432" i="4"/>
  <c r="AD22" i="4"/>
  <c r="AC22" i="4" s="1"/>
  <c r="AD62" i="4"/>
  <c r="AD59" i="4"/>
  <c r="AD60" i="4"/>
  <c r="E296" i="4"/>
  <c r="B64" i="6"/>
  <c r="D297" i="4"/>
  <c r="V382" i="4"/>
  <c r="E307" i="4"/>
  <c r="AD74" i="4"/>
  <c r="V381" i="4"/>
  <c r="E306" i="4"/>
  <c r="S239" i="4"/>
  <c r="G244" i="4" s="1"/>
  <c r="G242" i="4"/>
  <c r="M215" i="4"/>
  <c r="M359" i="4"/>
  <c r="M287" i="4"/>
  <c r="M71" i="4"/>
  <c r="M143" i="4"/>
  <c r="D360" i="4"/>
  <c r="D288" i="4"/>
  <c r="D72" i="4"/>
  <c r="D144" i="4"/>
  <c r="H255" i="4"/>
  <c r="D258" i="4"/>
  <c r="K38" i="4"/>
  <c r="K39" i="4"/>
  <c r="AD78" i="4"/>
  <c r="H205" i="4"/>
  <c r="E258" i="4"/>
  <c r="M360" i="4"/>
  <c r="M72" i="4"/>
  <c r="M144" i="4"/>
  <c r="M288" i="4"/>
  <c r="F258" i="4"/>
  <c r="J39" i="4"/>
  <c r="X371" i="4"/>
  <c r="K296" i="4" s="1"/>
  <c r="B63" i="6"/>
  <c r="X373" i="4"/>
  <c r="K298" i="4" s="1"/>
  <c r="B65" i="6"/>
  <c r="X374" i="4"/>
  <c r="K299" i="4" s="1"/>
  <c r="B66" i="6"/>
  <c r="X378" i="4"/>
  <c r="K303" i="4" s="1"/>
  <c r="L307" i="4" s="1"/>
  <c r="E63" i="6"/>
  <c r="X382" i="4"/>
  <c r="K307" i="4" s="1"/>
  <c r="K312" i="4"/>
  <c r="X381" i="4"/>
  <c r="K306" i="4" s="1"/>
  <c r="E66" i="6"/>
  <c r="K311" i="4"/>
  <c r="H66" i="6"/>
  <c r="X379" i="4"/>
  <c r="K304" i="4" s="1"/>
  <c r="E64" i="6"/>
  <c r="X380" i="4"/>
  <c r="K305" i="4" s="1"/>
  <c r="E65" i="6"/>
  <c r="K310" i="4"/>
  <c r="H65" i="6"/>
  <c r="X375" i="4"/>
  <c r="K300" i="4" s="1"/>
  <c r="B67" i="6"/>
  <c r="X376" i="4"/>
  <c r="K301" i="4" s="1"/>
  <c r="B68" i="6"/>
  <c r="K308" i="4"/>
  <c r="L312" i="4" s="1"/>
  <c r="H63" i="6"/>
  <c r="K309" i="4"/>
  <c r="H64" i="6"/>
  <c r="F24" i="4"/>
  <c r="H253" i="4"/>
  <c r="AD13" i="4"/>
  <c r="AC13" i="4" s="1"/>
  <c r="F13" i="4"/>
  <c r="B2" i="7" s="1"/>
  <c r="K21" i="4"/>
  <c r="K23" i="4"/>
  <c r="K24" i="4"/>
  <c r="H41" i="4"/>
  <c r="F40" i="4"/>
  <c r="K40" i="4"/>
  <c r="AD70" i="4"/>
  <c r="G40" i="4"/>
  <c r="AD66" i="4"/>
  <c r="K28" i="4"/>
  <c r="J254" i="4"/>
  <c r="J255" i="4"/>
  <c r="F25" i="4"/>
  <c r="V372" i="4"/>
  <c r="V373" i="4"/>
  <c r="C367" i="4"/>
  <c r="T409" i="4"/>
  <c r="F367" i="4" s="1"/>
  <c r="V374" i="4"/>
  <c r="V375" i="4"/>
  <c r="V378" i="4"/>
  <c r="V379" i="4"/>
  <c r="I309" i="4"/>
  <c r="F26" i="4"/>
  <c r="V380" i="4"/>
  <c r="C370" i="4"/>
  <c r="T412" i="4"/>
  <c r="F370" i="4" s="1"/>
  <c r="AD9" i="4"/>
  <c r="AC9" i="4" s="1"/>
  <c r="K29" i="4"/>
  <c r="X372" i="4"/>
  <c r="K297" i="4" s="1"/>
  <c r="V376" i="4"/>
  <c r="C369" i="4"/>
  <c r="T411" i="4"/>
  <c r="F369" i="4" s="1"/>
  <c r="AD98" i="4"/>
  <c r="F39" i="4"/>
  <c r="E39" i="4"/>
  <c r="E38" i="4"/>
  <c r="AD49" i="4"/>
  <c r="AD46" i="4"/>
  <c r="K30" i="4"/>
  <c r="G367" i="4"/>
  <c r="D351" i="4"/>
  <c r="K237" i="4"/>
  <c r="X236" i="4"/>
  <c r="K241" i="4" s="1"/>
  <c r="X234" i="4"/>
  <c r="K239" i="4" s="1"/>
  <c r="X235" i="4"/>
  <c r="K240" i="4" s="1"/>
  <c r="X233" i="4"/>
  <c r="K238" i="4" s="1"/>
  <c r="T238" i="4"/>
  <c r="H243" i="4" s="1"/>
  <c r="U238" i="4"/>
  <c r="I243" i="4" s="1"/>
  <c r="T267" i="4"/>
  <c r="T268" i="4" s="1"/>
  <c r="G273" i="4" s="1"/>
  <c r="G268" i="4"/>
  <c r="D272" i="4"/>
  <c r="E158" i="4"/>
  <c r="S156" i="4"/>
  <c r="J156" i="4" s="1"/>
  <c r="J256" i="4"/>
  <c r="J253" i="4"/>
  <c r="I256" i="4"/>
  <c r="I255" i="4"/>
  <c r="I254" i="4"/>
  <c r="I253" i="4"/>
  <c r="H254" i="4"/>
  <c r="K27" i="4"/>
  <c r="AD34" i="4"/>
  <c r="AC34" i="4" s="1"/>
  <c r="F28" i="4"/>
  <c r="AD29" i="4"/>
  <c r="AC29" i="4" s="1"/>
  <c r="F21" i="4"/>
  <c r="AD25" i="4"/>
  <c r="AC25" i="4" s="1"/>
  <c r="K18" i="4"/>
  <c r="K12" i="4"/>
  <c r="E8" i="1" s="1"/>
  <c r="K11" i="4"/>
  <c r="AD14" i="4"/>
  <c r="AC14" i="4" s="1"/>
  <c r="E367" i="4"/>
  <c r="F11" i="4"/>
  <c r="AD12" i="4"/>
  <c r="AC12" i="4" s="1"/>
  <c r="AD21" i="4"/>
  <c r="AC21" i="4" s="1"/>
  <c r="M216" i="4"/>
  <c r="T237" i="4"/>
  <c r="P239" i="4"/>
  <c r="G369" i="4"/>
  <c r="E369" i="4"/>
  <c r="AD39" i="4"/>
  <c r="AC39" i="4" s="1"/>
  <c r="Q239" i="4"/>
  <c r="E244" i="4" s="1"/>
  <c r="D367" i="4"/>
  <c r="K16" i="4"/>
  <c r="D216" i="4"/>
  <c r="S268" i="4"/>
  <c r="F273" i="4" s="1"/>
  <c r="E351" i="4"/>
  <c r="D350" i="4"/>
  <c r="F10" i="4"/>
  <c r="AD10" i="4"/>
  <c r="AC10" i="4" s="1"/>
  <c r="AD18" i="4"/>
  <c r="AC18" i="4" s="1"/>
  <c r="AD48" i="4"/>
  <c r="F38" i="4"/>
  <c r="AD72" i="4"/>
  <c r="J38" i="4"/>
  <c r="D40" i="4"/>
  <c r="AD52" i="4"/>
  <c r="AD80" i="4"/>
  <c r="L40" i="4"/>
  <c r="AD81" i="4"/>
  <c r="J41" i="4"/>
  <c r="F30" i="4"/>
  <c r="AD35" i="4"/>
  <c r="AC35" i="4" s="1"/>
  <c r="K225" i="4"/>
  <c r="V225" i="4"/>
  <c r="H225" i="4"/>
  <c r="H224" i="4"/>
  <c r="U237" i="4"/>
  <c r="I242" i="4" s="1"/>
  <c r="R239" i="4"/>
  <c r="F244" i="4" s="1"/>
  <c r="R268" i="4"/>
  <c r="E273" i="4" s="1"/>
  <c r="E272" i="4"/>
  <c r="G370" i="4"/>
  <c r="AD23" i="4"/>
  <c r="AC23" i="4" s="1"/>
  <c r="F18" i="4"/>
  <c r="E155" i="4"/>
  <c r="E174" i="4"/>
  <c r="E176" i="4"/>
  <c r="K10" i="4"/>
  <c r="F17" i="4"/>
  <c r="L41" i="4"/>
  <c r="F351" i="4"/>
  <c r="Y232" i="4" l="1"/>
  <c r="T463" i="4"/>
  <c r="Q392" i="4"/>
  <c r="Q418" i="4"/>
  <c r="Q407" i="4"/>
  <c r="D364" i="4" s="1"/>
  <c r="D244" i="4"/>
  <c r="P240" i="4"/>
  <c r="L302" i="4"/>
  <c r="X221" i="4"/>
  <c r="J237" i="4"/>
  <c r="C303" i="4"/>
  <c r="D76" i="6"/>
  <c r="C83" i="6" s="1"/>
  <c r="E374" i="4"/>
  <c r="J252" i="4"/>
  <c r="S254" i="4"/>
  <c r="S255" i="4" s="1"/>
  <c r="I252" i="4"/>
  <c r="R254" i="4"/>
  <c r="R255" i="4" s="1"/>
  <c r="H252" i="4"/>
  <c r="Q255" i="4"/>
  <c r="A76" i="6"/>
  <c r="B83" i="6" s="1"/>
  <c r="R410" i="4"/>
  <c r="E350" i="4"/>
  <c r="C68" i="6"/>
  <c r="I301" i="4"/>
  <c r="I65" i="6"/>
  <c r="I310" i="4"/>
  <c r="C67" i="6"/>
  <c r="I300" i="4"/>
  <c r="I63" i="6"/>
  <c r="I308" i="4"/>
  <c r="F67" i="6"/>
  <c r="I307" i="4"/>
  <c r="C63" i="6"/>
  <c r="I296" i="4"/>
  <c r="C66" i="6"/>
  <c r="I299" i="4"/>
  <c r="C65" i="6"/>
  <c r="I298" i="4"/>
  <c r="S410" i="4"/>
  <c r="E368" i="4" s="1"/>
  <c r="F350" i="4"/>
  <c r="F65" i="6"/>
  <c r="I305" i="4"/>
  <c r="I67" i="6"/>
  <c r="I312" i="4"/>
  <c r="F64" i="6"/>
  <c r="I304" i="4"/>
  <c r="I66" i="6"/>
  <c r="I311" i="4"/>
  <c r="F63" i="6"/>
  <c r="I303" i="4"/>
  <c r="C64" i="6"/>
  <c r="I297" i="4"/>
  <c r="F66" i="6"/>
  <c r="I306" i="4"/>
  <c r="Y235" i="4"/>
  <c r="L240" i="4" s="1"/>
  <c r="H242" i="4"/>
  <c r="J239" i="4"/>
  <c r="I64" i="6"/>
  <c r="G272" i="4"/>
  <c r="J240" i="4"/>
  <c r="J238" i="4"/>
  <c r="J241" i="4"/>
  <c r="D368" i="4"/>
  <c r="Y236" i="4"/>
  <c r="L241" i="4" s="1"/>
  <c r="Y234" i="4"/>
  <c r="L239" i="4" s="1"/>
  <c r="Y233" i="4"/>
  <c r="L238" i="4" s="1"/>
  <c r="X237" i="4"/>
  <c r="D352" i="4"/>
  <c r="T239" i="4"/>
  <c r="H244" i="4" s="1"/>
  <c r="L237" i="4"/>
  <c r="D245" i="4"/>
  <c r="U239" i="4"/>
  <c r="I244" i="4" s="1"/>
  <c r="H351" i="4"/>
  <c r="G351" i="4"/>
  <c r="F352" i="4"/>
  <c r="E343" i="4" l="1"/>
  <c r="AA89" i="4"/>
  <c r="AA88" i="4"/>
  <c r="J343" i="4"/>
  <c r="AA91" i="4"/>
  <c r="AA90" i="4"/>
  <c r="C72" i="6"/>
  <c r="C71" i="6"/>
  <c r="C73" i="6"/>
  <c r="B72" i="6"/>
  <c r="B73" i="6"/>
  <c r="B71" i="6"/>
  <c r="D73" i="6"/>
  <c r="D72" i="6"/>
  <c r="D71" i="6"/>
  <c r="H384" i="4"/>
  <c r="I29" i="1"/>
  <c r="V464" i="4"/>
  <c r="AD122" i="4"/>
  <c r="V463" i="4"/>
  <c r="AD121" i="4"/>
  <c r="G29" i="1"/>
  <c r="H383" i="4"/>
  <c r="K226" i="4"/>
  <c r="N35" i="1"/>
  <c r="G76" i="6"/>
  <c r="D83" i="6" s="1"/>
  <c r="X292" i="4" s="1"/>
  <c r="F374" i="4"/>
  <c r="D374" i="4"/>
  <c r="C308" i="4"/>
  <c r="G63" i="6"/>
  <c r="D70" i="6" s="1"/>
  <c r="C296" i="4"/>
  <c r="A63" i="6"/>
  <c r="B70" i="6" s="1"/>
  <c r="U410" i="4"/>
  <c r="G368" i="4" s="1"/>
  <c r="H350" i="4"/>
  <c r="T410" i="4"/>
  <c r="G350" i="4"/>
  <c r="F260" i="4"/>
  <c r="F259" i="4"/>
  <c r="X238" i="4"/>
  <c r="K243" i="4" s="1"/>
  <c r="K242" i="4"/>
  <c r="E260" i="4"/>
  <c r="E259" i="4"/>
  <c r="D260" i="4"/>
  <c r="D259" i="4"/>
  <c r="V238" i="4"/>
  <c r="J243" i="4" s="1"/>
  <c r="V237" i="4"/>
  <c r="J242" i="4" s="1"/>
  <c r="Y237" i="4"/>
  <c r="L242" i="4" s="1"/>
  <c r="G352" i="4"/>
  <c r="AD88" i="4"/>
  <c r="AD89" i="4"/>
  <c r="I60" i="6" l="1"/>
  <c r="H60" i="6"/>
  <c r="U265" i="4"/>
  <c r="H270" i="4" s="1"/>
  <c r="U264" i="4"/>
  <c r="H269" i="4" s="1"/>
  <c r="U266" i="4"/>
  <c r="H271" i="4" s="1"/>
  <c r="U263" i="4"/>
  <c r="H268" i="4" s="1"/>
  <c r="X262" i="4"/>
  <c r="K383" i="4"/>
  <c r="X463" i="4"/>
  <c r="L383" i="4" s="1"/>
  <c r="K384" i="4"/>
  <c r="X464" i="4"/>
  <c r="L384" i="4" s="1"/>
  <c r="X281" i="4"/>
  <c r="V239" i="4"/>
  <c r="Y238" i="4"/>
  <c r="L243" i="4" s="1"/>
  <c r="T413" i="4"/>
  <c r="F371" i="4" s="1"/>
  <c r="I366" i="4" s="1"/>
  <c r="F368" i="4"/>
  <c r="I59" i="6" l="1"/>
  <c r="H59" i="6"/>
  <c r="I58" i="6"/>
  <c r="H58" i="6"/>
  <c r="A89" i="6"/>
  <c r="D89" i="6"/>
  <c r="U297" i="4"/>
  <c r="U286" i="4"/>
  <c r="E89" i="6"/>
  <c r="K267" i="4"/>
  <c r="B87" i="6"/>
  <c r="F89" i="6"/>
  <c r="X264" i="4" s="1"/>
  <c r="C89" i="6"/>
  <c r="B89" i="6"/>
  <c r="U267" i="4"/>
  <c r="V240" i="4"/>
  <c r="J244" i="4"/>
  <c r="J245" i="4" l="1"/>
  <c r="N30" i="1"/>
  <c r="H272" i="4"/>
  <c r="X263" i="4"/>
  <c r="X293" i="4"/>
  <c r="K60" i="6" s="1"/>
  <c r="U298" i="4"/>
  <c r="U287" i="4"/>
  <c r="X282" i="4"/>
  <c r="K59" i="6" s="1"/>
  <c r="K269" i="4"/>
  <c r="X294" i="4"/>
  <c r="X283" i="4"/>
  <c r="U268" i="4"/>
  <c r="H273" i="4" s="1"/>
  <c r="X295" i="4" l="1"/>
  <c r="X284" i="4"/>
  <c r="K58" i="6"/>
  <c r="X265" i="4"/>
  <c r="K268" i="4"/>
  <c r="L33" i="1" l="1"/>
  <c r="X288" i="4" l="1"/>
  <c r="T304" i="4"/>
  <c r="M280" i="4" s="1"/>
  <c r="X299" i="4"/>
  <c r="T305" i="4"/>
  <c r="M281" i="4" s="1"/>
  <c r="K270" i="4"/>
  <c r="X269" i="4"/>
  <c r="K274" i="4" s="1"/>
  <c r="AD86" i="4"/>
  <c r="AD87" i="4"/>
  <c r="X267" i="4"/>
  <c r="K272" i="4" s="1"/>
  <c r="X270" i="4"/>
  <c r="K275" i="4" s="1"/>
  <c r="X297" i="4"/>
  <c r="X300" i="4"/>
  <c r="AD85" i="4"/>
  <c r="X286" i="4"/>
  <c r="X289" i="4"/>
  <c r="T306" i="4" l="1"/>
  <c r="V304" i="4" l="1"/>
  <c r="M283" i="4" s="1"/>
  <c r="M282" i="4"/>
  <c r="M136" i="4" l="1"/>
  <c r="L13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N22" authorId="0" shapeId="0" xr:uid="{00000000-0006-0000-0000-000001000000}">
      <text>
        <r>
          <rPr>
            <b/>
            <sz val="8"/>
            <color indexed="81"/>
            <rFont val="Tahoma"/>
            <family val="2"/>
          </rPr>
          <t>Click in boxes to use drop-down lists</t>
        </r>
      </text>
    </comment>
    <comment ref="H25" authorId="0" shapeId="0" xr:uid="{00000000-0006-0000-0000-000002000000}">
      <text>
        <r>
          <rPr>
            <b/>
            <sz val="8"/>
            <color indexed="81"/>
            <rFont val="Tahoma"/>
            <family val="2"/>
          </rPr>
          <t>Click in boxes to use drop-down lists</t>
        </r>
        <r>
          <rPr>
            <sz val="8"/>
            <color indexed="81"/>
            <rFont val="Tahoma"/>
            <family val="2"/>
          </rPr>
          <t xml:space="preserve">
</t>
        </r>
      </text>
    </comment>
    <comment ref="H48" authorId="0" shapeId="0" xr:uid="{00000000-0006-0000-0000-000003000000}">
      <text>
        <r>
          <rPr>
            <b/>
            <sz val="8"/>
            <color indexed="81"/>
            <rFont val="Tahoma"/>
            <family val="2"/>
          </rPr>
          <t>Click in boxes to use drop-down lists</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J10" authorId="0" shapeId="0" xr:uid="{BDCB767C-CFE3-4BE3-B97A-92822C647818}">
      <text>
        <r>
          <rPr>
            <b/>
            <sz val="8"/>
            <color indexed="81"/>
            <rFont val="Tahoma"/>
            <family val="2"/>
          </rPr>
          <t>Click in boxes to use drop-down lists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Eugene Mah</author>
    <author>EM</author>
  </authors>
  <commentList>
    <comment ref="L56" authorId="0" shapeId="0" xr:uid="{00000000-0006-0000-0500-000001000000}">
      <text>
        <r>
          <rPr>
            <b/>
            <sz val="9"/>
            <color indexed="81"/>
            <rFont val="Tahoma"/>
            <family val="2"/>
          </rPr>
          <t>Eugene Mah:</t>
        </r>
        <r>
          <rPr>
            <sz val="9"/>
            <color indexed="81"/>
            <rFont val="Tahoma"/>
            <family val="2"/>
          </rPr>
          <t xml:space="preserve">
Linear fit for this one is not good</t>
        </r>
      </text>
    </comment>
    <comment ref="A91" authorId="1" shapeId="0" xr:uid="{00000000-0006-0000-0500-00000200000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 ref="A103" authorId="1" shapeId="0" xr:uid="{00000000-0006-0000-0500-00000300000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List>
</comments>
</file>

<file path=xl/sharedStrings.xml><?xml version="1.0" encoding="utf-8"?>
<sst xmlns="http://schemas.openxmlformats.org/spreadsheetml/2006/main" count="1913" uniqueCount="806">
  <si>
    <t>Print Area</t>
  </si>
  <si>
    <t>Medical University of South Carolina</t>
  </si>
  <si>
    <t>Charleston, South Carolina</t>
  </si>
  <si>
    <t>All:</t>
  </si>
  <si>
    <t>Mammography System Compliance Inspection</t>
  </si>
  <si>
    <t>Measurement Parameter</t>
  </si>
  <si>
    <t>Last Year</t>
  </si>
  <si>
    <t>This Year</t>
  </si>
  <si>
    <t>Date:</t>
  </si>
  <si>
    <t>Inspector:</t>
  </si>
  <si>
    <t>Eugene Mah</t>
  </si>
  <si>
    <t>System Information</t>
  </si>
  <si>
    <t>Previous Date:</t>
  </si>
  <si>
    <t>Date</t>
  </si>
  <si>
    <t>Location</t>
  </si>
  <si>
    <t>Input Changes Only</t>
  </si>
  <si>
    <t>Inspector</t>
  </si>
  <si>
    <t>Target</t>
  </si>
  <si>
    <t>Filter</t>
  </si>
  <si>
    <t>kVp</t>
  </si>
  <si>
    <t>ms</t>
  </si>
  <si>
    <t>Dose (mGy)</t>
  </si>
  <si>
    <t>Facility:</t>
  </si>
  <si>
    <t>Site Number:</t>
  </si>
  <si>
    <t>Mo</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</si>
  <si>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</si>
  <si>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</si>
  <si>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</si>
  <si>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</si>
  <si>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</si>
  <si>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</si>
  <si>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</si>
  <si>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</si>
  <si>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</si>
  <si>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</si>
  <si>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</si>
  <si>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</si>
  <si>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</si>
  <si>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</si>
  <si>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</si>
  <si>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Accesssion Number:</t>
  </si>
  <si>
    <t>X-Ray Tube 1</t>
  </si>
  <si>
    <t>Tube Designation/Use:</t>
  </si>
  <si>
    <t>Target:</t>
  </si>
  <si>
    <t>Insert</t>
  </si>
  <si>
    <t>Filter:</t>
  </si>
  <si>
    <t>Rh</t>
  </si>
  <si>
    <t>Focal Spot Sizes (mm)</t>
  </si>
  <si>
    <t>Housing</t>
  </si>
  <si>
    <t>Large:</t>
  </si>
  <si>
    <t>Small:</t>
  </si>
  <si>
    <t>Filtration</t>
  </si>
  <si>
    <t>Inherent:</t>
  </si>
  <si>
    <t>Added:</t>
  </si>
  <si>
    <t>Technique Chart</t>
  </si>
  <si>
    <t>Compressed</t>
  </si>
  <si>
    <t>Fatty Breast</t>
  </si>
  <si>
    <t>50% Fatty -</t>
  </si>
  <si>
    <t>Dense Breast</t>
  </si>
  <si>
    <t>Breast</t>
  </si>
  <si>
    <t>50% Dense Breast</t>
  </si>
  <si>
    <t>Thickness</t>
  </si>
  <si>
    <t>Target/Filter</t>
  </si>
  <si>
    <t>mAs</t>
  </si>
  <si>
    <t>Inspection Results</t>
  </si>
  <si>
    <t>&lt;3 cm</t>
  </si>
  <si>
    <t>Enter 1 for YES, 2 for NO, 3 for NA</t>
  </si>
  <si>
    <t>Target 1:</t>
  </si>
  <si>
    <t>3 to 5 cm</t>
  </si>
  <si>
    <t>DHEC Registration sticker is present, clearly visible and legible</t>
  </si>
  <si>
    <t>Target 2:</t>
  </si>
  <si>
    <t>5 to 7 cm</t>
  </si>
  <si>
    <t>DHEC form SC-RAH-20 “Notice to Employees” posted or referenced</t>
  </si>
  <si>
    <t>Filter 1:</t>
  </si>
  <si>
    <t>&gt;7 cm</t>
  </si>
  <si>
    <t>Radiation warning label posted on the generator control panel</t>
  </si>
  <si>
    <t>Filter 2:</t>
  </si>
  <si>
    <t>Operator manuals are available.</t>
  </si>
  <si>
    <t>Monthly radiation monitoring reports are posted.</t>
  </si>
  <si>
    <t>Added</t>
  </si>
  <si>
    <t>Rule Number</t>
  </si>
  <si>
    <t>Compliance</t>
  </si>
  <si>
    <t>DHEC RHB 2.5.1.1</t>
  </si>
  <si>
    <t>Mammography Unit Assembly Evaluation</t>
  </si>
  <si>
    <t>Free-standing unit is mechanically stable</t>
  </si>
  <si>
    <t>Target/Filter:</t>
  </si>
  <si>
    <t>DHEC RHB 4.3.1</t>
  </si>
  <si>
    <t>All moving parts move smoothly, without obstructions to motion</t>
  </si>
  <si>
    <t>kVp:</t>
  </si>
  <si>
    <t>All locks and detents work properly</t>
  </si>
  <si>
    <t>Density:</t>
  </si>
  <si>
    <t>Image receptor holder assembly is free from vibrations</t>
  </si>
  <si>
    <t>Image receptor slides smoothly into holder assembly</t>
  </si>
  <si>
    <t>Image receptor is held securely by assembly in any orientation</t>
  </si>
  <si>
    <t>Compressed breast thickness scale accurate to +0.5 cm,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</si>
  <si>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</si>
  <si>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</si>
  <si>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</si>
  <si>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</si>
  <si>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Compressed breast thickness scale accurate to 0.5 cm, reproducible to 2 mm</t>
  </si>
  <si>
    <t>Auto decompression can be overridden to maintain compression (and status displayed)</t>
  </si>
  <si>
    <t>Manual emergency compression release can be activated in the event of a power failure</t>
  </si>
  <si>
    <t>50/50 Breast</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</si>
  <si>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</si>
  <si>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</si>
  <si>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</si>
  <si>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</si>
  <si>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</si>
  <si>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</si>
  <si>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</si>
  <si>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</si>
  <si>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Room Number</t>
  </si>
  <si>
    <t>Beam limiting device allows useful beam to extend beyond chest wall edge of receptor</t>
  </si>
  <si>
    <t>Average illumination of the light field is at least 160 lux</t>
  </si>
  <si>
    <t>Magnification mode is available for non-interventional problem solving procedures</t>
  </si>
  <si>
    <t>System provides magnification factor between 1.4 – 2.0</t>
  </si>
  <si>
    <t>900.12(b)(3i)</t>
  </si>
  <si>
    <t>Tube-receptor can be fixed into any operating position and does not move</t>
  </si>
  <si>
    <t>Prior indication of selected focal spot is provided</t>
  </si>
  <si>
    <t>900.12(b)(3ii)</t>
  </si>
  <si>
    <t>Tube-receptor locking mechanism does not fail during power interruption</t>
  </si>
  <si>
    <t>Prior indication of selected target is provided</t>
  </si>
  <si>
    <t>900.12(b)(4i)</t>
  </si>
  <si>
    <t>Post exposure display of target/focal spot is provided</t>
  </si>
  <si>
    <t>900.12(b)(4ii)</t>
  </si>
  <si>
    <t>Moving grids are present for all image receptor sizessizes</t>
  </si>
  <si>
    <t>Initial power driven compression can be activated hands-free from both sides</t>
  </si>
  <si>
    <t>900.12(b)(4iii)</t>
  </si>
  <si>
    <t>Fine adjustment of compression can be activated from both sides</t>
  </si>
  <si>
    <t>900.12(b)(5i)</t>
  </si>
  <si>
    <t>Beam limiting device allows useful beam to extend beyond chest wall edge</t>
  </si>
  <si>
    <t>Compression paddles match the sizes of all image receptors</t>
  </si>
  <si>
    <t>900.12(b)(5ii)</t>
  </si>
  <si>
    <t>Compression paddles do not flex by more than 1 cm</t>
  </si>
  <si>
    <t>900.12(b)(6i)</t>
  </si>
  <si>
    <t>Magnification mode available for non-interventional problem solving</t>
  </si>
  <si>
    <t>Compression paddles are flat and parallel to the breast support table</t>
  </si>
  <si>
    <t>900.12(b)(6ii)</t>
  </si>
  <si>
    <t>Chest wall edge of the compression paddle is straight and parallel to the edge of the receptor</t>
  </si>
  <si>
    <t>900.12(b)(7i)</t>
  </si>
  <si>
    <t>Chest wall edge may be bent upwards for patient comfort and does not appear in the image</t>
  </si>
  <si>
    <t>Manual selection of mAs or mA and/or time is available</t>
  </si>
  <si>
    <t>900.12(b)(7iii)</t>
  </si>
  <si>
    <t>Prior indication of selected technique factors is provided</t>
  </si>
  <si>
    <t>900.12(b)(8)(iB)</t>
  </si>
  <si>
    <t>Post exposure display of technique factors is provided for AEC exposures</t>
  </si>
  <si>
    <t>AEC mode is operable in all combinations of equipment configuration</t>
  </si>
  <si>
    <t>900.12(b)(8)(iiA)</t>
  </si>
  <si>
    <t>AEC sensor positioning is flexible</t>
  </si>
  <si>
    <t>900.12(b)(8)(iiB)</t>
  </si>
  <si>
    <t>AEC sensor position and size is indicated on the compression paddle</t>
  </si>
  <si>
    <t>MGD:</t>
  </si>
  <si>
    <t>900.12(b)(8)(iiC)</t>
  </si>
  <si>
    <t>Selected position of the AEC sensor is clearly indicated</t>
  </si>
  <si>
    <t>900.12(b)(8)(iiD)</t>
  </si>
  <si>
    <t>Chest wall edge of the compression paddle is straight and parallel to receptor</t>
  </si>
  <si>
    <t>AEC density control setting is provided</t>
  </si>
  <si>
    <t>900.12(b)(8)(iiE)</t>
  </si>
  <si>
    <t>Chest wall edge may be bent upwards and does not appear in the image</t>
  </si>
  <si>
    <t>X-ray film used is appropriate for mammography</t>
  </si>
  <si>
    <t>Image Quality (Printer)</t>
  </si>
  <si>
    <t>900.12(b)(9i)</t>
  </si>
  <si>
    <t>Intensifying screens used are appropriate for mammography and matched to the film used</t>
  </si>
  <si>
    <t>kV:</t>
  </si>
  <si>
    <t>900.12(b)(9ii)</t>
  </si>
  <si>
    <t>Film processing chemicals are appropriate for the film being used</t>
  </si>
  <si>
    <t>mA:</t>
  </si>
  <si>
    <t>900.12(b)(9iii)</t>
  </si>
  <si>
    <t>Lights for film illumination i.e. hot lights are available</t>
  </si>
  <si>
    <t>Bkg Density:</t>
  </si>
  <si>
    <t>900.12(b)(10i)</t>
  </si>
  <si>
    <t>Film masking devices are available to all interpreting physicians</t>
  </si>
  <si>
    <t>Inside disk:</t>
  </si>
  <si>
    <t>900.12(b)(10ii)</t>
  </si>
  <si>
    <t>Outside disk:</t>
  </si>
  <si>
    <t>Difference:</t>
  </si>
  <si>
    <t>Mammography Phototimer Technique Chart</t>
  </si>
  <si>
    <t>Fibers:</t>
  </si>
  <si>
    <t>900.12(b)(10iii)</t>
  </si>
  <si>
    <t>Specks:</t>
  </si>
  <si>
    <t>900.12(b)(11)</t>
  </si>
  <si>
    <t>Masses:</t>
  </si>
  <si>
    <t>900.12(b)(12)</t>
  </si>
  <si>
    <t>Intensifying screens used are appropriate for mammography and matched to film</t>
  </si>
  <si>
    <t>Image Quality (Acq Unit)</t>
  </si>
  <si>
    <t>900.12(b)(13)</t>
  </si>
  <si>
    <t>900.12(b)(14)</t>
  </si>
  <si>
    <t>900.12(b)(15)</t>
  </si>
  <si>
    <t>SNR:</t>
  </si>
  <si>
    <t>CNR:</t>
  </si>
  <si>
    <t>Compression Force Indicator</t>
  </si>
  <si>
    <t>Max force (N):</t>
  </si>
  <si>
    <t>Force maintained for 1 minute:</t>
  </si>
  <si>
    <t>Criteria:</t>
  </si>
  <si>
    <t>Maximum force is between 12 - 20 kg (120-200 N)</t>
  </si>
  <si>
    <t>Compression Thickness Indicator</t>
  </si>
  <si>
    <t>BR-12 (cm)</t>
  </si>
  <si>
    <t>Indicated</t>
  </si>
  <si>
    <t>Difference</t>
  </si>
  <si>
    <t>Mean:</t>
  </si>
  <si>
    <t>StDev:</t>
  </si>
  <si>
    <t>Difference between indicated and actual thickness is &lt;= 5 mm</t>
  </si>
  <si>
    <t>Reproducibility is &lt;= 2 mm</t>
  </si>
  <si>
    <t>Paddle flex is less than 1 cm</t>
  </si>
  <si>
    <t>Compression thickness indicator:</t>
  </si>
  <si>
    <t>Overall unit assembly</t>
  </si>
  <si>
    <t>Artifact Evaluation</t>
  </si>
  <si>
    <t>Acceptable:</t>
  </si>
  <si>
    <t>mAs:</t>
  </si>
  <si>
    <t>EI:</t>
  </si>
  <si>
    <t>No clinically relevant artifacts detected</t>
  </si>
  <si>
    <t>Paddle flex is less than 1 cm:</t>
  </si>
  <si>
    <t>Overall unit assembly:</t>
  </si>
  <si>
    <t>Comments:</t>
  </si>
  <si>
    <t>Do not exceed 390 chars</t>
  </si>
  <si>
    <t>New:</t>
  </si>
  <si>
    <t>Light Field Brightness</t>
  </si>
  <si>
    <t>Measurements (lux)</t>
  </si>
  <si>
    <t>Average Illumination</t>
  </si>
  <si>
    <t>1st quad.</t>
  </si>
  <si>
    <t>2nd quad.</t>
  </si>
  <si>
    <t>3rd quad.</t>
  </si>
  <si>
    <t>4th quad.</t>
  </si>
  <si>
    <t>(lux)</t>
  </si>
  <si>
    <t>Average light field illumination &gt;= 160 lux</t>
  </si>
  <si>
    <t>Light Field/X-ray Field Alignment</t>
  </si>
  <si>
    <t>Mo/Mo</t>
  </si>
  <si>
    <t>W/Rh</t>
  </si>
  <si>
    <t>Focal spot:</t>
  </si>
  <si>
    <t>Deviation (mm)</t>
  </si>
  <si>
    <t>24x30</t>
  </si>
  <si>
    <t>18x24 Low</t>
  </si>
  <si>
    <t>18x24 High</t>
  </si>
  <si>
    <t>Left:</t>
  </si>
  <si>
    <t>Right:</t>
  </si>
  <si>
    <t>Anterior:</t>
  </si>
  <si>
    <t>Chest Wall:</t>
  </si>
  <si>
    <t>Left/Right:</t>
  </si>
  <si>
    <t>Ant/Chest:</t>
  </si>
  <si>
    <t>Sum of left and right edge deviation is less than 13 mm</t>
  </si>
  <si>
    <t>Sum of anterior and chest wall edge deviation is less than 13mm</t>
  </si>
  <si>
    <t>X-ray Field/Image Receptor Alignment</t>
  </si>
  <si>
    <t>Average light field illumination &gt;= 160 lux.</t>
  </si>
  <si>
    <t>Left</t>
  </si>
  <si>
    <t>Right</t>
  </si>
  <si>
    <t>Compression Paddle:</t>
  </si>
  <si>
    <t>Paddle:</t>
  </si>
  <si>
    <t>Missed Tissue:</t>
  </si>
  <si>
    <t>Compression paddle deviation is &lt;= 6.5mm</t>
  </si>
  <si>
    <t>Chest wall missed tissue is &lt;= 5 mm</t>
  </si>
  <si>
    <t>System Resolution</t>
  </si>
  <si>
    <t>Mo/Rh</t>
  </si>
  <si>
    <t>lp/mm:</t>
  </si>
  <si>
    <t>Limiting system resolution must be 6 lp/mm or higher</t>
  </si>
  <si>
    <t>AEC Thickness Tracking</t>
  </si>
  <si>
    <t>AEC Mode:</t>
  </si>
  <si>
    <t>AEC Position:</t>
  </si>
  <si>
    <t>(cm)</t>
  </si>
  <si>
    <t>kV</t>
  </si>
  <si>
    <t>Mean Pixel</t>
  </si>
  <si>
    <t>Deviation</t>
  </si>
  <si>
    <t>Average:</t>
  </si>
  <si>
    <t>SD:</t>
  </si>
  <si>
    <t>Coeff of Var:</t>
  </si>
  <si>
    <t>Reported</t>
  </si>
  <si>
    <t>MGD (mGy)</t>
  </si>
  <si>
    <t>Mean pixel value of each image is within 10% of the average pixel value</t>
  </si>
  <si>
    <t>Coefficient of variation &lt;= 5%</t>
  </si>
  <si>
    <t>AEC security cutoff is activated</t>
  </si>
  <si>
    <t>Visible signal indicates AEC security cutoff and subsequent exposures blocked</t>
  </si>
  <si>
    <t>SNR, CNR, AEC Reproducibility</t>
  </si>
  <si>
    <t>Entrance</t>
  </si>
  <si>
    <t>Mass mean</t>
  </si>
  <si>
    <t>Bkg mean</t>
  </si>
  <si>
    <t>Bkg SD</t>
  </si>
  <si>
    <t>SNR</t>
  </si>
  <si>
    <t>CNR</t>
  </si>
  <si>
    <t>Mean Dev</t>
  </si>
  <si>
    <t>SNR Dev</t>
  </si>
  <si>
    <t>Change</t>
  </si>
  <si>
    <t>Acceptable</t>
  </si>
  <si>
    <t>Max:</t>
  </si>
  <si>
    <t>Coefficient of variation in mAs, entrance dose is &lt;= 5%</t>
  </si>
  <si>
    <t>Maximum deviation of Mass mean/SNR is &lt;= 15%</t>
  </si>
  <si>
    <t>Detector Uniformity</t>
  </si>
  <si>
    <t>Deviation from Mean</t>
  </si>
  <si>
    <t>ROI 1</t>
  </si>
  <si>
    <t>Phantom:</t>
  </si>
  <si>
    <t>ROI 2</t>
  </si>
  <si>
    <t>ROI 3</t>
  </si>
  <si>
    <t>Air KERMA</t>
  </si>
  <si>
    <t>ROI 4</t>
  </si>
  <si>
    <t>Time (s)</t>
  </si>
  <si>
    <t>(mGy)</t>
  </si>
  <si>
    <t>HVL:</t>
  </si>
  <si>
    <t>ROI 5</t>
  </si>
  <si>
    <t>ESE (mGy):</t>
  </si>
  <si>
    <t>Average</t>
  </si>
  <si>
    <t>DGN (mrad/R):</t>
  </si>
  <si>
    <t>Max dev</t>
  </si>
  <si>
    <t>MGD (mGy):</t>
  </si>
  <si>
    <t>Prev MGD (mGy):</t>
  </si>
  <si>
    <t>Maximum deviation from average is &lt;= 7%</t>
  </si>
  <si>
    <t>% Change:</t>
  </si>
  <si>
    <t>MGD is less than 3 mGy</t>
  </si>
  <si>
    <t>Deviation from Reported MGD:</t>
  </si>
  <si>
    <t>Deviation from reported MGD is less than15%</t>
  </si>
  <si>
    <t>mAs at 3 mGy:</t>
  </si>
  <si>
    <t>Signal to Noise Ratio</t>
  </si>
  <si>
    <t>Current</t>
  </si>
  <si>
    <t>Previous</t>
  </si>
  <si>
    <t>Image Quality Evaluation</t>
  </si>
  <si>
    <t>Printer</t>
  </si>
  <si>
    <t>Acq Workstation</t>
  </si>
  <si>
    <t>Review Workstation</t>
  </si>
  <si>
    <t>Normal</t>
  </si>
  <si>
    <t>Workstation:</t>
  </si>
  <si>
    <t>kVp Accuracy and Output</t>
  </si>
  <si>
    <t>Background Density:</t>
  </si>
  <si>
    <t>Meter:</t>
  </si>
  <si>
    <t>Calibration Date:</t>
  </si>
  <si>
    <t>Serial #:</t>
  </si>
  <si>
    <t>Calibration Due:</t>
  </si>
  <si>
    <t>Measured Values</t>
  </si>
  <si>
    <t>mGy/mAs</t>
  </si>
  <si>
    <t>mGy/s</t>
  </si>
  <si>
    <t>SN:</t>
  </si>
  <si>
    <t>kV accuracy is &lt;= 5%</t>
  </si>
  <si>
    <t>kV, Exposure, and Output Reproducibility</t>
  </si>
  <si>
    <t>kVp and Output Reproducibility</t>
  </si>
  <si>
    <t>Std Dev:</t>
  </si>
  <si>
    <t>mGy</t>
  </si>
  <si>
    <t>Previous:</t>
  </si>
  <si>
    <t>Coefficient of variation &lt;= 2%</t>
  </si>
  <si>
    <t>Exposure Linearity</t>
  </si>
  <si>
    <t>Coeff of Linearity:</t>
  </si>
  <si>
    <t>Coefficient of linearity is &lt;= 10%</t>
  </si>
  <si>
    <t>Unit Can Maintain Output for 3 sec at 28 kVp</t>
  </si>
  <si>
    <t>Set mAs</t>
  </si>
  <si>
    <t>Half Value Layer</t>
  </si>
  <si>
    <t>Al (mm)</t>
  </si>
  <si>
    <t>Air Kerma (mGy)</t>
  </si>
  <si>
    <t>HVL</t>
  </si>
  <si>
    <t>0 mm</t>
  </si>
  <si>
    <t>QC Manual Version:</t>
  </si>
  <si>
    <t>Must be able to see 5 fibers, 4 speck groups, 4 masses</t>
  </si>
  <si>
    <t>Workstation</t>
  </si>
  <si>
    <t>Acquisition Unit</t>
  </si>
  <si>
    <t>Phantom serial number:</t>
  </si>
  <si>
    <t>Fibers</t>
  </si>
  <si>
    <t>Specks</t>
  </si>
  <si>
    <t>Masses</t>
  </si>
  <si>
    <t>Must see at least 5 fibers, 4 specks, 4 masses</t>
  </si>
  <si>
    <t>Signal to Noise</t>
  </si>
  <si>
    <t>Mean</t>
  </si>
  <si>
    <t>SD</t>
  </si>
  <si>
    <t>Mass:</t>
  </si>
  <si>
    <t>Background:</t>
  </si>
  <si>
    <t>Baseline</t>
  </si>
  <si>
    <t>SNR must be &gt;= 40. CNR must be &gt;= 2.</t>
  </si>
  <si>
    <t>SNR/CNR must not differ from baseline by more than +/- 15%</t>
  </si>
  <si>
    <t>MEDICAL PHYSICIST'S MAMMOGRAPHY QC TEST SUMMARY</t>
  </si>
  <si>
    <t>Full-Field Digital – Siemens</t>
  </si>
  <si>
    <t>Site Name</t>
  </si>
  <si>
    <t>Report Date</t>
  </si>
  <si>
    <t>Address</t>
  </si>
  <si>
    <t>Survey Date</t>
  </si>
  <si>
    <t>Medical Physicist's Name</t>
  </si>
  <si>
    <t>Signature</t>
  </si>
  <si>
    <t>X-Ray Unit Manufacturer</t>
  </si>
  <si>
    <t>Siemens</t>
  </si>
  <si>
    <t>Model</t>
  </si>
  <si>
    <t>Date of Installation</t>
  </si>
  <si>
    <t>Room ID</t>
  </si>
  <si>
    <t>QC Manual Version #</t>
  </si>
  <si>
    <t>Accessory Equipment</t>
  </si>
  <si>
    <t>Manufacturer</t>
  </si>
  <si>
    <t>Review Workstation*</t>
  </si>
  <si>
    <t>Film Printer*</t>
  </si>
  <si>
    <t>Survey Type</t>
  </si>
  <si>
    <t>Annual Survey</t>
  </si>
  <si>
    <t>Medical Physicist's QC Tests</t>
  </si>
  <si>
    <t>PASS/FAIL</t>
  </si>
  <si>
    <t>Measured values:</t>
  </si>
  <si>
    <t>Max deviation of mean pixel values and SNR within ±15% of mean for measurements</t>
  </si>
  <si>
    <t>Phantom image scores:</t>
  </si>
  <si>
    <t>(Siemens, continued)</t>
  </si>
  <si>
    <t>Evaluation of Technologist QC Program</t>
  </si>
  <si>
    <t>FREQUENCY</t>
  </si>
  <si>
    <t>1.</t>
  </si>
  <si>
    <t>Phantom Image Quality</t>
  </si>
  <si>
    <t>2.</t>
  </si>
  <si>
    <t>3.</t>
  </si>
  <si>
    <t>Artifact Detection</t>
  </si>
  <si>
    <t>Weekly</t>
  </si>
  <si>
    <t>4.</t>
  </si>
  <si>
    <t>5.</t>
  </si>
  <si>
    <t>Quarterly</t>
  </si>
  <si>
    <t>6.</t>
  </si>
  <si>
    <t>Compression Force</t>
  </si>
  <si>
    <t>Semi-annually</t>
  </si>
  <si>
    <t>7.</t>
  </si>
  <si>
    <t>Daily, when images printed</t>
  </si>
  <si>
    <t>8.</t>
  </si>
  <si>
    <t>See FDA guidance</t>
  </si>
  <si>
    <t>Medical Physicist's Recommendations for Quality Improvement</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</si>
  <si>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</si>
  <si>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</si>
  <si>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</si>
  <si>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</si>
  <si>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</si>
  <si>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Siemens Inspiration</t>
  </si>
  <si>
    <t>PMMA thickness (mm)</t>
  </si>
  <si>
    <t>Equiv Breast thickness (mm)</t>
  </si>
  <si>
    <t>HVL (mm Al)</t>
  </si>
  <si>
    <t>Slope</t>
  </si>
  <si>
    <t>Intercept</t>
  </si>
  <si>
    <t>g-factor</t>
  </si>
  <si>
    <t>c-factor</t>
  </si>
  <si>
    <t>s-factor</t>
  </si>
  <si>
    <t>kV Accuracy/Output</t>
  </si>
  <si>
    <t>kV^2</t>
  </si>
  <si>
    <t>W/Ag</t>
  </si>
  <si>
    <t>W/Al</t>
  </si>
  <si>
    <t>Slope:</t>
  </si>
  <si>
    <t>Intercept:</t>
  </si>
  <si>
    <t>C</t>
  </si>
  <si>
    <t>Critiera:</t>
  </si>
  <si>
    <t>Min HVL &gt; kV/100 (no paddle)</t>
  </si>
  <si>
    <t>Min HVL &gt; kV/100 + 0.03 (with paddle)</t>
  </si>
  <si>
    <t>Max HVL &lt; kV/100 + C</t>
  </si>
  <si>
    <t>DGN</t>
  </si>
  <si>
    <t>Rh/Rh</t>
  </si>
  <si>
    <t>Radcal kV Correction for Hologic Selenia</t>
  </si>
  <si>
    <t>kV^0</t>
  </si>
  <si>
    <t>kV^1</t>
  </si>
  <si>
    <t>kV^3</t>
  </si>
  <si>
    <t>kV^4</t>
  </si>
  <si>
    <t>kV^5</t>
  </si>
  <si>
    <t>kV^6</t>
  </si>
  <si>
    <t>&lt;</t>
  </si>
  <si>
    <t>&gt;=</t>
  </si>
  <si>
    <t>Minimum true value is 21.8 kV, corresponding to a Radcal value near 25.03 kV.</t>
  </si>
  <si>
    <t>Reduced accuracy between true values of 24 to 27 kV. Max Radcal value is 40.47 kV.</t>
  </si>
  <si>
    <t>Minimum true value is 21.8 kV, corresponding to a Radcal value near 25.04 kV.</t>
  </si>
  <si>
    <t>Poor accuracy between true values of 25.35 to 31.85 kV. Max Radcal value is 37.1 kV.</t>
  </si>
  <si>
    <t>Radcal kV Correction for Hologic Dimension</t>
  </si>
  <si>
    <t>28.7 &lt; kV &lt; 30.1</t>
  </si>
  <si>
    <t>Advanced Settings</t>
  </si>
  <si>
    <t>Grid</t>
  </si>
  <si>
    <t>Auto Decomp</t>
  </si>
  <si>
    <t>OPCOMP</t>
  </si>
  <si>
    <t>AEC Segm</t>
  </si>
  <si>
    <t>Dose Level</t>
  </si>
  <si>
    <t>In</t>
  </si>
  <si>
    <t>Off</t>
  </si>
  <si>
    <t>On</t>
  </si>
  <si>
    <t>SNR/CNR</t>
  </si>
  <si>
    <t>SNR/CNR Repeatability</t>
  </si>
  <si>
    <t>Spatial Resolution</t>
  </si>
  <si>
    <t>AEC</t>
  </si>
  <si>
    <t>Collimation</t>
  </si>
  <si>
    <t>MGD</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</si>
  <si>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</si>
  <si>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</si>
  <si>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</si>
  <si>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</si>
  <si>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</si>
  <si>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</si>
  <si>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</si>
  <si>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Radcal kV</t>
  </si>
  <si>
    <t>True kV</t>
  </si>
  <si>
    <t>Tungsten-Silver (W / Ag)</t>
  </si>
  <si>
    <t>Pass/Fail</t>
  </si>
  <si>
    <t>Pass</t>
  </si>
  <si>
    <t>Fail</t>
  </si>
  <si>
    <t>Pass/Fail/NA</t>
  </si>
  <si>
    <t>NA</t>
  </si>
  <si>
    <t>Phantom Scores</t>
  </si>
  <si>
    <t>AEC Region</t>
  </si>
  <si>
    <t>kV Error</t>
  </si>
  <si>
    <t>Compression paddle in place? (1 for Yes, 2 for No)</t>
  </si>
  <si>
    <t>Deviation from reported MGD is less than 15%</t>
  </si>
  <si>
    <t>Printer passes manufacturer QC tests</t>
  </si>
  <si>
    <t>Repeat analysis performed</t>
  </si>
  <si>
    <t>Control panel lights</t>
  </si>
  <si>
    <t>System stops above floor</t>
  </si>
  <si>
    <t>Motorized movements</t>
  </si>
  <si>
    <t>Lifts from lowest to highest position</t>
  </si>
  <si>
    <t>Foot switches functional</t>
  </si>
  <si>
    <t>Movements blocked on error</t>
  </si>
  <si>
    <t>Emergency stop button functional</t>
  </si>
  <si>
    <t>Grid motion</t>
  </si>
  <si>
    <t>No sharp edges or cracks on table or compression paddles</t>
  </si>
  <si>
    <t>Radiation shield present</t>
  </si>
  <si>
    <t>Manual compression functional</t>
  </si>
  <si>
    <t>Autodecompression functional</t>
  </si>
  <si>
    <t>Decompression button on control box functional</t>
  </si>
  <si>
    <t>Emergency decompression</t>
  </si>
  <si>
    <t>Measured phantom thickness is 39-45 mm</t>
  </si>
  <si>
    <t>50% Fatty - 50% Dense Breast</t>
  </si>
  <si>
    <t>Light field/X-ray field alignment acceptable</t>
  </si>
  <si>
    <t>X-ray field/image receptor alignment acceptable</t>
  </si>
  <si>
    <t>Chest wall missed tissue/Compression paddle acceptable</t>
  </si>
  <si>
    <t>Linearity acceptable</t>
  </si>
  <si>
    <t>Unit can maintain output for 3 sec at 28 kVp</t>
  </si>
  <si>
    <t>0 mm diff</t>
  </si>
  <si>
    <t>Acquisition Monitor</t>
  </si>
  <si>
    <t>Gray scale contrast: 5%/95% squares visible</t>
  </si>
  <si>
    <t>Spatial resolution: All lines in all bar patterns can be resolved</t>
  </si>
  <si>
    <t>Visual inspection: No visible streaking</t>
  </si>
  <si>
    <t>Visual inspection: No fluttering in image</t>
  </si>
  <si>
    <t>Visual inspection: No shadows in image</t>
  </si>
  <si>
    <t>COMMENTS</t>
  </si>
  <si>
    <t>Note:  Type all comments in the shaded cells.</t>
  </si>
  <si>
    <t>Previous Year Comments:</t>
  </si>
  <si>
    <t>Do NOT exceed 390</t>
  </si>
  <si>
    <t>Additional comments:</t>
  </si>
  <si>
    <t>r^2:</t>
  </si>
  <si>
    <r>
      <t xml:space="preserve">*** YOUR MEDICAL PHYSICIST MUST SUMMARIZE HIS/HER RESULTS ON </t>
    </r>
    <r>
      <rPr>
        <b/>
        <i/>
        <u/>
        <sz val="12"/>
        <color indexed="10"/>
        <rFont val="Arial"/>
        <family val="2"/>
      </rPr>
      <t>THIS</t>
    </r>
    <r>
      <rPr>
        <b/>
        <i/>
        <sz val="12"/>
        <color indexed="10"/>
        <rFont val="Arial"/>
        <family val="2"/>
      </rPr>
      <t xml:space="preserve"> FORM ***</t>
    </r>
  </si>
  <si>
    <r>
      <t xml:space="preserve">Average glandular dose for average breast is </t>
    </r>
    <r>
      <rPr>
        <u/>
        <sz val="12"/>
        <rFont val="Arial"/>
        <family val="2"/>
      </rPr>
      <t>&lt;</t>
    </r>
    <r>
      <rPr>
        <sz val="12"/>
        <rFont val="Arial"/>
        <family val="2"/>
      </rPr>
      <t>3 mGy (300 mrad)</t>
    </r>
  </si>
  <si>
    <t xml:space="preserve">(*largest 4 fibers, 3 speck groups and 3 masses acceptable if spatial resolution and CNR pass) </t>
  </si>
  <si>
    <r>
      <t xml:space="preserve">Largest 5 fibers, 4 speck groups and 4 masses visible* </t>
    </r>
    <r>
      <rPr>
        <i/>
        <sz val="10"/>
        <rFont val="Arial"/>
        <family val="2"/>
      </rPr>
      <t/>
    </r>
  </si>
  <si>
    <r>
      <t xml:space="preserve">CV for mAs and entrance air kerma </t>
    </r>
    <r>
      <rPr>
        <u/>
        <sz val="12"/>
        <rFont val="Arial"/>
        <family val="2"/>
      </rPr>
      <t>&lt;</t>
    </r>
    <r>
      <rPr>
        <sz val="12"/>
        <rFont val="Arial"/>
        <family val="2"/>
      </rPr>
      <t>5%</t>
    </r>
  </si>
  <si>
    <t xml:space="preserve">("Pass" means all components of the test passes; indicate "Fail" if any component fails. Tests must be done for both on and off-site equipment.) </t>
  </si>
  <si>
    <r>
      <t>(</t>
    </r>
    <r>
      <rPr>
        <i/>
        <sz val="9"/>
        <rFont val="Arial"/>
        <family val="2"/>
      </rPr>
      <t>use version applicable to unit tested; contact mfr if questions</t>
    </r>
    <r>
      <rPr>
        <sz val="9"/>
        <rFont val="Arial"/>
        <family val="2"/>
      </rPr>
      <t>)</t>
    </r>
  </si>
  <si>
    <r>
      <t>QC Manual Version #</t>
    </r>
    <r>
      <rPr>
        <i/>
        <sz val="10"/>
        <rFont val="Arial"/>
        <family val="2"/>
      </rPr>
      <t/>
    </r>
  </si>
  <si>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xml:space="preserve">." This is required by the FDA.
2. Use the QC manual version provided by the manufacturer </t>
    </r>
    <r>
      <rPr>
        <b/>
        <i/>
        <sz val="12"/>
        <rFont val="Arial"/>
        <family val="2"/>
      </rPr>
      <t>for the digital system surveyed</t>
    </r>
    <r>
      <rPr>
        <sz val="12"/>
        <rFont val="Arial"/>
        <family val="2"/>
      </rPr>
      <t>.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Siemens FFDM regarding corrective action periods when components fail QC. However, if these tests are performed as part of a Mammography Equipment Evaluation (e.g., for a new system), corrective action must be taken before mammographic images are acquired.</t>
    </r>
  </si>
  <si>
    <r>
      <t xml:space="preserve">Review Workstation QC-Overall </t>
    </r>
    <r>
      <rPr>
        <i/>
        <sz val="10"/>
        <rFont val="Arial"/>
        <family val="2"/>
      </rPr>
      <t>(NA if only hardcopy read)</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</si>
  <si>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</si>
  <si>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</si>
  <si>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</si>
  <si>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t/>
  </si>
  <si>
    <t>Mean Glandular Dose - 2D</t>
  </si>
  <si>
    <t>PMMA</t>
  </si>
  <si>
    <t>Max MGD</t>
  </si>
  <si>
    <t>Reported MGD is less than the max MGD</t>
  </si>
  <si>
    <t>Geometric Accuracy - X/Y</t>
  </si>
  <si>
    <t>y (mm)</t>
  </si>
  <si>
    <t>x (mm)</t>
  </si>
  <si>
    <t>x (mm):</t>
  </si>
  <si>
    <t>y (mm):</t>
  </si>
  <si>
    <t>x/y measurements within +/- 2% of actual phantom dimensions</t>
  </si>
  <si>
    <t>Phantom dimensions</t>
  </si>
  <si>
    <t>Geometric Accuracy - Z resolution</t>
  </si>
  <si>
    <t>z=0</t>
  </si>
  <si>
    <t>z=-2</t>
  </si>
  <si>
    <t>z=-1</t>
  </si>
  <si>
    <t>z=+1</t>
  </si>
  <si>
    <t>z=+2</t>
  </si>
  <si>
    <t>ROI max</t>
  </si>
  <si>
    <t>s(zi)</t>
  </si>
  <si>
    <t>s(bgi)</t>
  </si>
  <si>
    <t>ASF(i)</t>
  </si>
  <si>
    <t>Position 1</t>
  </si>
  <si>
    <t>Position 2</t>
  </si>
  <si>
    <t>Position 3</t>
  </si>
  <si>
    <t>z=-1:</t>
  </si>
  <si>
    <t>z=-2:</t>
  </si>
  <si>
    <t>z=0:</t>
  </si>
  <si>
    <t>z=+1:</t>
  </si>
  <si>
    <t>z=+2:</t>
  </si>
  <si>
    <t>Slice height</t>
  </si>
  <si>
    <t>ASF(a)</t>
  </si>
  <si>
    <t>ASF(b)</t>
  </si>
  <si>
    <t>Collimator or compression paddle are not visible in the +/- 25 degree images</t>
  </si>
  <si>
    <t>Phantom Image Quality - 3D</t>
  </si>
  <si>
    <t>0 deg</t>
  </si>
  <si>
    <t>90 deg</t>
  </si>
  <si>
    <t>ASF(a) is &lt; 0.9 for all positions. ASF(b) is &lt; 0.6 for all positions</t>
  </si>
  <si>
    <t>Must be able to see 4 fibers, 3 speck groups, 3 masses</t>
  </si>
  <si>
    <t>Image is free of clinically relevant artifacts (dust, defective pixels, damage)</t>
  </si>
  <si>
    <t>Tomo/3D</t>
  </si>
  <si>
    <t>Prev MGD</t>
  </si>
  <si>
    <t>MGD 20mm:</t>
  </si>
  <si>
    <t>MGD 40mm:</t>
  </si>
  <si>
    <t>MGD 60mm:</t>
  </si>
  <si>
    <t>Geometry x P1:</t>
  </si>
  <si>
    <t>Geometry y P1:</t>
  </si>
  <si>
    <t>Geometry x P2:</t>
  </si>
  <si>
    <t>Geometry y P2:</t>
  </si>
  <si>
    <t>Geometry x P3:</t>
  </si>
  <si>
    <t>Geometry y P3:</t>
  </si>
  <si>
    <t>ASF(a) P1:</t>
  </si>
  <si>
    <t>ASF(b) P1:</t>
  </si>
  <si>
    <t>ASF(a) P2:</t>
  </si>
  <si>
    <t>ASF(b) P2:</t>
  </si>
  <si>
    <t>ASF(a) P3:</t>
  </si>
  <si>
    <t>ASF(b) P3:</t>
  </si>
  <si>
    <t>z=0 (mm)</t>
  </si>
  <si>
    <t>Tomosynthesis</t>
  </si>
  <si>
    <t>X/Y geometric accuracy is within +/- 2% of actual phantom size</t>
  </si>
  <si>
    <t>Z resolution (ASF(a) and ASF(b)) is acceptable</t>
  </si>
  <si>
    <t>Phantom image quality is acceptable</t>
  </si>
  <si>
    <t>HVL at 28 kVp is greater than 0.28 mm Al</t>
  </si>
  <si>
    <t>2D</t>
  </si>
  <si>
    <t>Tomoscan</t>
  </si>
  <si>
    <t>Measured phantom thickness is 35-43 mm</t>
  </si>
  <si>
    <t>AGD (mGy)</t>
  </si>
  <si>
    <t>2D + Tomoscan:</t>
  </si>
  <si>
    <t>Calculate HVL as a function of kV</t>
  </si>
  <si>
    <t>Combo 2D</t>
  </si>
  <si>
    <t>Combo Tomo</t>
  </si>
  <si>
    <t>AGD for 20, 40, 60 mm PMMA thickness is below maximum allowed MGD</t>
  </si>
  <si>
    <t>AGD in 2D + Tomoscan mode is below 3 mGy</t>
  </si>
  <si>
    <t>Sum of left and right edge deviation is less than 2% SID (13 mm)</t>
  </si>
  <si>
    <t>Sum of anterior and chest wall edge deviation is less than 2% SID (13mm)</t>
  </si>
  <si>
    <t>Chest wall edge of the compression paddle does not extend beyond the detector by more than 6.5 mm</t>
  </si>
  <si>
    <t>RSQ</t>
  </si>
  <si>
    <t>X-ray field does not extend beyond the detector by more than 2% SID (13 mm) at any one side</t>
  </si>
  <si>
    <t>Combo 2D MGD:</t>
  </si>
  <si>
    <t>Combo Tomo MGD:</t>
  </si>
  <si>
    <t>Mean Glandular Dose - Tomo</t>
  </si>
  <si>
    <t>Mean Glandular Dose - 2D + Tomo</t>
  </si>
  <si>
    <t>Is this a tomosynthesis unit?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</si>
  <si>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</si>
  <si>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</si>
  <si>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</si>
  <si>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</si>
  <si>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</si>
  <si>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</si>
  <si>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</si>
  <si>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</si>
  <si>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</si>
  <si>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</si>
  <si>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</si>
  <si>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</si>
  <si>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</si>
  <si>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</si>
  <si>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</si>
  <si>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</si>
  <si>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</si>
  <si>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</si>
  <si>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</si>
  <si>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</si>
  <si>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</si>
  <si>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</si>
  <si>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</si>
  <si>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</si>
  <si>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</si>
  <si>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</si>
  <si>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</si>
  <si>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</si>
  <si>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</si>
  <si>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</si>
  <si>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</si>
  <si>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</si>
  <si>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</si>
  <si>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</si>
  <si>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</si>
  <si>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</si>
  <si>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</si>
  <si>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</si>
  <si>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</si>
  <si>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</si>
  <si>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</si>
  <si>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</si>
  <si>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</si>
  <si>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</si>
  <si>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</si>
  <si>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</si>
  <si>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</si>
  <si>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</si>
  <si>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</si>
  <si>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</si>
  <si>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</si>
  <si>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</si>
  <si>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</si>
  <si>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</si>
  <si>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</si>
  <si>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</si>
  <si>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</si>
  <si>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</si>
  <si>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</si>
  <si>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</si>
  <si>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</si>
  <si>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</si>
  <si>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</si>
  <si>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</si>
  <si>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</si>
  <si>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</si>
  <si>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</si>
  <si>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</si>
  <si>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</si>
  <si>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</si>
  <si>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</si>
  <si>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</si>
  <si>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</si>
  <si>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</si>
  <si>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</si>
  <si>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</si>
  <si>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</si>
  <si>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</si>
  <si>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</si>
  <si>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For any mammography system with a light beam that passes through the X-ray beam-limiting device, the light shall provide an average illumination of not less than 160 lux (15 ft-candles) at 100 cm or the maximum source-image receptor distance (SID), whichever is less.</t>
  </si>
  <si>
    <t>Test 5: Artifact Detection - No clinically relevant artifacts found</t>
  </si>
  <si>
    <t>Test 3: Radiation field - Collimator or compression paddle are not visible in the +/- 25 degree images</t>
  </si>
  <si>
    <t>Test 4: Tomo Phantom Image Quality - Minmum number of objects visible</t>
  </si>
  <si>
    <t>Measured</t>
  </si>
  <si>
    <t>Sheet</t>
  </si>
  <si>
    <t>MAMMO_SIE</t>
  </si>
  <si>
    <t>SurveyID</t>
  </si>
  <si>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</si>
  <si>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</si>
  <si>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</si>
  <si>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</si>
  <si>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t>1.    Image Quality</t>
  </si>
  <si>
    <t>2.    Artifact Detection</t>
  </si>
  <si>
    <r>
      <t xml:space="preserve">3.    Printer Check </t>
    </r>
    <r>
      <rPr>
        <i/>
        <sz val="10"/>
        <rFont val="Arial"/>
        <family val="2"/>
      </rPr>
      <t>(if applicable)</t>
    </r>
  </si>
  <si>
    <t>4.    SNR, CNR and AEC Repeatability</t>
  </si>
  <si>
    <t>5.    Radiation Dose</t>
  </si>
  <si>
    <r>
      <t>6.    Spatial Resolution</t>
    </r>
    <r>
      <rPr>
        <i/>
        <sz val="10"/>
        <rFont val="Arial"/>
        <family val="2"/>
      </rPr>
      <t/>
    </r>
  </si>
  <si>
    <t>7.    AEC Test</t>
  </si>
  <si>
    <t>8.    Detector Uniformity</t>
  </si>
  <si>
    <t>9.    Mechanical Tests</t>
  </si>
  <si>
    <t>10.  Acquisition Workstation Monitor Check</t>
  </si>
  <si>
    <t xml:space="preserve">11.  Site Audit/Evaluation of Technologist QC Program </t>
  </si>
  <si>
    <t>12.  Collimation, Dead Space &amp; Compression Paddle Position</t>
  </si>
  <si>
    <r>
      <t xml:space="preserve">13.  HVL and Radiation Output </t>
    </r>
    <r>
      <rPr>
        <i/>
        <sz val="10"/>
        <rFont val="Arial"/>
        <family val="2"/>
      </rPr>
      <t/>
    </r>
  </si>
  <si>
    <t>14.  Tube Voltage Measurement &amp; Repeatability</t>
  </si>
  <si>
    <r>
      <t xml:space="preserve">15.  Average Glandular Dose </t>
    </r>
    <r>
      <rPr>
        <b/>
        <i/>
        <sz val="10"/>
        <color rgb="FF00B050"/>
        <rFont val="Arial"/>
        <family val="2"/>
      </rPr>
      <t>(DBT)</t>
    </r>
  </si>
  <si>
    <r>
      <t xml:space="preserve">17.  Radiation Field </t>
    </r>
    <r>
      <rPr>
        <b/>
        <i/>
        <sz val="10"/>
        <color rgb="FF00B050"/>
        <rFont val="Arial"/>
        <family val="2"/>
      </rPr>
      <t>(DBT)</t>
    </r>
  </si>
  <si>
    <r>
      <t xml:space="preserve">18.  System Imaging Quality </t>
    </r>
    <r>
      <rPr>
        <b/>
        <i/>
        <sz val="10"/>
        <color rgb="FF00B050"/>
        <rFont val="Arial"/>
        <family val="2"/>
      </rPr>
      <t>(DBT)</t>
    </r>
  </si>
  <si>
    <r>
      <rPr>
        <sz val="12"/>
        <rFont val="Calibri"/>
        <family val="2"/>
      </rPr>
      <t>≥</t>
    </r>
    <r>
      <rPr>
        <sz val="12"/>
        <rFont val="Arial"/>
        <family val="2"/>
      </rPr>
      <t xml:space="preserve"> 4 fibers, ≥ 3 speck groups and ≥ 3 masses must be visible</t>
    </r>
  </si>
  <si>
    <r>
      <t xml:space="preserve">19.  Artifact Detection </t>
    </r>
    <r>
      <rPr>
        <b/>
        <i/>
        <sz val="10"/>
        <color rgb="FF00B050"/>
        <rFont val="Arial"/>
        <family val="2"/>
      </rPr>
      <t>(DBT)</t>
    </r>
  </si>
  <si>
    <r>
      <t xml:space="preserve">20.  Review Workstation (RWS) Tests </t>
    </r>
    <r>
      <rPr>
        <i/>
        <sz val="10"/>
        <rFont val="Arial"/>
        <family val="2"/>
      </rPr>
      <t>(for all RWS, even if located offsite; NA if only hardcopy read)</t>
    </r>
  </si>
  <si>
    <t>Repeat/Reject Analysis</t>
  </si>
  <si>
    <r>
      <t xml:space="preserve">System Imaging Quality </t>
    </r>
    <r>
      <rPr>
        <b/>
        <i/>
        <sz val="10"/>
        <color rgb="FF00B050"/>
        <rFont val="Arial"/>
        <family val="2"/>
      </rPr>
      <t>(DBT)</t>
    </r>
  </si>
  <si>
    <r>
      <t xml:space="preserve">Printer Check </t>
    </r>
    <r>
      <rPr>
        <i/>
        <sz val="10"/>
        <rFont val="Arial"/>
        <family val="2"/>
      </rPr>
      <t>(if applicable)</t>
    </r>
  </si>
  <si>
    <t>9.</t>
  </si>
  <si>
    <t>10.</t>
  </si>
  <si>
    <r>
      <t xml:space="preserve">Mobile Unit Quality Control </t>
    </r>
    <r>
      <rPr>
        <i/>
        <sz val="10"/>
        <rFont val="Arial"/>
        <family val="2"/>
      </rPr>
      <t>(if applicable)</t>
    </r>
  </si>
  <si>
    <t>After every move</t>
  </si>
  <si>
    <t>Mammomat Fusion</t>
  </si>
  <si>
    <t>Mammomat Inspiration</t>
  </si>
  <si>
    <t>Mammomat Inspiration Tomosynthesis</t>
  </si>
  <si>
    <t>Mammomat Novation</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</si>
  <si>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</si>
  <si>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</si>
  <si>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</si>
  <si>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</si>
  <si>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</si>
  <si>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</si>
  <si>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</si>
  <si>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</si>
  <si>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Piranha</t>
  </si>
  <si>
    <t>Mammomat Revelation</t>
  </si>
  <si>
    <t>Stereotactic breast biopsy unit or add-on present?</t>
  </si>
  <si>
    <t>Change in compression force after 1 min is within +/- 20 N</t>
  </si>
  <si>
    <t>MGD must be less than 3 mGy and should be less than 2 mGy</t>
  </si>
  <si>
    <t>Mechanical Tests</t>
  </si>
  <si>
    <t>Minimum acceptable output is 2.7 mGy/s at 28 kVp for W/Rh</t>
  </si>
  <si>
    <t>Output &gt; 2.7 mGy/s:</t>
  </si>
  <si>
    <t>Exposure deviation for 0 mm Al measurements is less than 2%</t>
  </si>
  <si>
    <t xml:space="preserve">   </t>
  </si>
  <si>
    <t>2D/3D:</t>
  </si>
  <si>
    <t>Radiation output is &gt; 2.7 mGy/s averaged over 3 s</t>
  </si>
  <si>
    <t>Output &gt; 2.7 mGy/s averaged over 3 sec</t>
  </si>
  <si>
    <t>2D - Must see at least 5 fibers, 4 specks, 4 masses</t>
  </si>
  <si>
    <t>3D - Must see at least 4 fibers, 3 specks, 3 masses</t>
  </si>
  <si>
    <t>Mode:</t>
  </si>
  <si>
    <t>3D</t>
  </si>
  <si>
    <t>Calculate Radiation output (mGy/mAs and mGy/s) as a function of kV</t>
  </si>
  <si>
    <t>Is this a new installation?</t>
  </si>
  <si>
    <t>DHEC form SC-RHA-20 “Notice to Employees” posted or referenced</t>
  </si>
  <si>
    <t>Page1,Page2,CollimArtifact,AECSNR,kVRepro,ExpLinHVL,Compg1</t>
  </si>
  <si>
    <t>Measurements</t>
  </si>
  <si>
    <t>Set kV_x000D_(kV)</t>
  </si>
  <si>
    <t>Set mAs_x000D_(mAs)</t>
  </si>
  <si>
    <t>Calibration</t>
  </si>
  <si>
    <t>Tube voltage_x000D_(kV)</t>
  </si>
  <si>
    <t>Exposure time_x000D_(ms)</t>
  </si>
  <si>
    <t>Exposure_x000D_(mGy)</t>
  </si>
  <si>
    <t>Exposure rate_x000D_(mGy/s)</t>
  </si>
  <si>
    <t>HVL_x000D_(mm Al)</t>
  </si>
  <si>
    <t>Calc mA</t>
  </si>
  <si>
    <t>Light_x000D_(lx)</t>
  </si>
  <si>
    <t>W</t>
  </si>
  <si>
    <t>W/50 µm Rh</t>
  </si>
  <si>
    <t>g</t>
  </si>
  <si>
    <t>c</t>
  </si>
  <si>
    <t>s</t>
  </si>
  <si>
    <r>
      <t xml:space="preserve">16.  Geometric Accuracy in X and Y Direction and Z-Resolution </t>
    </r>
    <r>
      <rPr>
        <b/>
        <i/>
        <sz val="10"/>
        <color rgb="FF00B050"/>
        <rFont val="Arial"/>
        <family val="2"/>
      </rPr>
      <t>(DBT)</t>
    </r>
    <r>
      <rPr>
        <i/>
        <sz val="12"/>
        <rFont val="Arial"/>
        <family val="2"/>
      </rPr>
      <t xml:space="preserve"> (</t>
    </r>
    <r>
      <rPr>
        <i/>
        <sz val="10"/>
        <rFont val="Arial"/>
        <family val="2"/>
      </rPr>
      <t>Optional Revelation)</t>
    </r>
  </si>
  <si>
    <t>Novation-Weekly; Fusion-Quarterly</t>
  </si>
  <si>
    <t>DHEC RHB 11.2.3</t>
  </si>
  <si>
    <t>Geometric Accuracy - X/Y/Z</t>
  </si>
  <si>
    <t>z (mm)</t>
  </si>
  <si>
    <t>z (mm):</t>
  </si>
  <si>
    <t>Tomo AGD limits</t>
  </si>
  <si>
    <t>PMMA (mm)</t>
  </si>
  <si>
    <t>Revelation</t>
  </si>
  <si>
    <t>B.brilliant</t>
  </si>
  <si>
    <t>Inspiration</t>
  </si>
  <si>
    <t>Mammomat B.brilliant</t>
  </si>
  <si>
    <t>DCoffset:</t>
  </si>
  <si>
    <t>DC Offset</t>
  </si>
  <si>
    <t>B.brilliant: CNR value must be at least 85% of the CNR value from the last MEE baseline</t>
  </si>
  <si>
    <t>Revision 1.6-20251017</t>
  </si>
  <si>
    <t>Barco</t>
  </si>
  <si>
    <t>MDMC-12133</t>
  </si>
  <si>
    <t>Barco K5905277 v16</t>
  </si>
  <si>
    <t>Novation &amp; Fusion-Daily; Others-Weekly</t>
  </si>
  <si>
    <r>
      <t>SNR and CNR Measurements</t>
    </r>
    <r>
      <rPr>
        <sz val="12"/>
        <color rgb="FFFF0000"/>
        <rFont val="Arial"/>
        <family val="2"/>
      </rPr>
      <t>*</t>
    </r>
  </si>
  <si>
    <t>Detector Calibration**</t>
  </si>
  <si>
    <t>** For Mammomat Revelation and Inspriation, indicate NA-calibration required before QC but does not need to be documented</t>
  </si>
  <si>
    <t>*For Mammomat B.brilliant, indicate NA-required before QC but does not need to be documented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</si>
</sst>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0.0"/>
    <numFmt numFmtId="165" formatCode="0.0%"/>
    <numFmt numFmtId="166" formatCode="mmm\-yyyy"/>
    <numFmt numFmtId="167" formatCode="0.000"/>
    <numFmt numFmtId="168" formatCode="dd\-mmm\-yyyy"/>
    <numFmt numFmtId="169" formatCode="dd\-mmm\-yy"/>
    <numFmt numFmtId="170" formatCode="0.00E+000"/>
    <numFmt numFmtId="171" formatCode="0.0000"/>
    <numFmt numFmtId="172" formatCode="[$$-409]#,##0.00;[Red]&quot;-&quot;[$$-409]#,##0.00"/>
    <numFmt numFmtId="173" formatCode="mmm/yyyy"/>
    <numFmt numFmtId="174" formatCode="#"/>
    <numFmt numFmtId="175" formatCode="[$-409]d/mmm/yyyy;@"/>
  </numFmts>
  <fonts count="78">
    <font>
      <sz val="11"/>
      <color theme="1"/>
      <name val="Arial1"/>
    </font>
    <font>
      <sz val="11"/>
      <color theme="1"/>
      <name val="Arial1"/>
    </font>
    <font>
      <sz val="10"/>
      <color theme="1"/>
      <name val="Arial"/>
      <family val="2"/>
    </font>
    <font>
      <b/>
      <i/>
      <sz val="16"/>
      <color theme="1"/>
      <name val="Arial1"/>
    </font>
    <font>
      <b/>
      <i/>
      <u/>
      <sz val="11"/>
      <color theme="1"/>
      <name val="Arial1"/>
    </font>
    <font>
      <sz val="10"/>
      <color theme="1"/>
      <name val="Arial1"/>
    </font>
    <font>
      <vertAlign val="superscript"/>
      <sz val="10"/>
      <color theme="1"/>
      <name val="Arial1"/>
    </font>
    <font>
      <b/>
      <sz val="10"/>
      <color theme="1"/>
      <name val="Arial2"/>
    </font>
    <font>
      <sz val="10"/>
      <name val="Times New Roman"/>
      <family val="1"/>
    </font>
    <font>
      <sz val="10"/>
      <name val="Arial"/>
      <family val="2"/>
    </font>
    <font>
      <b/>
      <i/>
      <sz val="12"/>
      <color indexed="10"/>
      <name val="Arial"/>
      <family val="2"/>
    </font>
    <font>
      <b/>
      <i/>
      <u/>
      <sz val="12"/>
      <color indexed="10"/>
      <name val="Arial"/>
      <family val="2"/>
    </font>
    <font>
      <b/>
      <sz val="12"/>
      <name val="Arial"/>
      <family val="2"/>
    </font>
    <font>
      <i/>
      <sz val="10"/>
      <name val="Arial"/>
      <family val="2"/>
    </font>
    <font>
      <sz val="12"/>
      <name val="Arial"/>
      <family val="2"/>
    </font>
    <font>
      <u/>
      <sz val="12"/>
      <name val="Arial"/>
      <family val="2"/>
    </font>
    <font>
      <b/>
      <sz val="11"/>
      <name val="Arial"/>
      <family val="2"/>
    </font>
    <font>
      <b/>
      <sz val="18"/>
      <name val="Arial"/>
      <family val="2"/>
    </font>
    <font>
      <b/>
      <sz val="11"/>
      <color indexed="8"/>
      <name val="Arial"/>
      <family val="2"/>
    </font>
    <font>
      <sz val="11"/>
      <name val="Arial"/>
      <family val="2"/>
    </font>
    <font>
      <b/>
      <sz val="10"/>
      <name val="Arial"/>
      <family val="2"/>
    </font>
    <font>
      <b/>
      <sz val="10"/>
      <color indexed="8"/>
      <name val="Arial"/>
      <family val="2"/>
    </font>
    <font>
      <sz val="9"/>
      <name val="Arial"/>
      <family val="2"/>
    </font>
    <font>
      <i/>
      <sz val="9"/>
      <name val="Arial"/>
      <family val="2"/>
    </font>
    <font>
      <b/>
      <sz val="20"/>
      <name val="Arial"/>
      <family val="2"/>
    </font>
    <font>
      <b/>
      <sz val="8"/>
      <color indexed="81"/>
      <name val="Tahoma"/>
      <family val="2"/>
    </font>
    <font>
      <sz val="8"/>
      <color indexed="81"/>
      <name val="Tahoma"/>
      <family val="2"/>
    </font>
    <font>
      <b/>
      <i/>
      <sz val="12"/>
      <name val="Arial"/>
      <family val="2"/>
    </font>
    <font>
      <b/>
      <sz val="12"/>
      <name val="Arial Narrow"/>
      <family val="2"/>
    </font>
    <font>
      <b/>
      <i/>
      <sz val="10"/>
      <color indexed="8"/>
      <name val="Arial"/>
      <family val="2"/>
    </font>
    <font>
      <i/>
      <sz val="10"/>
      <color indexed="8"/>
      <name val="Arial"/>
      <family val="2"/>
    </font>
    <font>
      <sz val="10"/>
      <color indexed="8"/>
      <name val="Arial"/>
      <family val="2"/>
    </font>
    <font>
      <i/>
      <sz val="14"/>
      <name val="Arial"/>
      <family val="2"/>
    </font>
    <font>
      <b/>
      <i/>
      <sz val="14"/>
      <name val="Arial"/>
      <family val="2"/>
    </font>
    <font>
      <sz val="8"/>
      <color rgb="FF000000"/>
      <name val="Tahoma"/>
      <family val="2"/>
    </font>
    <font>
      <sz val="9"/>
      <color indexed="81"/>
      <name val="Tahoma"/>
      <family val="2"/>
    </font>
    <font>
      <b/>
      <sz val="9"/>
      <color indexed="81"/>
      <name val="Tahoma"/>
      <family val="2"/>
    </font>
    <font>
      <b/>
      <i/>
      <sz val="10"/>
      <color rgb="FF00B050"/>
      <name val="Arial"/>
      <family val="2"/>
    </font>
    <font>
      <sz val="12"/>
      <name val="Calibri"/>
      <family val="2"/>
    </font>
    <font>
      <b/>
      <sz val="14"/>
      <name val="Arial"/>
      <family val="2"/>
    </font>
    <font>
      <i/>
      <sz val="8"/>
      <name val="Arial"/>
      <family val="2"/>
    </font>
    <font>
      <b/>
      <sz val="9"/>
      <name val="Arial"/>
      <family val="2"/>
    </font>
    <font>
      <b/>
      <sz val="8"/>
      <name val="Arial"/>
      <family val="2"/>
    </font>
    <font>
      <b/>
      <i/>
      <sz val="8"/>
      <name val="Arial"/>
      <family val="2"/>
    </font>
    <font>
      <sz val="8"/>
      <name val="Arial"/>
      <family val="2"/>
    </font>
    <font>
      <sz val="12"/>
      <color theme="1"/>
      <name val="Arial"/>
      <family val="2"/>
    </font>
    <font>
      <sz val="12"/>
      <color rgb="FF000000"/>
      <name val="Times New Roman"/>
      <family val="1"/>
    </font>
    <font>
      <sz val="12"/>
      <name val="Times New Roman"/>
      <family val="1"/>
    </font>
    <font>
      <i/>
      <sz val="12"/>
      <name val="Arial"/>
      <family val="2"/>
    </font>
    <font>
      <b/>
      <sz val="11"/>
      <color theme="1"/>
      <name val="Arial"/>
      <family val="2"/>
    </font>
    <font>
      <sz val="11"/>
      <color theme="1"/>
      <name val="Arial"/>
      <family val="2"/>
    </font>
    <font>
      <b/>
      <sz val="11"/>
      <color rgb="FFFFFFFF"/>
      <name val="Arial"/>
      <family val="2"/>
    </font>
    <font>
      <b/>
      <sz val="12"/>
      <color theme="1"/>
      <name val="Times New Roman"/>
      <family val="1"/>
    </font>
    <font>
      <sz val="12"/>
      <color theme="1"/>
      <name val="Times New Roman"/>
      <family val="1"/>
    </font>
    <font>
      <sz val="11"/>
      <color theme="1"/>
      <name val="Times New Roman"/>
      <family val="1"/>
    </font>
    <font>
      <sz val="8"/>
      <color theme="1"/>
      <name val="Times New Roman"/>
      <family val="1"/>
    </font>
    <font>
      <sz val="10"/>
      <color theme="1"/>
      <name val="Times New Roman"/>
      <family val="1"/>
    </font>
    <font>
      <b/>
      <u/>
      <sz val="12"/>
      <color theme="1"/>
      <name val="Times New Roman"/>
      <family val="1"/>
    </font>
    <font>
      <b/>
      <i/>
      <sz val="16"/>
      <color theme="1"/>
      <name val="Times New Roman"/>
      <family val="1"/>
    </font>
    <font>
      <b/>
      <i/>
      <sz val="12"/>
      <color theme="1"/>
      <name val="Times New Roman"/>
      <family val="1"/>
    </font>
    <font>
      <sz val="12"/>
      <color rgb="FFFF0000"/>
      <name val="Times New Roman"/>
      <family val="1"/>
    </font>
    <font>
      <b/>
      <sz val="14"/>
      <color theme="1"/>
      <name val="Times New Roman"/>
      <family val="1"/>
    </font>
    <font>
      <b/>
      <sz val="10"/>
      <color theme="1"/>
      <name val="Times New Roman"/>
      <family val="1"/>
    </font>
    <font>
      <u/>
      <sz val="12"/>
      <color theme="1"/>
      <name val="Times New Roman"/>
      <family val="1"/>
    </font>
    <font>
      <sz val="10"/>
      <color rgb="FFFF6633"/>
      <name val="Times New Roman"/>
      <family val="1"/>
    </font>
    <font>
      <sz val="8"/>
      <name val="Times New Roman"/>
      <family val="1"/>
    </font>
    <font>
      <b/>
      <sz val="10"/>
      <name val="Times New Roman"/>
      <family val="1"/>
    </font>
    <font>
      <b/>
      <sz val="12"/>
      <name val="Times New Roman"/>
      <family val="1"/>
    </font>
    <font>
      <b/>
      <sz val="10"/>
      <color indexed="12"/>
      <name val="Times New Roman"/>
      <family val="1"/>
    </font>
    <font>
      <sz val="10"/>
      <color indexed="12"/>
      <name val="Times New Roman"/>
      <family val="1"/>
    </font>
    <font>
      <sz val="10"/>
      <color indexed="53"/>
      <name val="Times New Roman"/>
      <family val="1"/>
    </font>
    <font>
      <b/>
      <sz val="10"/>
      <color indexed="53"/>
      <name val="Times New Roman"/>
      <family val="1"/>
    </font>
    <font>
      <b/>
      <sz val="8"/>
      <color indexed="53"/>
      <name val="Times New Roman"/>
      <family val="1"/>
    </font>
    <font>
      <sz val="8"/>
      <color indexed="61"/>
      <name val="Times New Roman"/>
      <family val="1"/>
    </font>
    <font>
      <sz val="9"/>
      <name val="Times New Roman"/>
      <family val="1"/>
    </font>
    <font>
      <sz val="10"/>
      <color indexed="61"/>
      <name val="Times New Roman"/>
      <family val="1"/>
    </font>
    <font>
      <b/>
      <sz val="8"/>
      <name val="Times New Roman"/>
      <family val="1"/>
    </font>
    <font>
      <sz val="12"/>
      <color rgb="FFFF0000"/>
      <name val="Arial"/>
      <family val="2"/>
    </font>
  </fonts>
  <fills count="27">
    <fill>
      <patternFill patternType="none"/>
    </fill>
    <fill>
      <patternFill patternType="gray125"/>
    </fill>
    <fill>
      <patternFill patternType="solid">
        <fgColor rgb="FF66FF66"/>
        <bgColor rgb="FF66FF66"/>
      </patternFill>
    </fill>
    <fill>
      <patternFill patternType="solid">
        <fgColor rgb="FFFF0000"/>
        <bgColor rgb="FFFF0000"/>
      </patternFill>
    </fill>
    <fill>
      <patternFill patternType="solid">
        <fgColor rgb="FF3DEB3D"/>
        <bgColor rgb="FF3DEB3D"/>
      </patternFill>
    </fill>
    <fill>
      <patternFill patternType="solid">
        <fgColor rgb="FF23B8DC"/>
        <bgColor rgb="FF23B8DC"/>
      </patternFill>
    </fill>
    <fill>
      <patternFill patternType="solid">
        <fgColor rgb="FFE6E6E6"/>
        <bgColor rgb="FFE6E6E6"/>
      </patternFill>
    </fill>
    <fill>
      <patternFill patternType="solid">
        <fgColor rgb="FFFFFFFF"/>
        <bgColor rgb="FFFFFFFF"/>
      </patternFill>
    </fill>
    <fill>
      <patternFill patternType="solid">
        <fgColor rgb="FFFFFF99"/>
        <bgColor rgb="FFFFFF99"/>
      </patternFill>
    </fill>
    <fill>
      <patternFill patternType="solid">
        <fgColor rgb="FF00FFFF"/>
        <bgColor rgb="FF00FFFF"/>
      </patternFill>
    </fill>
    <fill>
      <patternFill patternType="solid">
        <fgColor rgb="FFB4FFFF"/>
        <bgColor rgb="FFB4FFFF"/>
      </patternFill>
    </fill>
    <fill>
      <patternFill patternType="solid">
        <fgColor rgb="FFEEEEEE"/>
        <bgColor rgb="FFEEEEEE"/>
      </patternFill>
    </fill>
    <fill>
      <patternFill patternType="solid">
        <fgColor rgb="FF99CCFF"/>
        <bgColor rgb="FF99CCFF"/>
      </patternFill>
    </fill>
    <fill>
      <patternFill patternType="solid">
        <fgColor rgb="FFCCFFCC"/>
        <bgColor rgb="FFCCFFCC"/>
      </patternFill>
    </fill>
    <fill>
      <patternFill patternType="solid">
        <fgColor theme="0" tint="-0.249977111117893"/>
        <bgColor indexed="64"/>
      </patternFill>
    </fill>
    <fill>
      <patternFill patternType="mediumGray">
        <fgColor indexed="9"/>
        <bgColor indexed="13"/>
      </patternFill>
    </fill>
    <fill>
      <patternFill patternType="mediumGray">
        <fgColor indexed="26"/>
        <bgColor indexed="26"/>
      </patternFill>
    </fill>
    <fill>
      <patternFill patternType="solid">
        <fgColor indexed="9"/>
        <bgColor indexed="64"/>
      </patternFill>
    </fill>
    <fill>
      <patternFill patternType="solid">
        <fgColor indexed="9"/>
        <bgColor indexed="8"/>
      </patternFill>
    </fill>
    <fill>
      <patternFill patternType="solid">
        <fgColor theme="0" tint="-0.14999847407452621"/>
        <bgColor indexed="64"/>
      </patternFill>
    </fill>
    <fill>
      <patternFill patternType="solid">
        <fgColor rgb="FFFFFF99"/>
        <bgColor indexed="64"/>
      </patternFill>
    </fill>
    <fill>
      <patternFill patternType="solid">
        <fgColor theme="1"/>
        <bgColor indexed="64"/>
      </patternFill>
    </fill>
    <fill>
      <patternFill patternType="solid">
        <fgColor rgb="FFFFFF99"/>
        <bgColor rgb="FFFFFFC0"/>
      </patternFill>
    </fill>
    <fill>
      <patternFill patternType="solid">
        <fgColor rgb="FFFFFF00"/>
        <bgColor indexed="64"/>
      </patternFill>
    </fill>
    <fill>
      <patternFill patternType="solid">
        <fgColor rgb="FFFFFF99"/>
        <bgColor rgb="FFCCFFCC"/>
      </patternFill>
    </fill>
    <fill>
      <patternFill patternType="solid">
        <fgColor rgb="FF000000"/>
        <bgColor indexed="64"/>
      </patternFill>
    </fill>
    <fill>
      <patternFill patternType="solid">
        <fgColor theme="0"/>
        <bgColor indexed="64"/>
      </patternFill>
    </fill>
  </fills>
  <borders count="189">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auto="1"/>
      </left>
      <right/>
      <top/>
      <bottom/>
      <diagonal/>
    </border>
    <border>
      <left/>
      <right style="double">
        <color auto="1"/>
      </right>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diagonal/>
    </border>
    <border>
      <left/>
      <right/>
      <top/>
      <bottom style="thin">
        <color rgb="FF000000"/>
      </bottom>
      <diagonal/>
    </border>
    <border>
      <left/>
      <right/>
      <top style="thin">
        <color rgb="FF000000"/>
      </top>
      <bottom style="medium">
        <color rgb="FF000000"/>
      </bottom>
      <diagonal/>
    </border>
    <border>
      <left/>
      <right/>
      <top style="thin">
        <color rgb="FF000000"/>
      </top>
      <bottom style="thin">
        <color rgb="FF000000"/>
      </bottom>
      <diagonal/>
    </border>
    <border>
      <left style="medium">
        <color rgb="FF000000"/>
      </left>
      <right style="double">
        <color auto="1"/>
      </right>
      <top style="medium">
        <color rgb="FF000000"/>
      </top>
      <bottom/>
      <diagonal/>
    </border>
    <border>
      <left style="double">
        <color auto="1"/>
      </left>
      <right style="medium">
        <color rgb="FF000000"/>
      </right>
      <top style="medium">
        <color rgb="FF000000"/>
      </top>
      <bottom/>
      <diagonal/>
    </border>
    <border>
      <left style="medium">
        <color rgb="FF000000"/>
      </left>
      <right style="double">
        <color auto="1"/>
      </right>
      <top/>
      <bottom/>
      <diagonal/>
    </border>
    <border>
      <left style="double">
        <color auto="1"/>
      </left>
      <right/>
      <top/>
      <bottom style="thin">
        <color rgb="FF000000"/>
      </bottom>
      <diagonal/>
    </border>
    <border>
      <left/>
      <right style="medium">
        <color rgb="FF000000"/>
      </right>
      <top/>
      <bottom style="thin">
        <color rgb="FF000000"/>
      </bottom>
      <diagonal/>
    </border>
    <border>
      <left style="double">
        <color auto="1"/>
      </left>
      <right style="medium">
        <color rgb="FF000000"/>
      </right>
      <top/>
      <bottom style="thin">
        <color rgb="FF000000"/>
      </bottom>
      <diagonal/>
    </border>
    <border>
      <left style="double">
        <color auto="1"/>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double">
        <color auto="1"/>
      </right>
      <top style="double">
        <color auto="1"/>
      </top>
      <bottom style="thin">
        <color rgb="FF000000"/>
      </bottom>
      <diagonal/>
    </border>
    <border>
      <left style="double">
        <color auto="1"/>
      </left>
      <right style="thin">
        <color rgb="FF000000"/>
      </right>
      <top style="double">
        <color auto="1"/>
      </top>
      <bottom style="thin">
        <color rgb="FF000000"/>
      </bottom>
      <diagonal/>
    </border>
    <border>
      <left style="thin">
        <color rgb="FF000000"/>
      </left>
      <right style="thin">
        <color rgb="FF000000"/>
      </right>
      <top style="double">
        <color auto="1"/>
      </top>
      <bottom style="thin">
        <color rgb="FF000000"/>
      </bottom>
      <diagonal/>
    </border>
    <border>
      <left style="thin">
        <color rgb="FF000000"/>
      </left>
      <right style="medium">
        <color rgb="FF000000"/>
      </right>
      <top style="double">
        <color auto="1"/>
      </top>
      <bottom style="thin">
        <color rgb="FF000000"/>
      </bottom>
      <diagonal/>
    </border>
    <border>
      <left style="medium">
        <color rgb="FF000000"/>
      </left>
      <right style="double">
        <color auto="1"/>
      </right>
      <top style="thin">
        <color rgb="FF000000"/>
      </top>
      <bottom style="thin">
        <color rgb="FF000000"/>
      </bottom>
      <diagonal/>
    </border>
    <border>
      <left style="double">
        <color auto="1"/>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style="thin">
        <color rgb="FF000000"/>
      </bottom>
      <diagonal/>
    </border>
    <border>
      <left style="medium">
        <color rgb="FF000000"/>
      </left>
      <right style="double">
        <color auto="1"/>
      </right>
      <top style="thin">
        <color rgb="FF000000"/>
      </top>
      <bottom style="medium">
        <color rgb="FF000000"/>
      </bottom>
      <diagonal/>
    </border>
    <border>
      <left style="double">
        <color auto="1"/>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double">
        <color auto="1"/>
      </left>
      <right/>
      <top/>
      <bottom style="medium">
        <color rgb="FF000000"/>
      </bottom>
      <diagonal/>
    </border>
    <border>
      <left/>
      <right style="double">
        <color auto="1"/>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double">
        <color auto="1"/>
      </right>
      <top/>
      <bottom style="thin">
        <color rgb="FF000000"/>
      </bottom>
      <diagonal/>
    </border>
    <border>
      <left style="medium">
        <color rgb="FF000000"/>
      </left>
      <right style="thin">
        <color rgb="FF000000"/>
      </right>
      <top style="thin">
        <color rgb="FF000000"/>
      </top>
      <bottom style="medium">
        <color rgb="FF000000"/>
      </bottom>
      <diagonal/>
    </border>
    <border>
      <left/>
      <right style="double">
        <color auto="1"/>
      </right>
      <top style="thin">
        <color rgb="FF000000"/>
      </top>
      <bottom style="thin">
        <color rgb="FF000000"/>
      </bottom>
      <diagonal/>
    </border>
    <border>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double">
        <color auto="1"/>
      </right>
      <top style="medium">
        <color rgb="FF000000"/>
      </top>
      <bottom style="thin">
        <color rgb="FF000000"/>
      </bottom>
      <diagonal/>
    </border>
    <border>
      <left style="thin">
        <color rgb="FF000000"/>
      </left>
      <right style="double">
        <color auto="1"/>
      </right>
      <top style="thin">
        <color rgb="FF000000"/>
      </top>
      <bottom style="thin">
        <color rgb="FF000000"/>
      </bottom>
      <diagonal/>
    </border>
    <border>
      <left style="thin">
        <color rgb="FF000000"/>
      </left>
      <right style="double">
        <color auto="1"/>
      </right>
      <top style="thin">
        <color rgb="FF000000"/>
      </top>
      <bottom style="medium">
        <color rgb="FF000000"/>
      </bottom>
      <diagonal/>
    </border>
    <border>
      <left/>
      <right/>
      <top style="double">
        <color auto="1"/>
      </top>
      <bottom style="thin">
        <color rgb="FF000000"/>
      </bottom>
      <diagonal/>
    </border>
    <border>
      <left style="thin">
        <color rgb="FF000000"/>
      </left>
      <right style="thin">
        <color rgb="FF000000"/>
      </right>
      <top/>
      <bottom style="medium">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double">
        <color auto="1"/>
      </left>
      <right/>
      <top style="medium">
        <color rgb="FF000000"/>
      </top>
      <bottom/>
      <diagonal/>
    </border>
    <border>
      <left/>
      <right style="double">
        <color auto="1"/>
      </right>
      <top style="medium">
        <color rgb="FF000000"/>
      </top>
      <bottom/>
      <diagonal/>
    </border>
    <border>
      <left style="thin">
        <color rgb="FF000000"/>
      </left>
      <right style="thin">
        <color rgb="FF000000"/>
      </right>
      <top/>
      <bottom style="thin">
        <color indexed="64"/>
      </bottom>
      <diagonal/>
    </border>
    <border>
      <left style="medium">
        <color auto="1"/>
      </left>
      <right/>
      <top/>
      <bottom/>
      <diagonal/>
    </border>
    <border>
      <left/>
      <right/>
      <top style="medium">
        <color rgb="FF000000"/>
      </top>
      <bottom style="thin">
        <color rgb="FF000000"/>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double">
        <color indexed="64"/>
      </right>
      <top style="medium">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double">
        <color indexed="64"/>
      </right>
      <top/>
      <bottom style="thin">
        <color indexed="64"/>
      </bottom>
      <diagonal/>
    </border>
    <border>
      <left/>
      <right/>
      <top/>
      <bottom style="medium">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double">
        <color auto="1"/>
      </left>
      <right/>
      <top/>
      <bottom style="medium">
        <color auto="1"/>
      </bottom>
      <diagonal/>
    </border>
    <border>
      <left/>
      <right style="double">
        <color auto="1"/>
      </right>
      <top/>
      <bottom style="medium">
        <color auto="1"/>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style="thin">
        <color indexed="64"/>
      </left>
      <right style="double">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medium">
        <color indexed="64"/>
      </top>
      <bottom style="thin">
        <color rgb="FF000000"/>
      </bottom>
      <diagonal/>
    </border>
    <border>
      <left style="thin">
        <color rgb="FF000000"/>
      </left>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rgb="FF000000"/>
      </left>
      <right/>
      <top style="thin">
        <color rgb="FF000000"/>
      </top>
      <bottom/>
      <diagonal/>
    </border>
    <border>
      <left/>
      <right/>
      <top/>
      <bottom style="hair">
        <color indexed="64"/>
      </bottom>
      <diagonal/>
    </border>
    <border>
      <left style="medium">
        <color auto="1"/>
      </left>
      <right/>
      <top style="thin">
        <color indexed="64"/>
      </top>
      <bottom style="thin">
        <color indexed="64"/>
      </bottom>
      <diagonal/>
    </border>
    <border>
      <left style="medium">
        <color auto="1"/>
      </left>
      <right/>
      <top style="thin">
        <color indexed="64"/>
      </top>
      <bottom/>
      <diagonal/>
    </border>
    <border>
      <left/>
      <right/>
      <top style="hair">
        <color indexed="64"/>
      </top>
      <bottom style="hair">
        <color indexed="64"/>
      </bottom>
      <diagonal/>
    </border>
    <border>
      <left/>
      <right style="double">
        <color auto="1"/>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rgb="FF000000"/>
      </left>
      <right style="thin">
        <color indexed="64"/>
      </right>
      <top style="medium">
        <color indexed="64"/>
      </top>
      <bottom style="thin">
        <color indexed="64"/>
      </bottom>
      <diagonal/>
    </border>
    <border>
      <left style="thin">
        <color indexed="64"/>
      </left>
      <right style="medium">
        <color rgb="FF000000"/>
      </right>
      <top style="medium">
        <color indexed="64"/>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medium">
        <color indexed="64"/>
      </right>
      <top style="medium">
        <color indexed="64"/>
      </top>
      <bottom style="thin">
        <color indexed="64"/>
      </bottom>
      <diagonal/>
    </border>
    <border>
      <left style="medium">
        <color rgb="FF000000"/>
      </left>
      <right style="medium">
        <color indexed="64"/>
      </right>
      <top style="thin">
        <color indexed="64"/>
      </top>
      <bottom style="thin">
        <color indexed="64"/>
      </bottom>
      <diagonal/>
    </border>
    <border>
      <left style="medium">
        <color rgb="FF000000"/>
      </left>
      <right style="medium">
        <color indexed="64"/>
      </right>
      <top style="thin">
        <color indexed="64"/>
      </top>
      <bottom style="medium">
        <color indexed="64"/>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medium">
        <color rgb="FF000000"/>
      </left>
      <right style="thin">
        <color indexed="64"/>
      </right>
      <top style="thin">
        <color rgb="FF000000"/>
      </top>
      <bottom style="medium">
        <color indexed="64"/>
      </bottom>
      <diagonal/>
    </border>
    <border>
      <left style="thin">
        <color indexed="64"/>
      </left>
      <right style="thin">
        <color indexed="64"/>
      </right>
      <top style="thin">
        <color rgb="FF000000"/>
      </top>
      <bottom style="medium">
        <color indexed="64"/>
      </bottom>
      <diagonal/>
    </border>
    <border>
      <left style="thin">
        <color indexed="64"/>
      </left>
      <right style="medium">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style="double">
        <color rgb="FF000000"/>
      </right>
      <top style="medium">
        <color rgb="FF000000"/>
      </top>
      <bottom/>
      <diagonal/>
    </border>
    <border>
      <left/>
      <right style="medium">
        <color indexed="64"/>
      </right>
      <top style="thin">
        <color indexed="64"/>
      </top>
      <bottom style="thin">
        <color indexed="64"/>
      </bottom>
      <diagonal/>
    </border>
    <border>
      <left style="thin">
        <color rgb="FF000000"/>
      </left>
      <right/>
      <top style="thin">
        <color rgb="FF000000"/>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right/>
      <top style="thin">
        <color rgb="FF000000"/>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auto="1"/>
      </left>
      <right/>
      <top/>
      <bottom style="medium">
        <color auto="1"/>
      </bottom>
      <diagonal/>
    </border>
    <border>
      <left style="medium">
        <color rgb="FF000000"/>
      </left>
      <right/>
      <top style="thin">
        <color rgb="FF000000"/>
      </top>
      <bottom style="thin">
        <color rgb="FF000000"/>
      </bottom>
      <diagonal/>
    </border>
  </borders>
  <cellStyleXfs count="13">
    <xf numFmtId="0" fontId="0" fillId="0" borderId="0">
      <alignment vertical="top"/>
    </xf>
    <xf numFmtId="0" fontId="2" fillId="2" borderId="0">
      <alignment vertical="top"/>
    </xf>
    <xf numFmtId="0" fontId="1" fillId="0" borderId="0">
      <alignment vertical="top"/>
    </xf>
    <xf numFmtId="0" fontId="1" fillId="3" borderId="0"/>
    <xf numFmtId="0" fontId="3" fillId="0" borderId="0">
      <alignment horizontal="center" vertical="top"/>
    </xf>
    <xf numFmtId="0" fontId="3" fillId="0" borderId="0">
      <alignment horizontal="center" vertical="top" textRotation="90"/>
    </xf>
    <xf numFmtId="0" fontId="1" fillId="4" borderId="0"/>
    <xf numFmtId="0" fontId="4" fillId="0" borderId="0">
      <alignment vertical="top"/>
    </xf>
    <xf numFmtId="172" fontId="4" fillId="0" borderId="0">
      <alignment vertical="top"/>
    </xf>
    <xf numFmtId="9" fontId="1" fillId="0" borderId="0" applyFont="0" applyFill="0" applyBorder="0" applyAlignment="0" applyProtection="0"/>
    <xf numFmtId="1" fontId="8" fillId="15" borderId="73">
      <alignment horizontal="left" vertical="center"/>
      <protection locked="0"/>
    </xf>
    <xf numFmtId="0" fontId="9" fillId="0" borderId="0"/>
    <xf numFmtId="0" fontId="14" fillId="0" borderId="0">
      <alignment vertical="top"/>
    </xf>
  </cellStyleXfs>
  <cellXfs count="811">
    <xf numFmtId="0" fontId="0" fillId="0" borderId="0" xfId="0">
      <alignment vertical="top"/>
    </xf>
    <xf numFmtId="0" fontId="0" fillId="0" borderId="0" xfId="0" applyAlignment="1">
      <alignment horizontal="center"/>
    </xf>
    <xf numFmtId="0" fontId="7" fillId="0" borderId="0" xfId="0" applyFont="1">
      <alignment vertical="top"/>
    </xf>
    <xf numFmtId="0" fontId="0" fillId="12" borderId="0" xfId="0" applyFill="1" applyProtection="1">
      <alignment vertical="top"/>
      <protection locked="0"/>
    </xf>
    <xf numFmtId="2" fontId="0" fillId="13" borderId="0" xfId="0" applyNumberFormat="1" applyFill="1" applyProtection="1">
      <alignment vertical="top"/>
      <protection hidden="1"/>
    </xf>
    <xf numFmtId="0" fontId="9" fillId="0" borderId="0" xfId="11"/>
    <xf numFmtId="0" fontId="14" fillId="0" borderId="0" xfId="11" applyFont="1"/>
    <xf numFmtId="0" fontId="9" fillId="0" borderId="0" xfId="11" applyAlignment="1">
      <alignment vertical="center"/>
    </xf>
    <xf numFmtId="0" fontId="9" fillId="0" borderId="0" xfId="11" applyAlignment="1">
      <alignment horizontal="centerContinuous"/>
    </xf>
    <xf numFmtId="0" fontId="17" fillId="0" borderId="0" xfId="11" applyFont="1" applyAlignment="1">
      <alignment horizontal="centerContinuous"/>
    </xf>
    <xf numFmtId="2" fontId="28" fillId="0" borderId="0" xfId="11" applyNumberFormat="1" applyFont="1" applyAlignment="1">
      <alignment horizontal="center" vertical="center" wrapText="1"/>
    </xf>
    <xf numFmtId="0" fontId="12" fillId="0" borderId="0" xfId="11" applyFont="1" applyAlignment="1">
      <alignment horizontal="center" vertical="center"/>
    </xf>
    <xf numFmtId="49" fontId="14" fillId="0" borderId="0" xfId="11" applyNumberFormat="1" applyFont="1"/>
    <xf numFmtId="49" fontId="14" fillId="0" borderId="0" xfId="11" applyNumberFormat="1" applyFont="1" applyAlignment="1">
      <alignment horizontal="left"/>
    </xf>
    <xf numFmtId="0" fontId="19" fillId="0" borderId="0" xfId="11" applyFont="1"/>
    <xf numFmtId="0" fontId="29" fillId="17" borderId="0" xfId="12" applyFont="1" applyFill="1" applyAlignment="1">
      <alignment horizontal="left" wrapText="1"/>
    </xf>
    <xf numFmtId="0" fontId="29" fillId="17" borderId="0" xfId="12" applyFont="1" applyFill="1" applyAlignment="1">
      <alignment horizontal="left"/>
    </xf>
    <xf numFmtId="0" fontId="30" fillId="17" borderId="0" xfId="12" applyFont="1" applyFill="1" applyAlignment="1">
      <alignment horizontal="center" wrapText="1"/>
    </xf>
    <xf numFmtId="2" fontId="31" fillId="18" borderId="0" xfId="12" applyNumberFormat="1" applyFont="1" applyFill="1" applyAlignment="1"/>
    <xf numFmtId="0" fontId="30" fillId="17" borderId="0" xfId="12" applyFont="1" applyFill="1" applyAlignment="1"/>
    <xf numFmtId="0" fontId="29" fillId="17" borderId="0" xfId="12" applyFont="1" applyFill="1" applyAlignment="1"/>
    <xf numFmtId="0" fontId="12" fillId="0" borderId="0" xfId="11" applyFont="1" applyAlignment="1">
      <alignment horizontal="centerContinuous"/>
    </xf>
    <xf numFmtId="0" fontId="32" fillId="0" borderId="0" xfId="11" applyFont="1" applyAlignment="1">
      <alignment horizontal="centerContinuous"/>
    </xf>
    <xf numFmtId="0" fontId="33" fillId="0" borderId="0" xfId="11" applyFont="1" applyAlignment="1">
      <alignment horizontal="centerContinuous"/>
    </xf>
    <xf numFmtId="0" fontId="16" fillId="0" borderId="0" xfId="11" applyFont="1" applyAlignment="1">
      <alignment horizontal="center"/>
    </xf>
    <xf numFmtId="0" fontId="9" fillId="0" borderId="0" xfId="11" applyAlignment="1">
      <alignment horizontal="center"/>
    </xf>
    <xf numFmtId="0" fontId="40" fillId="0" borderId="0" xfId="11" applyFont="1" applyAlignment="1">
      <alignment horizontal="center"/>
    </xf>
    <xf numFmtId="0" fontId="41" fillId="0" borderId="0" xfId="11" applyFont="1"/>
    <xf numFmtId="0" fontId="41" fillId="0" borderId="0" xfId="11" applyFont="1" applyAlignment="1">
      <alignment horizontal="right"/>
    </xf>
    <xf numFmtId="0" fontId="9" fillId="0" borderId="92" xfId="11" applyBorder="1" applyAlignment="1">
      <alignment horizontal="left"/>
    </xf>
    <xf numFmtId="0" fontId="9" fillId="0" borderId="80" xfId="11" applyBorder="1" applyAlignment="1">
      <alignment horizontal="left"/>
    </xf>
    <xf numFmtId="0" fontId="42" fillId="0" borderId="168" xfId="11" applyFont="1" applyBorder="1" applyAlignment="1">
      <alignment horizontal="center"/>
    </xf>
    <xf numFmtId="0" fontId="42" fillId="0" borderId="169" xfId="11" applyFont="1" applyBorder="1" applyAlignment="1">
      <alignment horizontal="center" wrapText="1"/>
    </xf>
    <xf numFmtId="0" fontId="42" fillId="0" borderId="169" xfId="11" applyFont="1" applyBorder="1" applyAlignment="1">
      <alignment horizontal="center"/>
    </xf>
    <xf numFmtId="0" fontId="42" fillId="0" borderId="170" xfId="11" applyFont="1" applyBorder="1" applyAlignment="1">
      <alignment horizontal="center" wrapText="1"/>
    </xf>
    <xf numFmtId="0" fontId="44" fillId="0" borderId="97" xfId="11" applyFont="1" applyBorder="1" applyAlignment="1">
      <alignment horizontal="center" vertical="center" wrapText="1"/>
    </xf>
    <xf numFmtId="0" fontId="44" fillId="0" borderId="174" xfId="11" applyFont="1" applyBorder="1" applyAlignment="1">
      <alignment horizontal="left" vertical="center" wrapText="1"/>
    </xf>
    <xf numFmtId="14" fontId="44" fillId="0" borderId="97" xfId="11" applyNumberFormat="1" applyFont="1" applyBorder="1" applyAlignment="1">
      <alignment horizontal="center" vertical="center" wrapText="1"/>
    </xf>
    <xf numFmtId="0" fontId="44" fillId="0" borderId="98" xfId="11" applyFont="1" applyBorder="1"/>
    <xf numFmtId="0" fontId="44" fillId="0" borderId="87" xfId="11" applyFont="1" applyBorder="1" applyAlignment="1">
      <alignment horizontal="center" vertical="center" wrapText="1"/>
    </xf>
    <xf numFmtId="0" fontId="44" fillId="0" borderId="87" xfId="11" applyFont="1" applyBorder="1" applyAlignment="1">
      <alignment horizontal="left" vertical="center"/>
    </xf>
    <xf numFmtId="14" fontId="44" fillId="0" borderId="120" xfId="11" applyNumberFormat="1" applyFont="1" applyBorder="1" applyAlignment="1">
      <alignment horizontal="center" vertical="center" wrapText="1"/>
    </xf>
    <xf numFmtId="0" fontId="44" fillId="0" borderId="121" xfId="11" applyFont="1" applyBorder="1"/>
    <xf numFmtId="0" fontId="44" fillId="0" borderId="175" xfId="11" applyFont="1" applyBorder="1" applyAlignment="1">
      <alignment horizontal="center" vertical="center" wrapText="1"/>
    </xf>
    <xf numFmtId="0" fontId="44" fillId="0" borderId="94" xfId="11" applyFont="1" applyBorder="1" applyAlignment="1">
      <alignment horizontal="left" vertical="center" wrapText="1"/>
    </xf>
    <xf numFmtId="14" fontId="44" fillId="0" borderId="94" xfId="11" applyNumberFormat="1" applyFont="1" applyBorder="1" applyAlignment="1">
      <alignment horizontal="center" vertical="center" wrapText="1"/>
    </xf>
    <xf numFmtId="0" fontId="44" fillId="0" borderId="103" xfId="11" applyFont="1" applyBorder="1"/>
    <xf numFmtId="0" fontId="44" fillId="0" borderId="81" xfId="11" applyFont="1" applyBorder="1" applyAlignment="1">
      <alignment horizontal="center" vertical="center" wrapText="1"/>
    </xf>
    <xf numFmtId="0" fontId="44" fillId="0" borderId="73" xfId="11" applyFont="1" applyBorder="1" applyAlignment="1">
      <alignment horizontal="left" vertical="center" wrapText="1"/>
    </xf>
    <xf numFmtId="14" fontId="44" fillId="0" borderId="73" xfId="11" applyNumberFormat="1" applyFont="1" applyBorder="1" applyAlignment="1">
      <alignment horizontal="center" vertical="center" wrapText="1"/>
    </xf>
    <xf numFmtId="0" fontId="44" fillId="0" borderId="166" xfId="11" applyFont="1" applyBorder="1"/>
    <xf numFmtId="0" fontId="44" fillId="0" borderId="128" xfId="11" applyFont="1" applyBorder="1" applyAlignment="1">
      <alignment horizontal="center" vertical="center" wrapText="1"/>
    </xf>
    <xf numFmtId="0" fontId="44" fillId="0" borderId="87" xfId="11" applyFont="1" applyBorder="1" applyAlignment="1">
      <alignment horizontal="left" vertical="center" wrapText="1"/>
    </xf>
    <xf numFmtId="0" fontId="44" fillId="0" borderId="176" xfId="11" applyFont="1" applyBorder="1"/>
    <xf numFmtId="0" fontId="44" fillId="0" borderId="177" xfId="11" applyFont="1" applyBorder="1" applyAlignment="1">
      <alignment horizontal="center" vertical="center" wrapText="1"/>
    </xf>
    <xf numFmtId="0" fontId="44" fillId="0" borderId="178" xfId="11" applyFont="1" applyBorder="1" applyAlignment="1">
      <alignment horizontal="left" vertical="center" wrapText="1"/>
    </xf>
    <xf numFmtId="0" fontId="44" fillId="0" borderId="179" xfId="11" applyFont="1" applyBorder="1"/>
    <xf numFmtId="0" fontId="44" fillId="0" borderId="180" xfId="11" applyFont="1" applyBorder="1" applyAlignment="1">
      <alignment horizontal="left" vertical="center" wrapText="1"/>
    </xf>
    <xf numFmtId="0" fontId="44" fillId="0" borderId="88" xfId="11" applyFont="1" applyBorder="1"/>
    <xf numFmtId="0" fontId="44" fillId="0" borderId="94" xfId="11" applyFont="1" applyBorder="1" applyAlignment="1">
      <alignment horizontal="center" vertical="center" wrapText="1"/>
    </xf>
    <xf numFmtId="0" fontId="44" fillId="0" borderId="95" xfId="11" applyFont="1" applyBorder="1"/>
    <xf numFmtId="0" fontId="44" fillId="0" borderId="120" xfId="11" applyFont="1" applyBorder="1" applyAlignment="1">
      <alignment horizontal="center" vertical="center" wrapText="1"/>
    </xf>
    <xf numFmtId="0" fontId="44" fillId="0" borderId="120" xfId="11" applyFont="1" applyBorder="1" applyAlignment="1">
      <alignment horizontal="left" vertical="center" wrapText="1"/>
    </xf>
    <xf numFmtId="0" fontId="44" fillId="0" borderId="73" xfId="11" applyFont="1" applyBorder="1" applyAlignment="1">
      <alignment horizontal="center" vertical="center" wrapText="1"/>
    </xf>
    <xf numFmtId="0" fontId="44" fillId="0" borderId="97" xfId="11" applyFont="1" applyBorder="1" applyAlignment="1">
      <alignment horizontal="left" vertical="center" wrapText="1"/>
    </xf>
    <xf numFmtId="0" fontId="44" fillId="0" borderId="85" xfId="11" applyFont="1" applyBorder="1"/>
    <xf numFmtId="0" fontId="44" fillId="0" borderId="142" xfId="11" applyFont="1" applyBorder="1" applyAlignment="1">
      <alignment horizontal="center" vertical="center" wrapText="1"/>
    </xf>
    <xf numFmtId="0" fontId="44" fillId="0" borderId="180" xfId="11" applyFont="1" applyBorder="1" applyAlignment="1">
      <alignment horizontal="center" vertical="center" wrapText="1"/>
    </xf>
    <xf numFmtId="0" fontId="44" fillId="0" borderId="181" xfId="11" applyFont="1" applyBorder="1" applyAlignment="1">
      <alignment horizontal="center" vertical="center" wrapText="1"/>
    </xf>
    <xf numFmtId="14" fontId="44" fillId="0" borderId="87" xfId="11" applyNumberFormat="1" applyFont="1" applyBorder="1" applyAlignment="1">
      <alignment horizontal="center" vertical="center" wrapText="1"/>
    </xf>
    <xf numFmtId="0" fontId="44" fillId="0" borderId="171" xfId="11" applyFont="1" applyBorder="1" applyAlignment="1">
      <alignment vertical="center" wrapText="1"/>
    </xf>
    <xf numFmtId="0" fontId="44" fillId="0" borderId="182" xfId="11" applyFont="1" applyBorder="1" applyAlignment="1">
      <alignment horizontal="center" vertical="center" wrapText="1"/>
    </xf>
    <xf numFmtId="0" fontId="44" fillId="0" borderId="172" xfId="11" applyFont="1" applyBorder="1" applyAlignment="1">
      <alignment horizontal="left" vertical="center" wrapText="1"/>
    </xf>
    <xf numFmtId="14" fontId="44" fillId="0" borderId="172" xfId="11" applyNumberFormat="1" applyFont="1" applyBorder="1" applyAlignment="1">
      <alignment horizontal="center" vertical="center" wrapText="1"/>
    </xf>
    <xf numFmtId="0" fontId="44" fillId="0" borderId="173" xfId="11" applyFont="1" applyBorder="1"/>
    <xf numFmtId="0" fontId="44" fillId="0" borderId="119" xfId="11" applyFont="1" applyBorder="1" applyAlignment="1">
      <alignment vertical="center" wrapText="1"/>
    </xf>
    <xf numFmtId="0" fontId="44" fillId="0" borderId="183" xfId="11" applyFont="1" applyBorder="1" applyAlignment="1">
      <alignment horizontal="center" vertical="center" wrapText="1"/>
    </xf>
    <xf numFmtId="0" fontId="44" fillId="0" borderId="0" xfId="11" applyFont="1"/>
    <xf numFmtId="173" fontId="9" fillId="0" borderId="80" xfId="11" applyNumberFormat="1" applyBorder="1" applyAlignment="1">
      <alignment horizontal="left"/>
    </xf>
    <xf numFmtId="175" fontId="9" fillId="0" borderId="80" xfId="11" applyNumberFormat="1" applyBorder="1" applyAlignment="1">
      <alignment horizontal="left"/>
    </xf>
    <xf numFmtId="0" fontId="24" fillId="0" borderId="0" xfId="11" applyFont="1" applyAlignment="1">
      <alignment horizontal="center" vertical="center"/>
    </xf>
    <xf numFmtId="0" fontId="12" fillId="0" borderId="0" xfId="11" applyFont="1" applyAlignment="1">
      <alignment vertical="center"/>
    </xf>
    <xf numFmtId="0" fontId="12" fillId="0" borderId="0" xfId="11" applyFont="1" applyAlignment="1">
      <alignment horizontal="right" vertical="center"/>
    </xf>
    <xf numFmtId="14" fontId="9" fillId="17" borderId="0" xfId="11" applyNumberFormat="1" applyFill="1" applyAlignment="1">
      <alignment horizontal="left" vertical="center"/>
    </xf>
    <xf numFmtId="0" fontId="9" fillId="17" borderId="0" xfId="11" applyFill="1" applyAlignment="1">
      <alignment horizontal="left" vertical="center"/>
    </xf>
    <xf numFmtId="0" fontId="12" fillId="0" borderId="0" xfId="11" applyFont="1" applyAlignment="1">
      <alignment horizontal="left" vertical="center"/>
    </xf>
    <xf numFmtId="0" fontId="22" fillId="0" borderId="0" xfId="11" applyFont="1" applyAlignment="1">
      <alignment vertical="center"/>
    </xf>
    <xf numFmtId="0" fontId="9" fillId="0" borderId="0" xfId="11" applyAlignment="1">
      <alignment horizontal="right" vertical="center"/>
    </xf>
    <xf numFmtId="0" fontId="14" fillId="0" borderId="0" xfId="11" applyFont="1" applyAlignment="1">
      <alignment vertical="center"/>
    </xf>
    <xf numFmtId="0" fontId="20" fillId="0" borderId="0" xfId="11" applyFont="1" applyAlignment="1">
      <alignment horizontal="right" vertical="center"/>
    </xf>
    <xf numFmtId="0" fontId="9" fillId="0" borderId="0" xfId="11" applyAlignment="1">
      <alignment horizontal="left" vertical="center"/>
    </xf>
    <xf numFmtId="0" fontId="21" fillId="0" borderId="0" xfId="11" applyFont="1" applyAlignment="1">
      <alignment horizontal="center" vertical="center"/>
    </xf>
    <xf numFmtId="0" fontId="16" fillId="0" borderId="0" xfId="11" applyFont="1" applyAlignment="1">
      <alignment horizontal="left" vertical="center"/>
    </xf>
    <xf numFmtId="0" fontId="19" fillId="0" borderId="0" xfId="11" applyFont="1" applyAlignment="1">
      <alignment vertical="center"/>
    </xf>
    <xf numFmtId="0" fontId="16" fillId="0" borderId="0" xfId="11" applyFont="1" applyAlignment="1">
      <alignment horizontal="right" vertical="center"/>
    </xf>
    <xf numFmtId="0" fontId="19" fillId="0" borderId="0" xfId="11" applyFont="1" applyAlignment="1">
      <alignment horizontal="right" vertical="center"/>
    </xf>
    <xf numFmtId="0" fontId="18" fillId="0" borderId="0" xfId="11" applyFont="1" applyAlignment="1">
      <alignment horizontal="center" vertical="center"/>
    </xf>
    <xf numFmtId="0" fontId="16" fillId="0" borderId="0" xfId="11" applyFont="1" applyAlignment="1">
      <alignment horizontal="center" vertical="center"/>
    </xf>
    <xf numFmtId="0" fontId="12" fillId="0" borderId="73" xfId="11" applyFont="1" applyBorder="1" applyAlignment="1">
      <alignment horizontal="center" vertical="center"/>
    </xf>
    <xf numFmtId="0" fontId="13" fillId="0" borderId="0" xfId="11" applyFont="1" applyAlignment="1">
      <alignment vertical="center"/>
    </xf>
    <xf numFmtId="2" fontId="14" fillId="0" borderId="0" xfId="11" applyNumberFormat="1" applyFont="1" applyAlignment="1">
      <alignment vertical="center"/>
    </xf>
    <xf numFmtId="0" fontId="14" fillId="0" borderId="0" xfId="11" applyFont="1" applyAlignment="1">
      <alignment horizontal="right" vertical="center"/>
    </xf>
    <xf numFmtId="164" fontId="9" fillId="0" borderId="73" xfId="11" applyNumberFormat="1" applyBorder="1" applyAlignment="1">
      <alignment horizontal="center" vertical="center"/>
    </xf>
    <xf numFmtId="164" fontId="14" fillId="0" borderId="74" xfId="11" applyNumberFormat="1" applyFont="1" applyBorder="1" applyAlignment="1">
      <alignment horizontal="center" vertical="center"/>
    </xf>
    <xf numFmtId="0" fontId="14" fillId="0" borderId="80" xfId="11" applyFont="1" applyBorder="1" applyAlignment="1">
      <alignment horizontal="right" vertical="center"/>
    </xf>
    <xf numFmtId="0" fontId="46" fillId="24" borderId="187" xfId="0" applyFont="1" applyFill="1" applyBorder="1" applyAlignment="1">
      <alignment horizontal="center" vertical="center"/>
    </xf>
    <xf numFmtId="0" fontId="46" fillId="0" borderId="100" xfId="0" applyFont="1" applyBorder="1" applyAlignment="1">
      <alignment vertical="center"/>
    </xf>
    <xf numFmtId="0" fontId="46" fillId="24" borderId="126" xfId="0" applyFont="1" applyFill="1" applyBorder="1" applyAlignment="1">
      <alignment horizontal="center" vertical="center"/>
    </xf>
    <xf numFmtId="0" fontId="47" fillId="0" borderId="0" xfId="0" applyFont="1" applyAlignment="1">
      <alignment vertical="center"/>
    </xf>
    <xf numFmtId="2" fontId="9" fillId="0" borderId="73" xfId="11" applyNumberFormat="1" applyBorder="1" applyAlignment="1">
      <alignment horizontal="center" vertical="center"/>
    </xf>
    <xf numFmtId="0" fontId="12" fillId="0" borderId="0" xfId="0" applyFont="1" applyAlignment="1"/>
    <xf numFmtId="0" fontId="49" fillId="0" borderId="0" xfId="0" applyFont="1">
      <alignment vertical="top"/>
    </xf>
    <xf numFmtId="0" fontId="50" fillId="0" borderId="0" xfId="0" applyFont="1">
      <alignment vertical="top"/>
    </xf>
    <xf numFmtId="0" fontId="51" fillId="25" borderId="0" xfId="0" applyFont="1" applyFill="1">
      <alignment vertical="top"/>
    </xf>
    <xf numFmtId="0" fontId="12" fillId="18" borderId="81" xfId="11" applyFont="1" applyFill="1" applyBorder="1" applyAlignment="1">
      <alignment horizontal="center"/>
    </xf>
    <xf numFmtId="0" fontId="12" fillId="18" borderId="142" xfId="11" applyFont="1" applyFill="1" applyBorder="1" applyAlignment="1">
      <alignment horizontal="center"/>
    </xf>
    <xf numFmtId="0" fontId="12" fillId="0" borderId="0" xfId="11" applyFont="1" applyAlignment="1">
      <alignment horizontal="center"/>
    </xf>
    <xf numFmtId="0" fontId="52" fillId="0" borderId="0" xfId="0" applyFont="1" applyAlignment="1">
      <alignment vertical="center"/>
    </xf>
    <xf numFmtId="0" fontId="53" fillId="0" borderId="0" xfId="0" applyFont="1" applyAlignment="1">
      <alignment vertical="center"/>
    </xf>
    <xf numFmtId="0" fontId="53" fillId="0" borderId="51" xfId="0" applyFont="1" applyBorder="1" applyAlignment="1">
      <alignment vertical="center"/>
    </xf>
    <xf numFmtId="0" fontId="53" fillId="0" borderId="53" xfId="0" applyFont="1" applyBorder="1" applyAlignment="1">
      <alignment horizontal="center" vertical="center"/>
    </xf>
    <xf numFmtId="0" fontId="53" fillId="0" borderId="54" xfId="0" applyFont="1" applyBorder="1" applyAlignment="1">
      <alignment horizontal="center" vertical="center"/>
    </xf>
    <xf numFmtId="0" fontId="53" fillId="0" borderId="11" xfId="0" applyFont="1" applyBorder="1" applyAlignment="1">
      <alignment horizontal="center" vertical="center"/>
    </xf>
    <xf numFmtId="0" fontId="53" fillId="0" borderId="38" xfId="0" applyFont="1" applyBorder="1" applyAlignment="1">
      <alignment horizontal="center" vertical="center"/>
    </xf>
    <xf numFmtId="0" fontId="53" fillId="0" borderId="56" xfId="0" applyFont="1" applyBorder="1" applyAlignment="1">
      <alignment horizontal="center" vertical="center"/>
    </xf>
    <xf numFmtId="0" fontId="53" fillId="0" borderId="42" xfId="0" applyFont="1" applyBorder="1" applyAlignment="1">
      <alignment horizontal="center" vertical="center"/>
    </xf>
    <xf numFmtId="0" fontId="53" fillId="0" borderId="43" xfId="0" applyFont="1" applyBorder="1" applyAlignment="1">
      <alignment horizontal="center" vertical="center"/>
    </xf>
    <xf numFmtId="0" fontId="53" fillId="0" borderId="52" xfId="0" applyFont="1" applyBorder="1" applyAlignment="1">
      <alignment horizontal="center" vertical="center"/>
    </xf>
    <xf numFmtId="0" fontId="53" fillId="0" borderId="53" xfId="0" applyFont="1" applyBorder="1" applyAlignment="1">
      <alignment vertical="center"/>
    </xf>
    <xf numFmtId="0" fontId="53" fillId="0" borderId="47" xfId="0" applyFont="1" applyBorder="1" applyAlignment="1">
      <alignment horizontal="center" vertical="center"/>
    </xf>
    <xf numFmtId="0" fontId="53" fillId="0" borderId="0" xfId="0" applyFont="1" applyAlignment="1">
      <alignment horizontal="center" vertical="center"/>
    </xf>
    <xf numFmtId="0" fontId="53" fillId="0" borderId="11" xfId="0" applyFont="1" applyBorder="1" applyAlignment="1">
      <alignment vertical="center"/>
    </xf>
    <xf numFmtId="171" fontId="53" fillId="0" borderId="0" xfId="0" applyNumberFormat="1" applyFont="1" applyAlignment="1">
      <alignment horizontal="center" vertical="center"/>
    </xf>
    <xf numFmtId="167" fontId="53" fillId="0" borderId="11" xfId="0" applyNumberFormat="1" applyFont="1" applyBorder="1" applyAlignment="1">
      <alignment horizontal="center" vertical="center"/>
    </xf>
    <xf numFmtId="171" fontId="53" fillId="23" borderId="0" xfId="0" applyNumberFormat="1" applyFont="1" applyFill="1" applyAlignment="1">
      <alignment horizontal="center" vertical="center"/>
    </xf>
    <xf numFmtId="0" fontId="53" fillId="0" borderId="73" xfId="0" applyFont="1" applyBorder="1" applyAlignment="1">
      <alignment horizontal="center" vertical="center"/>
    </xf>
    <xf numFmtId="0" fontId="53" fillId="0" borderId="0" xfId="0" applyFont="1" applyAlignment="1">
      <alignment horizontal="right" vertical="center"/>
    </xf>
    <xf numFmtId="2" fontId="53" fillId="0" borderId="0" xfId="0" applyNumberFormat="1" applyFont="1" applyAlignment="1">
      <alignment vertical="center"/>
    </xf>
    <xf numFmtId="0" fontId="52" fillId="0" borderId="0" xfId="0" applyFont="1" applyAlignment="1">
      <alignment horizontal="center" vertical="center"/>
    </xf>
    <xf numFmtId="167" fontId="53" fillId="0" borderId="0" xfId="0" applyNumberFormat="1" applyFont="1" applyAlignment="1">
      <alignment horizontal="center" vertical="center"/>
    </xf>
    <xf numFmtId="2" fontId="53" fillId="0" borderId="0" xfId="0" applyNumberFormat="1" applyFont="1" applyAlignment="1">
      <alignment horizontal="center" vertical="center"/>
    </xf>
    <xf numFmtId="0" fontId="53" fillId="0" borderId="11" xfId="0" applyFont="1" applyBorder="1" applyAlignment="1" applyProtection="1">
      <alignment horizontal="center" vertical="center"/>
      <protection locked="0"/>
    </xf>
    <xf numFmtId="0" fontId="53" fillId="0" borderId="0" xfId="0" applyFont="1" applyAlignment="1" applyProtection="1">
      <alignment vertical="center"/>
      <protection locked="0"/>
    </xf>
    <xf numFmtId="0" fontId="53" fillId="0" borderId="0" xfId="0" applyFont="1" applyAlignment="1" applyProtection="1">
      <alignment horizontal="center" vertical="center"/>
      <protection locked="0"/>
    </xf>
    <xf numFmtId="164" fontId="54" fillId="0" borderId="0" xfId="0" applyNumberFormat="1" applyFont="1" applyAlignment="1">
      <alignment horizontal="center"/>
    </xf>
    <xf numFmtId="0" fontId="53" fillId="0" borderId="11" xfId="0" applyFont="1" applyBorder="1" applyAlignment="1">
      <alignment horizontal="right" vertical="center"/>
    </xf>
    <xf numFmtId="0" fontId="55" fillId="0" borderId="0" xfId="0" applyFont="1" applyAlignment="1">
      <alignment horizontal="center" vertical="center"/>
    </xf>
    <xf numFmtId="0" fontId="56" fillId="0" borderId="1" xfId="0" applyFont="1" applyBorder="1" applyAlignment="1">
      <alignment vertical="center"/>
    </xf>
    <xf numFmtId="0" fontId="56" fillId="0" borderId="2" xfId="0" applyFont="1" applyBorder="1" applyAlignment="1">
      <alignment vertical="center"/>
    </xf>
    <xf numFmtId="0" fontId="56" fillId="0" borderId="3" xfId="0" applyFont="1" applyBorder="1" applyAlignment="1">
      <alignment vertical="center"/>
    </xf>
    <xf numFmtId="0" fontId="53" fillId="0" borderId="4" xfId="0" applyFont="1" applyBorder="1" applyAlignment="1">
      <alignment horizontal="left" vertical="center"/>
    </xf>
    <xf numFmtId="0" fontId="53" fillId="0" borderId="5" xfId="0" applyFont="1" applyBorder="1" applyAlignment="1">
      <alignment vertical="center"/>
    </xf>
    <xf numFmtId="0" fontId="53" fillId="0" borderId="6" xfId="0" applyFont="1" applyBorder="1" applyAlignment="1">
      <alignment vertical="center"/>
    </xf>
    <xf numFmtId="0" fontId="57" fillId="0" borderId="0" xfId="0" applyFont="1" applyAlignment="1">
      <alignment horizontal="center" vertical="center"/>
    </xf>
    <xf numFmtId="0" fontId="54" fillId="0" borderId="0" xfId="0" applyFont="1" applyAlignment="1">
      <alignment vertical="center"/>
    </xf>
    <xf numFmtId="0" fontId="56" fillId="0" borderId="7" xfId="0" applyFont="1" applyBorder="1" applyAlignment="1">
      <alignment vertical="center"/>
    </xf>
    <xf numFmtId="0" fontId="56" fillId="0" borderId="0" xfId="0" applyFont="1" applyAlignment="1">
      <alignment vertical="center"/>
    </xf>
    <xf numFmtId="0" fontId="58" fillId="0" borderId="0" xfId="0" applyFont="1" applyAlignment="1">
      <alignment horizontal="center" vertical="center"/>
    </xf>
    <xf numFmtId="0" fontId="56" fillId="0" borderId="8" xfId="0" applyFont="1" applyBorder="1" applyAlignment="1">
      <alignment vertical="center"/>
    </xf>
    <xf numFmtId="0" fontId="53" fillId="0" borderId="9" xfId="0" applyFont="1" applyBorder="1" applyAlignment="1">
      <alignment vertical="center"/>
    </xf>
    <xf numFmtId="0" fontId="59" fillId="0" borderId="0" xfId="0" applyFont="1" applyAlignment="1">
      <alignment horizontal="center" vertical="center"/>
    </xf>
    <xf numFmtId="0" fontId="53" fillId="0" borderId="10" xfId="0" applyFont="1" applyBorder="1" applyAlignment="1">
      <alignment vertical="center"/>
    </xf>
    <xf numFmtId="169" fontId="53" fillId="5" borderId="11" xfId="0" applyNumberFormat="1" applyFont="1" applyFill="1" applyBorder="1" applyAlignment="1">
      <alignment horizontal="left" vertical="center"/>
    </xf>
    <xf numFmtId="169" fontId="53" fillId="6" borderId="12" xfId="0" applyNumberFormat="1" applyFont="1" applyFill="1" applyBorder="1" applyAlignment="1">
      <alignment horizontal="left" vertical="center"/>
    </xf>
    <xf numFmtId="0" fontId="53" fillId="0" borderId="0" xfId="0" applyFont="1" applyAlignment="1">
      <alignment horizontal="left" vertical="center"/>
    </xf>
    <xf numFmtId="0" fontId="56" fillId="0" borderId="13" xfId="0" applyFont="1" applyBorder="1" applyAlignment="1">
      <alignment vertical="center"/>
    </xf>
    <xf numFmtId="0" fontId="56" fillId="0" borderId="14" xfId="0" applyFont="1" applyBorder="1" applyAlignment="1">
      <alignment vertical="center"/>
    </xf>
    <xf numFmtId="0" fontId="56" fillId="0" borderId="15" xfId="0" applyFont="1" applyBorder="1" applyAlignment="1">
      <alignment vertical="center"/>
    </xf>
    <xf numFmtId="0" fontId="53" fillId="0" borderId="16" xfId="0" applyFont="1" applyBorder="1" applyAlignment="1">
      <alignment vertical="center"/>
    </xf>
    <xf numFmtId="0" fontId="53" fillId="0" borderId="17" xfId="0" applyFont="1" applyBorder="1" applyAlignment="1">
      <alignment vertical="center"/>
    </xf>
    <xf numFmtId="0" fontId="53" fillId="0" borderId="18" xfId="0" applyFont="1" applyBorder="1" applyAlignment="1">
      <alignment vertical="center"/>
    </xf>
    <xf numFmtId="0" fontId="52" fillId="0" borderId="0" xfId="0" applyFont="1" applyAlignment="1">
      <alignment horizontal="right" vertical="center"/>
    </xf>
    <xf numFmtId="169" fontId="53" fillId="5" borderId="11" xfId="0" applyNumberFormat="1" applyFont="1" applyFill="1" applyBorder="1" applyAlignment="1">
      <alignment vertical="center"/>
    </xf>
    <xf numFmtId="169" fontId="53" fillId="0" borderId="19" xfId="0" applyNumberFormat="1" applyFont="1" applyBorder="1" applyAlignment="1">
      <alignment vertical="center"/>
    </xf>
    <xf numFmtId="0" fontId="53" fillId="6" borderId="12" xfId="0" applyFont="1" applyFill="1" applyBorder="1" applyAlignment="1">
      <alignment vertical="center"/>
    </xf>
    <xf numFmtId="0" fontId="53" fillId="5" borderId="11" xfId="0" applyFont="1" applyFill="1" applyBorder="1" applyAlignment="1">
      <alignment vertical="center"/>
    </xf>
    <xf numFmtId="0" fontId="53" fillId="6" borderId="20" xfId="0" applyFont="1" applyFill="1" applyBorder="1" applyAlignment="1">
      <alignment horizontal="left" vertical="center"/>
    </xf>
    <xf numFmtId="0" fontId="60" fillId="0" borderId="0" xfId="0" applyFont="1" applyAlignment="1">
      <alignment vertical="center"/>
    </xf>
    <xf numFmtId="0" fontId="53" fillId="5" borderId="20" xfId="0" applyFont="1" applyFill="1" applyBorder="1" applyAlignment="1">
      <alignment horizontal="left" vertical="center"/>
    </xf>
    <xf numFmtId="0" fontId="61" fillId="0" borderId="0" xfId="0" applyFont="1" applyAlignment="1">
      <alignment horizontal="center" vertical="center"/>
    </xf>
    <xf numFmtId="169" fontId="53" fillId="6" borderId="12" xfId="0" applyNumberFormat="1" applyFont="1" applyFill="1" applyBorder="1" applyAlignment="1">
      <alignment vertical="center"/>
    </xf>
    <xf numFmtId="169" fontId="53" fillId="0" borderId="20" xfId="0" applyNumberFormat="1" applyFont="1" applyBorder="1" applyAlignment="1">
      <alignment vertical="center"/>
    </xf>
    <xf numFmtId="0" fontId="53" fillId="0" borderId="21" xfId="0" applyFont="1" applyBorder="1" applyAlignment="1">
      <alignment vertical="center"/>
    </xf>
    <xf numFmtId="169" fontId="53" fillId="6" borderId="20" xfId="0" applyNumberFormat="1" applyFont="1" applyFill="1" applyBorder="1" applyAlignment="1">
      <alignment vertical="center"/>
    </xf>
    <xf numFmtId="169" fontId="53" fillId="5" borderId="20" xfId="0" applyNumberFormat="1" applyFont="1" applyFill="1" applyBorder="1" applyAlignment="1">
      <alignment vertical="center"/>
    </xf>
    <xf numFmtId="0" fontId="53" fillId="0" borderId="1" xfId="0" applyFont="1" applyBorder="1" applyAlignment="1">
      <alignment vertical="center"/>
    </xf>
    <xf numFmtId="0" fontId="53" fillId="0" borderId="2" xfId="0" applyFont="1" applyBorder="1" applyAlignment="1">
      <alignment vertical="center"/>
    </xf>
    <xf numFmtId="0" fontId="52" fillId="0" borderId="2" xfId="0" applyFont="1" applyBorder="1" applyAlignment="1">
      <alignment vertical="center"/>
    </xf>
    <xf numFmtId="0" fontId="53" fillId="0" borderId="3" xfId="0" applyFont="1" applyBorder="1" applyAlignment="1">
      <alignment vertical="center"/>
    </xf>
    <xf numFmtId="0" fontId="53" fillId="0" borderId="4" xfId="0" applyFont="1" applyBorder="1" applyAlignment="1">
      <alignment vertical="center"/>
    </xf>
    <xf numFmtId="0" fontId="52" fillId="0" borderId="5" xfId="0" applyFont="1" applyBorder="1" applyAlignment="1">
      <alignment vertical="center"/>
    </xf>
    <xf numFmtId="0" fontId="52" fillId="5" borderId="11" xfId="0" applyFont="1" applyFill="1" applyBorder="1" applyAlignment="1">
      <alignment horizontal="left" vertical="center"/>
    </xf>
    <xf numFmtId="0" fontId="53" fillId="6" borderId="20" xfId="0" applyFont="1" applyFill="1" applyBorder="1" applyAlignment="1">
      <alignment vertical="center"/>
    </xf>
    <xf numFmtId="0" fontId="53" fillId="5" borderId="20" xfId="0" applyFont="1" applyFill="1" applyBorder="1" applyAlignment="1">
      <alignment vertical="center"/>
    </xf>
    <xf numFmtId="0" fontId="53" fillId="0" borderId="7" xfId="0" applyFont="1" applyBorder="1" applyAlignment="1">
      <alignment vertical="center"/>
    </xf>
    <xf numFmtId="0" fontId="53" fillId="0" borderId="20" xfId="0" applyFont="1" applyBorder="1" applyAlignment="1">
      <alignment horizontal="left" vertical="center"/>
    </xf>
    <xf numFmtId="0" fontId="53" fillId="0" borderId="20" xfId="0" applyFont="1" applyBorder="1" applyAlignment="1">
      <alignment horizontal="center" vertical="center"/>
    </xf>
    <xf numFmtId="0" fontId="53" fillId="0" borderId="8" xfId="0" applyFont="1" applyBorder="1" applyAlignment="1">
      <alignment vertical="center"/>
    </xf>
    <xf numFmtId="166" fontId="53" fillId="6" borderId="12" xfId="0" applyNumberFormat="1" applyFont="1" applyFill="1" applyBorder="1" applyAlignment="1">
      <alignment vertical="center"/>
    </xf>
    <xf numFmtId="173" fontId="53" fillId="5" borderId="11" xfId="0" applyNumberFormat="1" applyFont="1" applyFill="1" applyBorder="1" applyAlignment="1">
      <alignment vertical="center"/>
    </xf>
    <xf numFmtId="170" fontId="53" fillId="6" borderId="20" xfId="0" applyNumberFormat="1" applyFont="1" applyFill="1" applyBorder="1" applyAlignment="1">
      <alignment vertical="center"/>
    </xf>
    <xf numFmtId="166" fontId="53" fillId="5" borderId="11" xfId="0" applyNumberFormat="1" applyFont="1" applyFill="1" applyBorder="1" applyAlignment="1">
      <alignment vertical="center"/>
    </xf>
    <xf numFmtId="166" fontId="53" fillId="6" borderId="20" xfId="0" applyNumberFormat="1" applyFont="1" applyFill="1" applyBorder="1" applyAlignment="1">
      <alignment vertical="center"/>
    </xf>
    <xf numFmtId="166" fontId="53" fillId="5" borderId="20" xfId="0" applyNumberFormat="1" applyFont="1" applyFill="1" applyBorder="1" applyAlignment="1">
      <alignment vertical="center"/>
    </xf>
    <xf numFmtId="0" fontId="52" fillId="0" borderId="0" xfId="0" applyFont="1" applyAlignment="1">
      <alignment horizontal="left" vertical="center"/>
    </xf>
    <xf numFmtId="0" fontId="53" fillId="0" borderId="13" xfId="0" applyFont="1" applyBorder="1" applyAlignment="1">
      <alignment vertical="center"/>
    </xf>
    <xf numFmtId="0" fontId="53" fillId="0" borderId="14" xfId="0" applyFont="1" applyBorder="1" applyAlignment="1">
      <alignment vertical="center"/>
    </xf>
    <xf numFmtId="0" fontId="53" fillId="0" borderId="15" xfId="0" applyFont="1" applyBorder="1" applyAlignment="1">
      <alignment vertical="center"/>
    </xf>
    <xf numFmtId="0" fontId="53" fillId="8" borderId="39" xfId="0" applyFont="1" applyFill="1" applyBorder="1" applyAlignment="1">
      <alignment horizontal="center" vertical="center"/>
    </xf>
    <xf numFmtId="0" fontId="53" fillId="8" borderId="188" xfId="0" applyFont="1" applyFill="1" applyBorder="1" applyAlignment="1">
      <alignment horizontal="center" vertical="center"/>
    </xf>
    <xf numFmtId="0" fontId="53" fillId="7" borderId="23" xfId="0" applyFont="1" applyFill="1" applyBorder="1" applyAlignment="1">
      <alignment horizontal="center" vertical="center"/>
    </xf>
    <xf numFmtId="0" fontId="53" fillId="7" borderId="25" xfId="0" applyFont="1" applyFill="1" applyBorder="1" applyAlignment="1">
      <alignment horizontal="center" vertical="center"/>
    </xf>
    <xf numFmtId="0" fontId="53" fillId="7" borderId="26" xfId="0" applyFont="1" applyFill="1" applyBorder="1" applyAlignment="1">
      <alignment horizontal="center" vertical="center"/>
    </xf>
    <xf numFmtId="0" fontId="53" fillId="7" borderId="20" xfId="0" applyFont="1" applyFill="1" applyBorder="1" applyAlignment="1">
      <alignment horizontal="center" vertical="center"/>
    </xf>
    <xf numFmtId="0" fontId="53" fillId="7" borderId="27" xfId="0" applyFont="1" applyFill="1" applyBorder="1" applyAlignment="1">
      <alignment horizontal="center" vertical="center"/>
    </xf>
    <xf numFmtId="0" fontId="53" fillId="7" borderId="29" xfId="0" applyFont="1" applyFill="1" applyBorder="1" applyAlignment="1">
      <alignment horizontal="center" vertical="center"/>
    </xf>
    <xf numFmtId="0" fontId="53" fillId="7" borderId="30" xfId="0" applyFont="1" applyFill="1" applyBorder="1" applyAlignment="1">
      <alignment horizontal="center" vertical="center"/>
    </xf>
    <xf numFmtId="0" fontId="53" fillId="7" borderId="31" xfId="0" applyFont="1" applyFill="1" applyBorder="1" applyAlignment="1">
      <alignment horizontal="center" vertical="center"/>
    </xf>
    <xf numFmtId="1" fontId="53" fillId="7" borderId="32" xfId="0" applyNumberFormat="1" applyFont="1" applyFill="1" applyBorder="1" applyAlignment="1">
      <alignment horizontal="center" vertical="center"/>
    </xf>
    <xf numFmtId="0" fontId="53" fillId="0" borderId="33" xfId="0" applyFont="1" applyBorder="1" applyAlignment="1">
      <alignment horizontal="center" vertical="center"/>
    </xf>
    <xf numFmtId="0" fontId="53" fillId="0" borderId="34" xfId="0" applyFont="1" applyBorder="1" applyAlignment="1">
      <alignment horizontal="center" vertical="center"/>
    </xf>
    <xf numFmtId="0" fontId="53" fillId="0" borderId="35" xfId="0" applyFont="1" applyBorder="1" applyAlignment="1">
      <alignment horizontal="center" vertical="center"/>
    </xf>
    <xf numFmtId="0" fontId="52" fillId="0" borderId="4" xfId="0" applyFont="1" applyBorder="1" applyAlignment="1">
      <alignment horizontal="left" vertical="center"/>
    </xf>
    <xf numFmtId="1" fontId="53" fillId="7" borderId="36" xfId="0" applyNumberFormat="1" applyFont="1" applyFill="1" applyBorder="1" applyAlignment="1">
      <alignment horizontal="center" vertical="center"/>
    </xf>
    <xf numFmtId="0" fontId="53" fillId="0" borderId="37" xfId="0" applyFont="1" applyBorder="1" applyAlignment="1">
      <alignment horizontal="center" vertical="center"/>
    </xf>
    <xf numFmtId="1" fontId="53" fillId="7" borderId="40" xfId="0" applyNumberFormat="1" applyFont="1" applyFill="1" applyBorder="1" applyAlignment="1">
      <alignment horizontal="center" vertical="center"/>
    </xf>
    <xf numFmtId="0" fontId="53" fillId="0" borderId="41" xfId="0" applyFont="1" applyBorder="1" applyAlignment="1">
      <alignment horizontal="center" vertical="center"/>
    </xf>
    <xf numFmtId="0" fontId="62" fillId="0" borderId="0" xfId="0" applyFont="1" applyAlignment="1">
      <alignment vertical="center"/>
    </xf>
    <xf numFmtId="0" fontId="63" fillId="0" borderId="0" xfId="0" applyFont="1" applyAlignment="1">
      <alignment horizontal="center" vertical="center"/>
    </xf>
    <xf numFmtId="0" fontId="63" fillId="0" borderId="8" xfId="0" applyFont="1" applyBorder="1" applyAlignment="1">
      <alignment horizontal="center" vertical="center"/>
    </xf>
    <xf numFmtId="0" fontId="56" fillId="0" borderId="0" xfId="0" applyFont="1" applyAlignment="1">
      <alignment horizontal="right" vertical="center"/>
    </xf>
    <xf numFmtId="168" fontId="56" fillId="0" borderId="20" xfId="0" applyNumberFormat="1" applyFont="1" applyBorder="1" applyAlignment="1">
      <alignment horizontal="center" vertical="center"/>
    </xf>
    <xf numFmtId="0" fontId="56" fillId="0" borderId="20" xfId="0" applyFont="1" applyBorder="1" applyAlignment="1">
      <alignment horizontal="center" vertical="center"/>
    </xf>
    <xf numFmtId="0" fontId="59" fillId="0" borderId="0" xfId="0" applyFont="1" applyAlignment="1">
      <alignment horizontal="right" vertical="center"/>
    </xf>
    <xf numFmtId="0" fontId="62" fillId="0" borderId="0" xfId="0" applyFont="1" applyAlignment="1">
      <alignment horizontal="right" vertical="center"/>
    </xf>
    <xf numFmtId="0" fontId="62" fillId="0" borderId="2" xfId="0" applyFont="1" applyBorder="1" applyAlignment="1">
      <alignment vertical="center"/>
    </xf>
    <xf numFmtId="0" fontId="52" fillId="0" borderId="2" xfId="0" applyFont="1" applyBorder="1" applyAlignment="1">
      <alignment horizontal="center" vertical="center"/>
    </xf>
    <xf numFmtId="0" fontId="53" fillId="0" borderId="39" xfId="0" applyFont="1" applyBorder="1" applyAlignment="1">
      <alignment horizontal="center" vertical="center"/>
    </xf>
    <xf numFmtId="2" fontId="53" fillId="5" borderId="20" xfId="0" applyNumberFormat="1" applyFont="1" applyFill="1" applyBorder="1" applyAlignment="1">
      <alignment vertical="center"/>
    </xf>
    <xf numFmtId="167" fontId="53" fillId="5" borderId="20" xfId="0" applyNumberFormat="1" applyFont="1" applyFill="1" applyBorder="1" applyAlignment="1">
      <alignment vertical="center"/>
    </xf>
    <xf numFmtId="0" fontId="53" fillId="0" borderId="136" xfId="0" applyFont="1" applyBorder="1" applyAlignment="1">
      <alignment vertical="center"/>
    </xf>
    <xf numFmtId="0" fontId="53" fillId="6" borderId="33" xfId="0" applyFont="1" applyFill="1" applyBorder="1" applyAlignment="1">
      <alignment horizontal="center" vertical="center"/>
    </xf>
    <xf numFmtId="0" fontId="53" fillId="6" borderId="34" xfId="0" applyFont="1" applyFill="1" applyBorder="1" applyAlignment="1">
      <alignment horizontal="center" vertical="center"/>
    </xf>
    <xf numFmtId="0" fontId="53" fillId="6" borderId="35" xfId="0" applyFont="1" applyFill="1" applyBorder="1" applyAlignment="1">
      <alignment horizontal="center" vertical="center"/>
    </xf>
    <xf numFmtId="0" fontId="53" fillId="6" borderId="37" xfId="0" applyFont="1" applyFill="1" applyBorder="1" applyAlignment="1">
      <alignment horizontal="center" vertical="center"/>
    </xf>
    <xf numFmtId="0" fontId="53" fillId="6" borderId="11" xfId="0" applyFont="1" applyFill="1" applyBorder="1" applyAlignment="1">
      <alignment horizontal="center" vertical="center"/>
    </xf>
    <xf numFmtId="0" fontId="53" fillId="6" borderId="38" xfId="0" applyFont="1" applyFill="1" applyBorder="1" applyAlignment="1">
      <alignment horizontal="center" vertical="center"/>
    </xf>
    <xf numFmtId="0" fontId="53" fillId="6" borderId="41" xfId="0" applyFont="1" applyFill="1" applyBorder="1" applyAlignment="1">
      <alignment horizontal="center" vertical="center"/>
    </xf>
    <xf numFmtId="0" fontId="53" fillId="6" borderId="42" xfId="0" applyFont="1" applyFill="1" applyBorder="1" applyAlignment="1">
      <alignment horizontal="center" vertical="center"/>
    </xf>
    <xf numFmtId="0" fontId="53" fillId="6" borderId="43" xfId="0" applyFont="1" applyFill="1" applyBorder="1" applyAlignment="1">
      <alignment horizontal="center" vertical="center"/>
    </xf>
    <xf numFmtId="0" fontId="53" fillId="0" borderId="5" xfId="0" applyFont="1" applyBorder="1" applyAlignment="1">
      <alignment horizontal="center" vertical="center"/>
    </xf>
    <xf numFmtId="0" fontId="53" fillId="5" borderId="33" xfId="0" applyFont="1" applyFill="1" applyBorder="1" applyAlignment="1">
      <alignment horizontal="center" vertical="center"/>
    </xf>
    <xf numFmtId="0" fontId="53" fillId="5" borderId="34" xfId="0" applyFont="1" applyFill="1" applyBorder="1" applyAlignment="1">
      <alignment horizontal="center" vertical="center"/>
    </xf>
    <xf numFmtId="0" fontId="53" fillId="5" borderId="35" xfId="0" applyFont="1" applyFill="1" applyBorder="1" applyAlignment="1">
      <alignment horizontal="center" vertical="center"/>
    </xf>
    <xf numFmtId="0" fontId="53" fillId="5" borderId="37" xfId="0" applyFont="1" applyFill="1" applyBorder="1" applyAlignment="1">
      <alignment horizontal="center" vertical="center"/>
    </xf>
    <xf numFmtId="0" fontId="53" fillId="5" borderId="11" xfId="0" applyFont="1" applyFill="1" applyBorder="1" applyAlignment="1">
      <alignment horizontal="center" vertical="center"/>
    </xf>
    <xf numFmtId="0" fontId="53" fillId="5" borderId="38" xfId="0" applyFont="1" applyFill="1" applyBorder="1" applyAlignment="1">
      <alignment horizontal="center" vertical="center"/>
    </xf>
    <xf numFmtId="0" fontId="53" fillId="5" borderId="41" xfId="0" applyFont="1" applyFill="1" applyBorder="1" applyAlignment="1">
      <alignment horizontal="center" vertical="center"/>
    </xf>
    <xf numFmtId="0" fontId="53" fillId="5" borderId="42" xfId="0" applyFont="1" applyFill="1" applyBorder="1" applyAlignment="1">
      <alignment horizontal="center" vertical="center"/>
    </xf>
    <xf numFmtId="0" fontId="53" fillId="5" borderId="43" xfId="0" applyFont="1" applyFill="1" applyBorder="1" applyAlignment="1">
      <alignment horizontal="center" vertical="center"/>
    </xf>
    <xf numFmtId="0" fontId="52" fillId="0" borderId="4" xfId="0" applyFont="1" applyBorder="1" applyAlignment="1">
      <alignment vertical="center"/>
    </xf>
    <xf numFmtId="0" fontId="53" fillId="8" borderId="20" xfId="0" applyFont="1" applyFill="1" applyBorder="1" applyAlignment="1">
      <alignment horizontal="center" vertical="center"/>
    </xf>
    <xf numFmtId="164" fontId="53" fillId="8" borderId="20" xfId="0" applyNumberFormat="1" applyFont="1" applyFill="1" applyBorder="1" applyAlignment="1">
      <alignment horizontal="center" vertical="center"/>
    </xf>
    <xf numFmtId="0" fontId="53" fillId="9" borderId="11" xfId="0" applyFont="1" applyFill="1" applyBorder="1" applyAlignment="1">
      <alignment horizontal="center" vertical="center"/>
    </xf>
    <xf numFmtId="0" fontId="54" fillId="0" borderId="14" xfId="0" applyFont="1" applyBorder="1" applyAlignment="1">
      <alignment vertical="center"/>
    </xf>
    <xf numFmtId="0" fontId="52" fillId="0" borderId="9" xfId="0" applyFont="1" applyBorder="1" applyAlignment="1">
      <alignment vertical="center"/>
    </xf>
    <xf numFmtId="0" fontId="53" fillId="0" borderId="100" xfId="0" applyFont="1" applyBorder="1" applyAlignment="1">
      <alignment horizontal="center" vertical="center"/>
    </xf>
    <xf numFmtId="0" fontId="53" fillId="0" borderId="45" xfId="0" applyFont="1" applyBorder="1" applyAlignment="1">
      <alignment horizontal="center" vertical="center"/>
    </xf>
    <xf numFmtId="0" fontId="53" fillId="0" borderId="82" xfId="0" applyFont="1" applyBorder="1" applyAlignment="1">
      <alignment horizontal="center" vertical="center"/>
    </xf>
    <xf numFmtId="2" fontId="53" fillId="0" borderId="20" xfId="0" applyNumberFormat="1" applyFont="1" applyBorder="1" applyAlignment="1">
      <alignment horizontal="center" vertical="center"/>
    </xf>
    <xf numFmtId="2" fontId="53" fillId="0" borderId="22" xfId="0" applyNumberFormat="1" applyFont="1" applyBorder="1" applyAlignment="1">
      <alignment horizontal="center" vertical="center"/>
    </xf>
    <xf numFmtId="0" fontId="54" fillId="0" borderId="0" xfId="0" applyFont="1">
      <alignment vertical="top"/>
    </xf>
    <xf numFmtId="0" fontId="53" fillId="0" borderId="93" xfId="0" applyFont="1" applyBorder="1" applyAlignment="1">
      <alignment vertical="center"/>
    </xf>
    <xf numFmtId="0" fontId="53" fillId="0" borderId="94" xfId="0" applyFont="1" applyBorder="1" applyAlignment="1">
      <alignment horizontal="center" vertical="center"/>
    </xf>
    <xf numFmtId="0" fontId="53" fillId="0" borderId="95" xfId="0" applyFont="1" applyBorder="1" applyAlignment="1">
      <alignment horizontal="center" vertical="center"/>
    </xf>
    <xf numFmtId="0" fontId="53" fillId="0" borderId="84" xfId="0" applyFont="1" applyBorder="1" applyAlignment="1">
      <alignment horizontal="center" vertical="center"/>
    </xf>
    <xf numFmtId="0" fontId="53" fillId="0" borderId="85" xfId="0" applyFont="1" applyBorder="1" applyAlignment="1">
      <alignment horizontal="center" vertical="center"/>
    </xf>
    <xf numFmtId="0" fontId="53" fillId="8" borderId="11" xfId="0" applyFont="1" applyFill="1" applyBorder="1" applyAlignment="1">
      <alignment horizontal="center" vertical="center"/>
    </xf>
    <xf numFmtId="0" fontId="53" fillId="0" borderId="44" xfId="0" applyFont="1" applyBorder="1" applyAlignment="1">
      <alignment horizontal="center" vertical="center"/>
    </xf>
    <xf numFmtId="0" fontId="53" fillId="0" borderId="86" xfId="0" applyFont="1" applyBorder="1" applyAlignment="1">
      <alignment horizontal="center" vertical="center"/>
    </xf>
    <xf numFmtId="0" fontId="53" fillId="0" borderId="87" xfId="0" applyFont="1" applyBorder="1" applyAlignment="1">
      <alignment horizontal="center" vertical="center"/>
    </xf>
    <xf numFmtId="0" fontId="53" fillId="0" borderId="88" xfId="0" applyFont="1" applyBorder="1" applyAlignment="1">
      <alignment horizontal="center" vertical="center"/>
    </xf>
    <xf numFmtId="0" fontId="53" fillId="0" borderId="49" xfId="0" applyFont="1" applyBorder="1" applyAlignment="1">
      <alignment vertical="center"/>
    </xf>
    <xf numFmtId="0" fontId="53" fillId="0" borderId="50" xfId="0" applyFont="1" applyBorder="1" applyAlignment="1">
      <alignment vertical="center"/>
    </xf>
    <xf numFmtId="0" fontId="53" fillId="0" borderId="106" xfId="0" applyFont="1" applyBorder="1" applyAlignment="1">
      <alignment horizontal="center" vertical="center"/>
    </xf>
    <xf numFmtId="0" fontId="53" fillId="0" borderId="107" xfId="0" applyFont="1" applyBorder="1" applyAlignment="1">
      <alignment horizontal="center" vertical="center"/>
    </xf>
    <xf numFmtId="0" fontId="53" fillId="0" borderId="108" xfId="0" applyFont="1" applyBorder="1" applyAlignment="1">
      <alignment horizontal="center" vertical="center"/>
    </xf>
    <xf numFmtId="0" fontId="53" fillId="0" borderId="109" xfId="0" applyFont="1" applyBorder="1" applyAlignment="1">
      <alignment horizontal="center" vertical="center"/>
    </xf>
    <xf numFmtId="0" fontId="53" fillId="0" borderId="110" xfId="0" applyFont="1" applyBorder="1" applyAlignment="1">
      <alignment horizontal="center" vertical="center"/>
    </xf>
    <xf numFmtId="0" fontId="56" fillId="0" borderId="0" xfId="0" applyFont="1" applyAlignment="1">
      <alignment horizontal="left" vertical="center"/>
    </xf>
    <xf numFmtId="0" fontId="53" fillId="6" borderId="11" xfId="0" applyFont="1" applyFill="1" applyBorder="1" applyAlignment="1">
      <alignment horizontal="left" vertical="center"/>
    </xf>
    <xf numFmtId="0" fontId="53" fillId="0" borderId="20" xfId="0" applyFont="1" applyBorder="1" applyAlignment="1">
      <alignment vertical="center"/>
    </xf>
    <xf numFmtId="0" fontId="64" fillId="0" borderId="0" xfId="0" applyFont="1" applyAlignment="1">
      <alignment horizontal="right" vertical="center"/>
    </xf>
    <xf numFmtId="0" fontId="53" fillId="0" borderId="22" xfId="0" applyFont="1" applyBorder="1" applyAlignment="1">
      <alignment horizontal="left" vertical="center"/>
    </xf>
    <xf numFmtId="0" fontId="53" fillId="0" borderId="22" xfId="0" applyFont="1" applyBorder="1" applyAlignment="1">
      <alignment vertical="center"/>
    </xf>
    <xf numFmtId="0" fontId="53" fillId="5" borderId="11" xfId="0" applyFont="1" applyFill="1" applyBorder="1" applyAlignment="1">
      <alignment horizontal="left" vertical="center"/>
    </xf>
    <xf numFmtId="0" fontId="53" fillId="0" borderId="111" xfId="0" applyFont="1" applyBorder="1" applyAlignment="1">
      <alignment horizontal="center" vertical="center"/>
    </xf>
    <xf numFmtId="0" fontId="53" fillId="0" borderId="112" xfId="0" applyFont="1" applyBorder="1" applyAlignment="1">
      <alignment horizontal="center" vertical="center"/>
    </xf>
    <xf numFmtId="0" fontId="53" fillId="0" borderId="113" xfId="0" applyFont="1" applyBorder="1" applyAlignment="1">
      <alignment horizontal="center" vertical="center"/>
    </xf>
    <xf numFmtId="0" fontId="56" fillId="0" borderId="20" xfId="0" applyFont="1" applyBorder="1" applyAlignment="1">
      <alignment horizontal="left" vertical="center"/>
    </xf>
    <xf numFmtId="0" fontId="56" fillId="0" borderId="20" xfId="0" applyFont="1" applyBorder="1" applyAlignment="1">
      <alignment vertical="center"/>
    </xf>
    <xf numFmtId="0" fontId="56" fillId="0" borderId="55" xfId="0" applyFont="1" applyBorder="1" applyAlignment="1">
      <alignment vertical="center"/>
    </xf>
    <xf numFmtId="0" fontId="53" fillId="0" borderId="46" xfId="0" applyFont="1" applyBorder="1" applyAlignment="1">
      <alignment horizontal="center" vertical="center"/>
    </xf>
    <xf numFmtId="0" fontId="53" fillId="0" borderId="77" xfId="0" applyFont="1" applyBorder="1" applyAlignment="1">
      <alignment horizontal="center" vertical="center"/>
    </xf>
    <xf numFmtId="0" fontId="56" fillId="0" borderId="22" xfId="0" applyFont="1" applyBorder="1" applyAlignment="1">
      <alignment horizontal="left" vertical="center"/>
    </xf>
    <xf numFmtId="0" fontId="56" fillId="0" borderId="22" xfId="0" applyFont="1" applyBorder="1" applyAlignment="1">
      <alignment vertical="center"/>
    </xf>
    <xf numFmtId="0" fontId="56" fillId="0" borderId="57" xfId="0" applyFont="1" applyBorder="1" applyAlignment="1">
      <alignment vertical="center"/>
    </xf>
    <xf numFmtId="1" fontId="53" fillId="8" borderId="48" xfId="0" applyNumberFormat="1" applyFont="1" applyFill="1" applyBorder="1" applyAlignment="1" applyProtection="1">
      <alignment horizontal="center" vertical="center"/>
      <protection locked="0"/>
    </xf>
    <xf numFmtId="1" fontId="53" fillId="8" borderId="11" xfId="0" applyNumberFormat="1" applyFont="1" applyFill="1" applyBorder="1" applyAlignment="1" applyProtection="1">
      <alignment horizontal="center" vertical="center"/>
      <protection locked="0"/>
    </xf>
    <xf numFmtId="164" fontId="53" fillId="10" borderId="73" xfId="0" applyNumberFormat="1" applyFont="1" applyFill="1" applyBorder="1" applyAlignment="1">
      <alignment horizontal="center" vertical="center"/>
    </xf>
    <xf numFmtId="164" fontId="53" fillId="0" borderId="0" xfId="0" applyNumberFormat="1" applyFont="1" applyAlignment="1">
      <alignment horizontal="center" vertical="center"/>
    </xf>
    <xf numFmtId="0" fontId="53" fillId="0" borderId="9" xfId="0" applyFont="1" applyBorder="1" applyAlignment="1">
      <alignment horizontal="right" vertical="center"/>
    </xf>
    <xf numFmtId="1" fontId="53" fillId="0" borderId="48" xfId="0" applyNumberFormat="1" applyFont="1" applyBorder="1" applyAlignment="1" applyProtection="1">
      <alignment horizontal="center" vertical="center"/>
      <protection locked="0"/>
    </xf>
    <xf numFmtId="1" fontId="53" fillId="0" borderId="11" xfId="0" applyNumberFormat="1" applyFont="1" applyBorder="1" applyAlignment="1" applyProtection="1">
      <alignment horizontal="center" vertical="center"/>
      <protection locked="0"/>
    </xf>
    <xf numFmtId="164" fontId="53" fillId="0" borderId="11" xfId="0" applyNumberFormat="1" applyFont="1" applyBorder="1" applyAlignment="1">
      <alignment horizontal="center" vertical="center"/>
    </xf>
    <xf numFmtId="164" fontId="53" fillId="0" borderId="44" xfId="0" applyNumberFormat="1" applyFont="1" applyBorder="1" applyAlignment="1">
      <alignment horizontal="center" vertical="center"/>
    </xf>
    <xf numFmtId="0" fontId="53" fillId="0" borderId="75" xfId="0" applyFont="1" applyBorder="1" applyAlignment="1">
      <alignment vertical="center"/>
    </xf>
    <xf numFmtId="0" fontId="53" fillId="0" borderId="76" xfId="0" applyFont="1" applyBorder="1" applyAlignment="1">
      <alignment vertical="center"/>
    </xf>
    <xf numFmtId="164" fontId="53" fillId="8" borderId="51" xfId="0" applyNumberFormat="1" applyFont="1" applyFill="1" applyBorder="1" applyAlignment="1">
      <alignment horizontal="center" vertical="center"/>
    </xf>
    <xf numFmtId="164" fontId="53" fillId="8" borderId="52" xfId="0" applyNumberFormat="1" applyFont="1" applyFill="1" applyBorder="1" applyAlignment="1">
      <alignment horizontal="center" vertical="center"/>
    </xf>
    <xf numFmtId="164" fontId="53" fillId="8" borderId="53" xfId="0" applyNumberFormat="1" applyFont="1" applyFill="1" applyBorder="1" applyAlignment="1">
      <alignment horizontal="center" vertical="center"/>
    </xf>
    <xf numFmtId="164" fontId="53" fillId="8" borderId="54" xfId="0" applyNumberFormat="1" applyFont="1" applyFill="1" applyBorder="1" applyAlignment="1">
      <alignment horizontal="center" vertical="center"/>
    </xf>
    <xf numFmtId="164" fontId="53" fillId="8" borderId="11" xfId="0" applyNumberFormat="1" applyFont="1" applyFill="1" applyBorder="1" applyAlignment="1">
      <alignment horizontal="center" vertical="center"/>
    </xf>
    <xf numFmtId="164" fontId="53" fillId="8" borderId="38" xfId="0" applyNumberFormat="1" applyFont="1" applyFill="1" applyBorder="1" applyAlignment="1">
      <alignment horizontal="center" vertical="center"/>
    </xf>
    <xf numFmtId="0" fontId="53" fillId="0" borderId="102" xfId="0" applyFont="1" applyBorder="1" applyAlignment="1">
      <alignment horizontal="center" vertical="center"/>
    </xf>
    <xf numFmtId="0" fontId="53" fillId="0" borderId="103" xfId="0" applyFont="1" applyBorder="1" applyAlignment="1">
      <alignment horizontal="center" vertical="center"/>
    </xf>
    <xf numFmtId="0" fontId="53" fillId="0" borderId="90" xfId="0" applyFont="1" applyBorder="1" applyAlignment="1">
      <alignment horizontal="center" vertical="center"/>
    </xf>
    <xf numFmtId="164" fontId="53" fillId="8" borderId="56" xfId="0" applyNumberFormat="1" applyFont="1" applyFill="1" applyBorder="1" applyAlignment="1">
      <alignment horizontal="center" vertical="center"/>
    </xf>
    <xf numFmtId="164" fontId="53" fillId="8" borderId="42" xfId="0" applyNumberFormat="1" applyFont="1" applyFill="1" applyBorder="1" applyAlignment="1">
      <alignment horizontal="center" vertical="center"/>
    </xf>
    <xf numFmtId="164" fontId="53" fillId="8" borderId="43" xfId="0" applyNumberFormat="1" applyFont="1" applyFill="1" applyBorder="1" applyAlignment="1">
      <alignment horizontal="center" vertical="center"/>
    </xf>
    <xf numFmtId="0" fontId="53" fillId="0" borderId="92" xfId="0" applyFont="1" applyBorder="1" applyAlignment="1">
      <alignment horizontal="right" vertical="center"/>
    </xf>
    <xf numFmtId="0" fontId="54" fillId="0" borderId="84" xfId="0" applyFont="1" applyBorder="1" applyAlignment="1">
      <alignment horizontal="center" vertical="center"/>
    </xf>
    <xf numFmtId="0" fontId="54" fillId="0" borderId="73" xfId="0" applyFont="1" applyBorder="1" applyAlignment="1">
      <alignment horizontal="center" vertical="center"/>
    </xf>
    <xf numFmtId="0" fontId="54" fillId="0" borderId="85" xfId="0" applyFont="1" applyBorder="1" applyAlignment="1">
      <alignment horizontal="center" vertical="center"/>
    </xf>
    <xf numFmtId="0" fontId="53" fillId="0" borderId="51" xfId="0" applyFont="1" applyBorder="1" applyAlignment="1">
      <alignment horizontal="center" vertical="center"/>
    </xf>
    <xf numFmtId="0" fontId="54" fillId="0" borderId="86" xfId="0" applyFont="1" applyBorder="1" applyAlignment="1">
      <alignment horizontal="center" vertical="center"/>
    </xf>
    <xf numFmtId="0" fontId="54" fillId="0" borderId="87" xfId="0" applyFont="1" applyBorder="1" applyAlignment="1">
      <alignment horizontal="center" vertical="center"/>
    </xf>
    <xf numFmtId="0" fontId="54" fillId="0" borderId="88" xfId="0" applyFont="1" applyBorder="1" applyAlignment="1">
      <alignment horizontal="center" vertical="center"/>
    </xf>
    <xf numFmtId="0" fontId="53" fillId="0" borderId="91" xfId="0" applyFont="1" applyBorder="1" applyAlignment="1">
      <alignment horizontal="center" vertical="center"/>
    </xf>
    <xf numFmtId="0" fontId="53" fillId="0" borderId="96" xfId="0" applyFont="1" applyBorder="1" applyAlignment="1">
      <alignment horizontal="center" vertical="center"/>
    </xf>
    <xf numFmtId="0" fontId="53" fillId="0" borderId="97" xfId="0" applyFont="1" applyBorder="1" applyAlignment="1">
      <alignment horizontal="center" vertical="center"/>
    </xf>
    <xf numFmtId="0" fontId="53" fillId="0" borderId="98" xfId="0" applyFont="1" applyBorder="1" applyAlignment="1">
      <alignment horizontal="center" vertical="center"/>
    </xf>
    <xf numFmtId="0" fontId="54" fillId="0" borderId="96" xfId="0" applyFont="1" applyBorder="1" applyAlignment="1">
      <alignment horizontal="center" vertical="center"/>
    </xf>
    <xf numFmtId="0" fontId="54" fillId="0" borderId="97" xfId="0" applyFont="1" applyBorder="1" applyAlignment="1">
      <alignment horizontal="center" vertical="center"/>
    </xf>
    <xf numFmtId="0" fontId="54" fillId="0" borderId="98" xfId="0" applyFont="1" applyBorder="1" applyAlignment="1">
      <alignment horizontal="center" vertical="center"/>
    </xf>
    <xf numFmtId="0" fontId="53" fillId="0" borderId="99" xfId="0" applyFont="1" applyBorder="1" applyAlignment="1">
      <alignment horizontal="center" vertical="center"/>
    </xf>
    <xf numFmtId="0" fontId="53" fillId="0" borderId="80" xfId="0" applyFont="1" applyBorder="1" applyAlignment="1">
      <alignment horizontal="center" vertical="center"/>
    </xf>
    <xf numFmtId="0" fontId="53" fillId="0" borderId="93" xfId="0" applyFont="1" applyBorder="1" applyAlignment="1">
      <alignment horizontal="center" vertical="center"/>
    </xf>
    <xf numFmtId="0" fontId="56" fillId="0" borderId="78" xfId="0" applyFont="1" applyBorder="1" applyAlignment="1">
      <alignment vertical="center"/>
    </xf>
    <xf numFmtId="164" fontId="53" fillId="8" borderId="59" xfId="0" applyNumberFormat="1" applyFont="1" applyFill="1" applyBorder="1" applyAlignment="1">
      <alignment horizontal="center" vertical="center"/>
    </xf>
    <xf numFmtId="164" fontId="53" fillId="8" borderId="60" xfId="0" applyNumberFormat="1" applyFont="1" applyFill="1" applyBorder="1" applyAlignment="1">
      <alignment horizontal="center" vertical="center"/>
    </xf>
    <xf numFmtId="164" fontId="53" fillId="8" borderId="61" xfId="0" applyNumberFormat="1" applyFont="1" applyFill="1" applyBorder="1" applyAlignment="1">
      <alignment horizontal="center" vertical="center"/>
    </xf>
    <xf numFmtId="0" fontId="53" fillId="0" borderId="104" xfId="0" applyFont="1" applyBorder="1" applyAlignment="1">
      <alignment vertical="center"/>
    </xf>
    <xf numFmtId="0" fontId="53" fillId="0" borderId="100" xfId="0" applyFont="1" applyBorder="1" applyAlignment="1">
      <alignment vertical="center"/>
    </xf>
    <xf numFmtId="0" fontId="62" fillId="0" borderId="100" xfId="0" applyFont="1" applyBorder="1" applyAlignment="1">
      <alignment vertical="center"/>
    </xf>
    <xf numFmtId="0" fontId="56" fillId="0" borderId="100" xfId="0" applyFont="1" applyBorder="1" applyAlignment="1">
      <alignment vertical="center"/>
    </xf>
    <xf numFmtId="0" fontId="53" fillId="0" borderId="105" xfId="0" applyFont="1" applyBorder="1" applyAlignment="1">
      <alignment vertical="center"/>
    </xf>
    <xf numFmtId="0" fontId="54" fillId="0" borderId="17" xfId="0" applyFont="1" applyBorder="1" applyAlignment="1">
      <alignment vertical="center"/>
    </xf>
    <xf numFmtId="0" fontId="53" fillId="0" borderId="62" xfId="0" applyFont="1" applyBorder="1" applyAlignment="1">
      <alignment horizontal="center" vertical="center"/>
    </xf>
    <xf numFmtId="0" fontId="53" fillId="8" borderId="51" xfId="0" applyFont="1" applyFill="1" applyBorder="1" applyAlignment="1">
      <alignment horizontal="center" vertical="center"/>
    </xf>
    <xf numFmtId="0" fontId="53" fillId="8" borderId="52" xfId="0" applyFont="1" applyFill="1" applyBorder="1" applyAlignment="1">
      <alignment horizontal="center" vertical="center"/>
    </xf>
    <xf numFmtId="10" fontId="53" fillId="0" borderId="53" xfId="0" applyNumberFormat="1" applyFont="1" applyBorder="1" applyAlignment="1">
      <alignment horizontal="center" vertical="center"/>
    </xf>
    <xf numFmtId="2" fontId="53" fillId="0" borderId="45" xfId="0" applyNumberFormat="1" applyFont="1" applyBorder="1" applyAlignment="1">
      <alignment horizontal="center" vertical="center"/>
    </xf>
    <xf numFmtId="0" fontId="53" fillId="0" borderId="63" xfId="0" applyFont="1" applyBorder="1" applyAlignment="1">
      <alignment horizontal="center" vertical="center"/>
    </xf>
    <xf numFmtId="0" fontId="53" fillId="8" borderId="54" xfId="0" applyFont="1" applyFill="1" applyBorder="1" applyAlignment="1">
      <alignment horizontal="center" vertical="center"/>
    </xf>
    <xf numFmtId="10" fontId="53" fillId="0" borderId="38" xfId="0" applyNumberFormat="1" applyFont="1" applyBorder="1" applyAlignment="1">
      <alignment horizontal="center" vertical="center"/>
    </xf>
    <xf numFmtId="0" fontId="53" fillId="0" borderId="64" xfId="0" applyFont="1" applyBorder="1" applyAlignment="1">
      <alignment horizontal="center" vertical="center"/>
    </xf>
    <xf numFmtId="0" fontId="53" fillId="8" borderId="56" xfId="0" applyFont="1" applyFill="1" applyBorder="1" applyAlignment="1">
      <alignment horizontal="center" vertical="center"/>
    </xf>
    <xf numFmtId="0" fontId="53" fillId="8" borderId="42" xfId="0" applyFont="1" applyFill="1" applyBorder="1" applyAlignment="1">
      <alignment horizontal="center" vertical="center"/>
    </xf>
    <xf numFmtId="10" fontId="53" fillId="0" borderId="43" xfId="0" applyNumberFormat="1" applyFont="1" applyBorder="1" applyAlignment="1">
      <alignment horizontal="center" vertical="center"/>
    </xf>
    <xf numFmtId="10" fontId="53" fillId="0" borderId="45" xfId="9" applyNumberFormat="1" applyFont="1" applyBorder="1" applyAlignment="1">
      <alignment horizontal="center" vertical="center"/>
    </xf>
    <xf numFmtId="10" fontId="53" fillId="0" borderId="108" xfId="9" applyNumberFormat="1" applyFont="1" applyBorder="1" applyAlignment="1">
      <alignment horizontal="center" vertical="center"/>
    </xf>
    <xf numFmtId="10" fontId="53" fillId="0" borderId="0" xfId="0" applyNumberFormat="1" applyFont="1" applyAlignment="1">
      <alignment horizontal="center" vertical="center"/>
    </xf>
    <xf numFmtId="2" fontId="53" fillId="0" borderId="73" xfId="0" applyNumberFormat="1" applyFont="1" applyBorder="1" applyAlignment="1">
      <alignment horizontal="center" vertical="center"/>
    </xf>
    <xf numFmtId="10" fontId="53" fillId="0" borderId="110" xfId="9" applyNumberFormat="1" applyFont="1" applyBorder="1" applyAlignment="1">
      <alignment horizontal="center" vertical="center"/>
    </xf>
    <xf numFmtId="0" fontId="53" fillId="0" borderId="30" xfId="0" applyFont="1" applyBorder="1" applyAlignment="1">
      <alignment horizontal="center" vertical="center"/>
    </xf>
    <xf numFmtId="10" fontId="53" fillId="0" borderId="164" xfId="9" applyNumberFormat="1" applyFont="1" applyBorder="1" applyAlignment="1">
      <alignment horizontal="center" vertical="center"/>
    </xf>
    <xf numFmtId="10" fontId="53" fillId="0" borderId="114" xfId="9" applyNumberFormat="1" applyFont="1" applyBorder="1" applyAlignment="1">
      <alignment horizontal="center" vertical="center"/>
    </xf>
    <xf numFmtId="0" fontId="53" fillId="0" borderId="83" xfId="0" applyFont="1" applyBorder="1" applyAlignment="1">
      <alignment horizontal="center" vertical="center"/>
    </xf>
    <xf numFmtId="10" fontId="53" fillId="0" borderId="83" xfId="9" applyNumberFormat="1" applyFont="1" applyBorder="1" applyAlignment="1">
      <alignment horizontal="center" vertical="center"/>
    </xf>
    <xf numFmtId="0" fontId="53" fillId="0" borderId="100" xfId="0" applyFont="1" applyBorder="1" applyAlignment="1">
      <alignment horizontal="right" vertical="center"/>
    </xf>
    <xf numFmtId="0" fontId="54" fillId="0" borderId="100" xfId="0" applyFont="1" applyBorder="1" applyAlignment="1">
      <alignment vertical="center"/>
    </xf>
    <xf numFmtId="0" fontId="53" fillId="0" borderId="10" xfId="0" applyFont="1" applyBorder="1" applyAlignment="1">
      <alignment horizontal="center" vertical="center"/>
    </xf>
    <xf numFmtId="164" fontId="53" fillId="0" borderId="52" xfId="0" applyNumberFormat="1" applyFont="1" applyBorder="1" applyAlignment="1">
      <alignment horizontal="center" vertical="center"/>
    </xf>
    <xf numFmtId="2" fontId="53" fillId="0" borderId="52" xfId="0" applyNumberFormat="1" applyFont="1" applyBorder="1" applyAlignment="1">
      <alignment horizontal="center" vertical="center"/>
    </xf>
    <xf numFmtId="167" fontId="54" fillId="0" borderId="53" xfId="0" applyNumberFormat="1" applyFont="1" applyBorder="1" applyAlignment="1">
      <alignment horizontal="center" vertical="center"/>
    </xf>
    <xf numFmtId="10" fontId="53" fillId="0" borderId="11" xfId="9" applyNumberFormat="1" applyFont="1" applyBorder="1" applyAlignment="1">
      <alignment horizontal="center" vertical="center"/>
    </xf>
    <xf numFmtId="10" fontId="53" fillId="0" borderId="38" xfId="9" applyNumberFormat="1" applyFont="1" applyBorder="1" applyAlignment="1">
      <alignment horizontal="center" vertical="center"/>
    </xf>
    <xf numFmtId="167" fontId="53" fillId="0" borderId="0" xfId="0" applyNumberFormat="1" applyFont="1" applyAlignment="1">
      <alignment vertical="center"/>
    </xf>
    <xf numFmtId="2" fontId="53" fillId="0" borderId="11" xfId="0" applyNumberFormat="1" applyFont="1" applyBorder="1" applyAlignment="1">
      <alignment horizontal="center" vertical="center"/>
    </xf>
    <xf numFmtId="167" fontId="54" fillId="0" borderId="38" xfId="0" applyNumberFormat="1" applyFont="1" applyBorder="1" applyAlignment="1">
      <alignment horizontal="center" vertical="center"/>
    </xf>
    <xf numFmtId="0" fontId="53" fillId="0" borderId="119" xfId="0" applyFont="1" applyBorder="1" applyAlignment="1">
      <alignment horizontal="center" vertical="center"/>
    </xf>
    <xf numFmtId="0" fontId="53" fillId="0" borderId="120" xfId="0" applyFont="1" applyBorder="1" applyAlignment="1">
      <alignment horizontal="center" vertical="center"/>
    </xf>
    <xf numFmtId="0" fontId="53" fillId="0" borderId="121" xfId="0" applyFont="1" applyBorder="1" applyAlignment="1">
      <alignment vertical="center"/>
    </xf>
    <xf numFmtId="0" fontId="53" fillId="0" borderId="95" xfId="0" applyFont="1" applyBorder="1" applyAlignment="1">
      <alignment vertical="center"/>
    </xf>
    <xf numFmtId="164" fontId="53" fillId="8" borderId="65" xfId="0" applyNumberFormat="1" applyFont="1" applyFill="1" applyBorder="1" applyAlignment="1">
      <alignment horizontal="center" vertical="center"/>
    </xf>
    <xf numFmtId="164" fontId="53" fillId="8" borderId="30" xfId="0" applyNumberFormat="1" applyFont="1" applyFill="1" applyBorder="1" applyAlignment="1">
      <alignment horizontal="center" vertical="center"/>
    </xf>
    <xf numFmtId="164" fontId="53" fillId="0" borderId="30" xfId="0" applyNumberFormat="1" applyFont="1" applyBorder="1" applyAlignment="1">
      <alignment horizontal="center" vertical="center"/>
    </xf>
    <xf numFmtId="2" fontId="53" fillId="0" borderId="30" xfId="0" applyNumberFormat="1" applyFont="1" applyBorder="1" applyAlignment="1">
      <alignment horizontal="center" vertical="center"/>
    </xf>
    <xf numFmtId="167" fontId="54" fillId="0" borderId="31" xfId="0" applyNumberFormat="1" applyFont="1" applyBorder="1" applyAlignment="1">
      <alignment horizontal="center" vertical="center"/>
    </xf>
    <xf numFmtId="164" fontId="53" fillId="0" borderId="96" xfId="0" applyNumberFormat="1" applyFont="1" applyBorder="1" applyAlignment="1">
      <alignment horizontal="center" vertical="center"/>
    </xf>
    <xf numFmtId="164" fontId="53" fillId="0" borderId="97" xfId="0" applyNumberFormat="1" applyFont="1" applyBorder="1" applyAlignment="1">
      <alignment horizontal="center" vertical="center"/>
    </xf>
    <xf numFmtId="164" fontId="53" fillId="0" borderId="98" xfId="0" applyNumberFormat="1" applyFont="1" applyBorder="1" applyAlignment="1">
      <alignment horizontal="center" vertical="center"/>
    </xf>
    <xf numFmtId="10" fontId="53" fillId="0" borderId="84" xfId="9" applyNumberFormat="1" applyFont="1" applyBorder="1" applyAlignment="1">
      <alignment horizontal="center" vertical="center"/>
    </xf>
    <xf numFmtId="10" fontId="53" fillId="0" borderId="85" xfId="9" applyNumberFormat="1" applyFont="1" applyBorder="1" applyAlignment="1">
      <alignment horizontal="center" vertical="center"/>
    </xf>
    <xf numFmtId="164" fontId="53" fillId="0" borderId="51" xfId="0" applyNumberFormat="1" applyFont="1" applyBorder="1" applyAlignment="1">
      <alignment horizontal="center" vertical="center"/>
    </xf>
    <xf numFmtId="164" fontId="53" fillId="0" borderId="84" xfId="0" applyNumberFormat="1" applyFont="1" applyBorder="1" applyAlignment="1">
      <alignment horizontal="center" vertical="center"/>
    </xf>
    <xf numFmtId="164" fontId="53" fillId="0" borderId="73" xfId="0" applyNumberFormat="1" applyFont="1" applyBorder="1" applyAlignment="1">
      <alignment horizontal="center" vertical="center"/>
    </xf>
    <xf numFmtId="164" fontId="53" fillId="0" borderId="85" xfId="0" applyNumberFormat="1" applyFont="1" applyBorder="1" applyAlignment="1">
      <alignment horizontal="center" vertical="center"/>
    </xf>
    <xf numFmtId="164" fontId="53" fillId="0" borderId="54" xfId="0" applyNumberFormat="1" applyFont="1" applyBorder="1" applyAlignment="1">
      <alignment horizontal="center" vertical="center"/>
    </xf>
    <xf numFmtId="10" fontId="53" fillId="0" borderId="56" xfId="0" applyNumberFormat="1" applyFont="1" applyBorder="1" applyAlignment="1">
      <alignment horizontal="center" vertical="center"/>
    </xf>
    <xf numFmtId="10" fontId="53" fillId="0" borderId="42" xfId="0" applyNumberFormat="1" applyFont="1" applyBorder="1" applyAlignment="1">
      <alignment horizontal="center" vertical="center"/>
    </xf>
    <xf numFmtId="10" fontId="54" fillId="0" borderId="43" xfId="0" applyNumberFormat="1" applyFont="1" applyBorder="1" applyAlignment="1">
      <alignment horizontal="center" vertical="center"/>
    </xf>
    <xf numFmtId="164" fontId="53" fillId="0" borderId="115" xfId="0" applyNumberFormat="1" applyFont="1" applyBorder="1" applyAlignment="1">
      <alignment horizontal="center" vertical="center"/>
    </xf>
    <xf numFmtId="164" fontId="53" fillId="0" borderId="114" xfId="0" applyNumberFormat="1" applyFont="1" applyBorder="1" applyAlignment="1">
      <alignment horizontal="center" vertical="center"/>
    </xf>
    <xf numFmtId="164" fontId="53" fillId="0" borderId="116" xfId="0" applyNumberFormat="1" applyFont="1" applyBorder="1" applyAlignment="1">
      <alignment horizontal="center" vertical="center"/>
    </xf>
    <xf numFmtId="10" fontId="53" fillId="0" borderId="115" xfId="9" applyNumberFormat="1" applyFont="1" applyBorder="1" applyAlignment="1">
      <alignment horizontal="center" vertical="center"/>
    </xf>
    <xf numFmtId="10" fontId="53" fillId="0" borderId="116" xfId="9" applyNumberFormat="1" applyFont="1" applyBorder="1" applyAlignment="1">
      <alignment horizontal="center" vertical="center"/>
    </xf>
    <xf numFmtId="0" fontId="53" fillId="0" borderId="117" xfId="0" applyFont="1" applyBorder="1" applyAlignment="1">
      <alignment horizontal="right" vertical="center"/>
    </xf>
    <xf numFmtId="164" fontId="53" fillId="0" borderId="93" xfId="0" applyNumberFormat="1" applyFont="1" applyBorder="1" applyAlignment="1">
      <alignment horizontal="center" vertical="center"/>
    </xf>
    <xf numFmtId="164" fontId="53" fillId="0" borderId="94" xfId="0" applyNumberFormat="1" applyFont="1" applyBorder="1" applyAlignment="1">
      <alignment horizontal="center" vertical="center"/>
    </xf>
    <xf numFmtId="164" fontId="53" fillId="0" borderId="95" xfId="0" applyNumberFormat="1" applyFont="1" applyBorder="1" applyAlignment="1">
      <alignment horizontal="center" vertical="center"/>
    </xf>
    <xf numFmtId="10" fontId="53" fillId="0" borderId="82" xfId="9" applyNumberFormat="1" applyFont="1" applyBorder="1" applyAlignment="1">
      <alignment horizontal="center" vertical="center"/>
    </xf>
    <xf numFmtId="0" fontId="54" fillId="0" borderId="16" xfId="0" applyFont="1" applyBorder="1" applyAlignment="1">
      <alignment vertical="center"/>
    </xf>
    <xf numFmtId="0" fontId="54" fillId="0" borderId="18" xfId="0" applyFont="1" applyBorder="1" applyAlignment="1">
      <alignment vertical="center"/>
    </xf>
    <xf numFmtId="10" fontId="53" fillId="0" borderId="86" xfId="9" applyNumberFormat="1" applyFont="1" applyBorder="1" applyAlignment="1">
      <alignment horizontal="center" vertical="center"/>
    </xf>
    <xf numFmtId="10" fontId="53" fillId="0" borderId="87" xfId="9" applyNumberFormat="1" applyFont="1" applyBorder="1" applyAlignment="1">
      <alignment horizontal="center" vertical="center"/>
    </xf>
    <xf numFmtId="10" fontId="53" fillId="0" borderId="88" xfId="9" applyNumberFormat="1" applyFont="1" applyBorder="1" applyAlignment="1">
      <alignment horizontal="center" vertical="center"/>
    </xf>
    <xf numFmtId="0" fontId="54" fillId="0" borderId="5" xfId="0" applyFont="1" applyBorder="1" applyAlignment="1">
      <alignment vertical="center"/>
    </xf>
    <xf numFmtId="0" fontId="54" fillId="0" borderId="6" xfId="0" applyFont="1" applyBorder="1" applyAlignment="1">
      <alignment vertical="center"/>
    </xf>
    <xf numFmtId="164" fontId="53" fillId="0" borderId="82" xfId="0" applyNumberFormat="1" applyFont="1" applyBorder="1" applyAlignment="1">
      <alignment horizontal="center" vertical="center"/>
    </xf>
    <xf numFmtId="0" fontId="54" fillId="0" borderId="9" xfId="0" applyFont="1" applyBorder="1" applyAlignment="1">
      <alignment vertical="center"/>
    </xf>
    <xf numFmtId="0" fontId="53" fillId="0" borderId="47" xfId="0" applyFont="1" applyBorder="1" applyAlignment="1">
      <alignment horizontal="right" vertical="center"/>
    </xf>
    <xf numFmtId="0" fontId="54" fillId="0" borderId="10" xfId="0" applyFont="1" applyBorder="1" applyAlignment="1">
      <alignment vertical="center"/>
    </xf>
    <xf numFmtId="10" fontId="53" fillId="0" borderId="11" xfId="0" applyNumberFormat="1" applyFont="1" applyBorder="1" applyAlignment="1">
      <alignment horizontal="center" vertical="center"/>
    </xf>
    <xf numFmtId="164" fontId="53" fillId="22" borderId="47" xfId="0" applyNumberFormat="1" applyFont="1" applyFill="1" applyBorder="1" applyAlignment="1" applyProtection="1">
      <alignment horizontal="center" vertical="center"/>
      <protection locked="0"/>
    </xf>
    <xf numFmtId="164" fontId="53" fillId="22" borderId="11" xfId="0" applyNumberFormat="1" applyFont="1" applyFill="1" applyBorder="1" applyAlignment="1" applyProtection="1">
      <alignment horizontal="center" vertical="center"/>
      <protection locked="0"/>
    </xf>
    <xf numFmtId="0" fontId="53" fillId="0" borderId="93" xfId="0" applyFont="1" applyBorder="1" applyAlignment="1">
      <alignment horizontal="right" vertical="center"/>
    </xf>
    <xf numFmtId="0" fontId="53" fillId="0" borderId="84" xfId="0" applyFont="1" applyBorder="1" applyAlignment="1">
      <alignment horizontal="right" vertical="center"/>
    </xf>
    <xf numFmtId="165" fontId="53" fillId="0" borderId="84" xfId="9" applyNumberFormat="1" applyFont="1" applyBorder="1" applyAlignment="1">
      <alignment horizontal="center" vertical="center"/>
    </xf>
    <xf numFmtId="165" fontId="53" fillId="0" borderId="73" xfId="9" applyNumberFormat="1" applyFont="1" applyBorder="1" applyAlignment="1">
      <alignment horizontal="center" vertical="center"/>
    </xf>
    <xf numFmtId="165" fontId="53" fillId="0" borderId="85" xfId="9" applyNumberFormat="1" applyFont="1" applyBorder="1" applyAlignment="1">
      <alignment horizontal="center" vertical="center"/>
    </xf>
    <xf numFmtId="10" fontId="53" fillId="0" borderId="30" xfId="0" applyNumberFormat="1" applyFont="1" applyBorder="1" applyAlignment="1">
      <alignment horizontal="center" vertical="center"/>
    </xf>
    <xf numFmtId="165" fontId="53" fillId="0" borderId="86" xfId="9" applyNumberFormat="1" applyFont="1" applyBorder="1" applyAlignment="1">
      <alignment horizontal="center" vertical="center"/>
    </xf>
    <xf numFmtId="165" fontId="53" fillId="0" borderId="87" xfId="9" applyNumberFormat="1" applyFont="1" applyBorder="1" applyAlignment="1">
      <alignment horizontal="center" vertical="center"/>
    </xf>
    <xf numFmtId="165" fontId="53" fillId="0" borderId="88" xfId="9" applyNumberFormat="1" applyFont="1" applyBorder="1" applyAlignment="1">
      <alignment horizontal="center" vertical="center"/>
    </xf>
    <xf numFmtId="0" fontId="53" fillId="0" borderId="86" xfId="0" applyFont="1" applyBorder="1" applyAlignment="1">
      <alignment horizontal="right" vertical="center"/>
    </xf>
    <xf numFmtId="0" fontId="53" fillId="8" borderId="20" xfId="0" applyFont="1" applyFill="1" applyBorder="1" applyAlignment="1">
      <alignment horizontal="center"/>
    </xf>
    <xf numFmtId="167" fontId="53" fillId="0" borderId="48" xfId="0" applyNumberFormat="1" applyFont="1" applyBorder="1" applyAlignment="1">
      <alignment horizontal="center" vertical="center"/>
    </xf>
    <xf numFmtId="164" fontId="53" fillId="0" borderId="20" xfId="0" applyNumberFormat="1" applyFont="1" applyBorder="1" applyAlignment="1">
      <alignment horizontal="center" vertical="center"/>
    </xf>
    <xf numFmtId="2" fontId="53" fillId="6" borderId="22" xfId="0" applyNumberFormat="1" applyFont="1" applyFill="1" applyBorder="1" applyAlignment="1">
      <alignment horizontal="center" vertical="center"/>
    </xf>
    <xf numFmtId="1" fontId="53" fillId="0" borderId="11" xfId="0" applyNumberFormat="1" applyFont="1" applyBorder="1" applyAlignment="1">
      <alignment horizontal="center" vertical="center"/>
    </xf>
    <xf numFmtId="2" fontId="53" fillId="0" borderId="47" xfId="0" applyNumberFormat="1" applyFont="1" applyBorder="1" applyAlignment="1">
      <alignment horizontal="center" vertical="center"/>
    </xf>
    <xf numFmtId="165" fontId="53" fillId="0" borderId="20" xfId="0" applyNumberFormat="1" applyFont="1" applyBorder="1" applyAlignment="1">
      <alignment horizontal="center" vertical="center"/>
    </xf>
    <xf numFmtId="167" fontId="53" fillId="0" borderId="52" xfId="0" applyNumberFormat="1" applyFont="1" applyBorder="1" applyAlignment="1">
      <alignment horizontal="center" vertical="center"/>
    </xf>
    <xf numFmtId="2" fontId="53" fillId="0" borderId="53" xfId="0" applyNumberFormat="1" applyFont="1" applyBorder="1" applyAlignment="1">
      <alignment horizontal="center" vertical="center"/>
    </xf>
    <xf numFmtId="2" fontId="53" fillId="0" borderId="38" xfId="0" applyNumberFormat="1" applyFont="1" applyBorder="1" applyAlignment="1">
      <alignment horizontal="center" vertical="center"/>
    </xf>
    <xf numFmtId="164" fontId="53" fillId="0" borderId="22" xfId="0" applyNumberFormat="1" applyFont="1" applyBorder="1" applyAlignment="1">
      <alignment horizontal="center" vertical="center"/>
    </xf>
    <xf numFmtId="164" fontId="53" fillId="0" borderId="56" xfId="0" applyNumberFormat="1" applyFont="1" applyBorder="1" applyAlignment="1">
      <alignment horizontal="center" vertical="center"/>
    </xf>
    <xf numFmtId="164" fontId="53" fillId="0" borderId="42" xfId="0" applyNumberFormat="1" applyFont="1" applyBorder="1" applyAlignment="1">
      <alignment horizontal="center" vertical="center"/>
    </xf>
    <xf numFmtId="167" fontId="53" fillId="0" borderId="42" xfId="0" applyNumberFormat="1" applyFont="1" applyBorder="1" applyAlignment="1">
      <alignment horizontal="center" vertical="center"/>
    </xf>
    <xf numFmtId="2" fontId="53" fillId="0" borderId="43" xfId="0" applyNumberFormat="1" applyFont="1" applyBorder="1" applyAlignment="1">
      <alignment horizontal="center" vertical="center"/>
    </xf>
    <xf numFmtId="165" fontId="53" fillId="0" borderId="22" xfId="0" applyNumberFormat="1" applyFont="1" applyBorder="1" applyAlignment="1">
      <alignment horizontal="center" vertical="center"/>
    </xf>
    <xf numFmtId="0" fontId="53" fillId="20" borderId="73" xfId="0" applyFont="1" applyFill="1" applyBorder="1" applyAlignment="1">
      <alignment horizontal="center" vertical="center"/>
    </xf>
    <xf numFmtId="0" fontId="53" fillId="19" borderId="73" xfId="0" applyFont="1" applyFill="1" applyBorder="1" applyAlignment="1">
      <alignment horizontal="center" vertical="center"/>
    </xf>
    <xf numFmtId="0" fontId="53" fillId="20" borderId="87" xfId="0" applyFont="1" applyFill="1" applyBorder="1" applyAlignment="1">
      <alignment horizontal="center" vertical="center"/>
    </xf>
    <xf numFmtId="0" fontId="53" fillId="19" borderId="87" xfId="0" applyFont="1" applyFill="1" applyBorder="1" applyAlignment="1">
      <alignment horizontal="center" vertical="center"/>
    </xf>
    <xf numFmtId="164" fontId="53" fillId="0" borderId="87" xfId="0" applyNumberFormat="1" applyFont="1" applyBorder="1" applyAlignment="1">
      <alignment horizontal="center" vertical="center"/>
    </xf>
    <xf numFmtId="0" fontId="53" fillId="0" borderId="78" xfId="0" applyFont="1" applyBorder="1" applyAlignment="1">
      <alignment vertical="center"/>
    </xf>
    <xf numFmtId="0" fontId="53" fillId="0" borderId="117" xfId="0" applyFont="1" applyBorder="1" applyAlignment="1">
      <alignment vertical="center"/>
    </xf>
    <xf numFmtId="0" fontId="53" fillId="0" borderId="8" xfId="0" applyFont="1" applyBorder="1" applyAlignment="1">
      <alignment horizontal="center" vertical="center"/>
    </xf>
    <xf numFmtId="0" fontId="52" fillId="0" borderId="78" xfId="0" applyFont="1" applyBorder="1" applyAlignment="1">
      <alignment vertical="center"/>
    </xf>
    <xf numFmtId="2" fontId="53" fillId="0" borderId="118" xfId="0" applyNumberFormat="1" applyFont="1" applyBorder="1" applyAlignment="1">
      <alignment horizontal="center" vertical="center"/>
    </xf>
    <xf numFmtId="2" fontId="53" fillId="0" borderId="91" xfId="0" applyNumberFormat="1" applyFont="1" applyBorder="1" applyAlignment="1">
      <alignment horizontal="center" vertical="center"/>
    </xf>
    <xf numFmtId="2" fontId="53" fillId="0" borderId="89" xfId="0" applyNumberFormat="1" applyFont="1" applyBorder="1" applyAlignment="1">
      <alignment horizontal="center" vertical="center"/>
    </xf>
    <xf numFmtId="0" fontId="53" fillId="0" borderId="89" xfId="0" applyFont="1" applyBorder="1" applyAlignment="1">
      <alignment horizontal="center" vertical="center"/>
    </xf>
    <xf numFmtId="2" fontId="53" fillId="0" borderId="44" xfId="0" applyNumberFormat="1" applyFont="1" applyBorder="1" applyAlignment="1">
      <alignment horizontal="center" vertical="center"/>
    </xf>
    <xf numFmtId="10" fontId="53" fillId="0" borderId="44" xfId="0" applyNumberFormat="1" applyFont="1" applyBorder="1" applyAlignment="1">
      <alignment horizontal="center" vertical="center"/>
    </xf>
    <xf numFmtId="0" fontId="53" fillId="0" borderId="2" xfId="0" applyFont="1" applyBorder="1" applyAlignment="1">
      <alignment horizontal="right" vertical="center"/>
    </xf>
    <xf numFmtId="0" fontId="53" fillId="0" borderId="69" xfId="0" applyFont="1" applyBorder="1" applyAlignment="1">
      <alignment horizontal="center" vertical="center"/>
    </xf>
    <xf numFmtId="0" fontId="53" fillId="0" borderId="69" xfId="0" applyFont="1" applyBorder="1" applyAlignment="1">
      <alignment horizontal="left" vertical="center"/>
    </xf>
    <xf numFmtId="2" fontId="53" fillId="0" borderId="94" xfId="0" applyNumberFormat="1" applyFont="1" applyBorder="1" applyAlignment="1">
      <alignment horizontal="center" vertical="center"/>
    </xf>
    <xf numFmtId="167" fontId="53" fillId="0" borderId="94" xfId="0" applyNumberFormat="1" applyFont="1" applyBorder="1" applyAlignment="1">
      <alignment horizontal="center" vertical="center"/>
    </xf>
    <xf numFmtId="10" fontId="53" fillId="0" borderId="95" xfId="9" applyNumberFormat="1" applyFont="1" applyBorder="1" applyAlignment="1">
      <alignment horizontal="center" vertical="center"/>
    </xf>
    <xf numFmtId="167" fontId="53" fillId="0" borderId="73" xfId="0" applyNumberFormat="1" applyFont="1" applyBorder="1" applyAlignment="1">
      <alignment horizontal="center" vertical="center"/>
    </xf>
    <xf numFmtId="2" fontId="53" fillId="0" borderId="120" xfId="0" applyNumberFormat="1" applyFont="1" applyBorder="1" applyAlignment="1">
      <alignment horizontal="center" vertical="center"/>
    </xf>
    <xf numFmtId="167" fontId="53" fillId="0" borderId="120" xfId="0" applyNumberFormat="1" applyFont="1" applyBorder="1" applyAlignment="1">
      <alignment horizontal="center" vertical="center"/>
    </xf>
    <xf numFmtId="10" fontId="53" fillId="0" borderId="121" xfId="9" applyNumberFormat="1" applyFont="1" applyBorder="1" applyAlignment="1">
      <alignment horizontal="center" vertical="center"/>
    </xf>
    <xf numFmtId="2" fontId="53" fillId="0" borderId="95" xfId="0" applyNumberFormat="1" applyFont="1" applyBorder="1" applyAlignment="1">
      <alignment horizontal="center" vertical="center"/>
    </xf>
    <xf numFmtId="2" fontId="53" fillId="0" borderId="87" xfId="0" applyNumberFormat="1" applyFont="1" applyBorder="1" applyAlignment="1">
      <alignment horizontal="center" vertical="center"/>
    </xf>
    <xf numFmtId="2" fontId="53" fillId="0" borderId="88" xfId="0" applyNumberFormat="1" applyFont="1" applyBorder="1" applyAlignment="1">
      <alignment horizontal="center" vertical="center"/>
    </xf>
    <xf numFmtId="2" fontId="53" fillId="0" borderId="82" xfId="0" applyNumberFormat="1" applyFont="1" applyBorder="1" applyAlignment="1">
      <alignment horizontal="center" vertical="center"/>
    </xf>
    <xf numFmtId="167" fontId="53" fillId="0" borderId="87" xfId="0" applyNumberFormat="1" applyFont="1" applyBorder="1" applyAlignment="1">
      <alignment horizontal="center" vertical="center"/>
    </xf>
    <xf numFmtId="2" fontId="53" fillId="0" borderId="97" xfId="0" applyNumberFormat="1" applyFont="1" applyBorder="1" applyAlignment="1">
      <alignment horizontal="center" vertical="center"/>
    </xf>
    <xf numFmtId="167" fontId="53" fillId="0" borderId="97" xfId="0" applyNumberFormat="1" applyFont="1" applyBorder="1" applyAlignment="1">
      <alignment horizontal="center" vertical="center"/>
    </xf>
    <xf numFmtId="10" fontId="53" fillId="0" borderId="98" xfId="9" applyNumberFormat="1" applyFont="1" applyBorder="1" applyAlignment="1">
      <alignment horizontal="center" vertical="center"/>
    </xf>
    <xf numFmtId="0" fontId="53" fillId="8" borderId="0" xfId="0" applyFont="1" applyFill="1" applyAlignment="1">
      <alignment horizontal="center"/>
    </xf>
    <xf numFmtId="0" fontId="53" fillId="8" borderId="109" xfId="0" applyFont="1" applyFill="1" applyBorder="1" applyAlignment="1">
      <alignment horizontal="center" vertical="center"/>
    </xf>
    <xf numFmtId="0" fontId="53" fillId="19" borderId="84" xfId="0" applyFont="1" applyFill="1" applyBorder="1" applyAlignment="1">
      <alignment horizontal="center" vertical="center"/>
    </xf>
    <xf numFmtId="0" fontId="53" fillId="19" borderId="166" xfId="0" applyFont="1" applyFill="1" applyBorder="1" applyAlignment="1">
      <alignment horizontal="center" vertical="center"/>
    </xf>
    <xf numFmtId="0" fontId="53" fillId="8" borderId="111" xfId="0" applyFont="1" applyFill="1" applyBorder="1" applyAlignment="1">
      <alignment horizontal="center" vertical="center"/>
    </xf>
    <xf numFmtId="0" fontId="53" fillId="8" borderId="112" xfId="0" applyFont="1" applyFill="1" applyBorder="1" applyAlignment="1">
      <alignment horizontal="center" vertical="center"/>
    </xf>
    <xf numFmtId="0" fontId="53" fillId="19" borderId="86" xfId="0" applyFont="1" applyFill="1" applyBorder="1" applyAlignment="1">
      <alignment horizontal="center" vertical="center"/>
    </xf>
    <xf numFmtId="0" fontId="53" fillId="19" borderId="176" xfId="0" applyFont="1" applyFill="1" applyBorder="1" applyAlignment="1">
      <alignment horizontal="center" vertical="center"/>
    </xf>
    <xf numFmtId="0" fontId="53" fillId="0" borderId="152" xfId="0" applyFont="1" applyBorder="1" applyAlignment="1">
      <alignment horizontal="right" vertical="center"/>
    </xf>
    <xf numFmtId="0" fontId="53" fillId="0" borderId="94" xfId="0" applyFont="1" applyBorder="1" applyAlignment="1">
      <alignment horizontal="right" vertical="center"/>
    </xf>
    <xf numFmtId="0" fontId="53" fillId="0" borderId="94" xfId="0" applyFont="1" applyBorder="1" applyAlignment="1">
      <alignment horizontal="center"/>
    </xf>
    <xf numFmtId="0" fontId="53" fillId="8" borderId="94" xfId="0" applyFont="1" applyFill="1" applyBorder="1" applyAlignment="1">
      <alignment horizontal="center"/>
    </xf>
    <xf numFmtId="0" fontId="53" fillId="0" borderId="153" xfId="0" applyFont="1" applyBorder="1" applyAlignment="1">
      <alignment horizontal="center"/>
    </xf>
    <xf numFmtId="0" fontId="53" fillId="0" borderId="154" xfId="0" applyFont="1" applyBorder="1" applyAlignment="1">
      <alignment vertical="center"/>
    </xf>
    <xf numFmtId="0" fontId="53" fillId="0" borderId="155" xfId="0" applyFont="1" applyBorder="1" applyAlignment="1">
      <alignment horizontal="center" vertical="center"/>
    </xf>
    <xf numFmtId="0" fontId="53" fillId="0" borderId="154" xfId="0" applyFont="1" applyBorder="1" applyAlignment="1">
      <alignment horizontal="center" vertical="center"/>
    </xf>
    <xf numFmtId="0" fontId="53" fillId="20" borderId="155" xfId="0" applyFont="1" applyFill="1" applyBorder="1" applyAlignment="1">
      <alignment horizontal="center" vertical="center"/>
    </xf>
    <xf numFmtId="0" fontId="53" fillId="0" borderId="159" xfId="0" applyFont="1" applyBorder="1" applyAlignment="1">
      <alignment horizontal="center" vertical="center"/>
    </xf>
    <xf numFmtId="0" fontId="53" fillId="20" borderId="114" xfId="0" applyFont="1" applyFill="1" applyBorder="1" applyAlignment="1">
      <alignment horizontal="center" vertical="center"/>
    </xf>
    <xf numFmtId="0" fontId="53" fillId="20" borderId="160" xfId="0" applyFont="1" applyFill="1" applyBorder="1" applyAlignment="1">
      <alignment horizontal="center" vertical="center"/>
    </xf>
    <xf numFmtId="0" fontId="53" fillId="0" borderId="161" xfId="0" applyFont="1" applyBorder="1" applyAlignment="1">
      <alignment horizontal="center" vertical="center"/>
    </xf>
    <xf numFmtId="0" fontId="53" fillId="20" borderId="162" xfId="0" applyFont="1" applyFill="1" applyBorder="1" applyAlignment="1">
      <alignment horizontal="center" vertical="center"/>
    </xf>
    <xf numFmtId="0" fontId="53" fillId="19" borderId="162" xfId="0" applyFont="1" applyFill="1" applyBorder="1" applyAlignment="1">
      <alignment horizontal="center" vertical="center"/>
    </xf>
    <xf numFmtId="0" fontId="53" fillId="19" borderId="163" xfId="0" applyFont="1" applyFill="1" applyBorder="1" applyAlignment="1">
      <alignment horizontal="center" vertical="center"/>
    </xf>
    <xf numFmtId="0" fontId="53" fillId="0" borderId="152" xfId="0" applyFont="1" applyBorder="1" applyAlignment="1">
      <alignment vertical="center"/>
    </xf>
    <xf numFmtId="0" fontId="53" fillId="0" borderId="185" xfId="0" applyFont="1" applyBorder="1" applyAlignment="1">
      <alignment vertical="center"/>
    </xf>
    <xf numFmtId="0" fontId="53" fillId="0" borderId="83" xfId="0" applyFont="1" applyBorder="1" applyAlignment="1">
      <alignment vertical="center"/>
    </xf>
    <xf numFmtId="0" fontId="53" fillId="0" borderId="186" xfId="0" applyFont="1" applyBorder="1" applyAlignment="1">
      <alignment vertical="center"/>
    </xf>
    <xf numFmtId="0" fontId="53" fillId="0" borderId="4" xfId="0" applyFont="1" applyBorder="1" applyAlignment="1">
      <alignment horizontal="right" vertical="center"/>
    </xf>
    <xf numFmtId="0" fontId="53" fillId="0" borderId="79" xfId="0" applyFont="1" applyBorder="1" applyAlignment="1">
      <alignment horizontal="center" vertical="center"/>
    </xf>
    <xf numFmtId="0" fontId="53" fillId="0" borderId="83" xfId="0" applyFont="1" applyBorder="1" applyAlignment="1">
      <alignment horizontal="right" vertical="center"/>
    </xf>
    <xf numFmtId="0" fontId="53" fillId="0" borderId="5" xfId="0" applyFont="1" applyBorder="1" applyAlignment="1">
      <alignment horizontal="right" vertical="center"/>
    </xf>
    <xf numFmtId="0" fontId="53" fillId="0" borderId="156" xfId="0" applyFont="1" applyBorder="1" applyAlignment="1">
      <alignment horizontal="center" vertical="center"/>
    </xf>
    <xf numFmtId="2" fontId="53" fillId="0" borderId="84" xfId="0" applyNumberFormat="1" applyFont="1" applyBorder="1" applyAlignment="1">
      <alignment horizontal="center" vertical="center"/>
    </xf>
    <xf numFmtId="2" fontId="53" fillId="0" borderId="85" xfId="0" applyNumberFormat="1" applyFont="1" applyBorder="1" applyAlignment="1">
      <alignment horizontal="center" vertical="center"/>
    </xf>
    <xf numFmtId="0" fontId="53" fillId="0" borderId="16" xfId="0" applyFont="1" applyBorder="1" applyAlignment="1">
      <alignment horizontal="center" vertical="center"/>
    </xf>
    <xf numFmtId="0" fontId="53" fillId="0" borderId="17" xfId="0" applyFont="1" applyBorder="1" applyAlignment="1">
      <alignment horizontal="center" vertical="center"/>
    </xf>
    <xf numFmtId="0" fontId="53" fillId="0" borderId="18" xfId="0" applyFont="1" applyBorder="1" applyAlignment="1">
      <alignment horizontal="center" vertical="center"/>
    </xf>
    <xf numFmtId="0" fontId="53" fillId="0" borderId="50" xfId="0" applyFont="1" applyBorder="1" applyAlignment="1">
      <alignment horizontal="center" vertical="center"/>
    </xf>
    <xf numFmtId="0" fontId="53" fillId="0" borderId="157" xfId="0" applyFont="1" applyBorder="1" applyAlignment="1">
      <alignment horizontal="center" vertical="center"/>
    </xf>
    <xf numFmtId="2" fontId="53" fillId="0" borderId="96" xfId="0" applyNumberFormat="1" applyFont="1" applyBorder="1" applyAlignment="1">
      <alignment horizontal="center" vertical="center"/>
    </xf>
    <xf numFmtId="2" fontId="53" fillId="0" borderId="127" xfId="0" applyNumberFormat="1" applyFont="1" applyBorder="1" applyAlignment="1">
      <alignment horizontal="center" vertical="center"/>
    </xf>
    <xf numFmtId="2" fontId="53" fillId="0" borderId="93" xfId="0" applyNumberFormat="1" applyFont="1" applyBorder="1" applyAlignment="1">
      <alignment horizontal="center" vertical="center"/>
    </xf>
    <xf numFmtId="2" fontId="53" fillId="21" borderId="73" xfId="0" applyNumberFormat="1" applyFont="1" applyFill="1" applyBorder="1" applyAlignment="1">
      <alignment horizontal="center" vertical="center"/>
    </xf>
    <xf numFmtId="2" fontId="53" fillId="21" borderId="85" xfId="0" applyNumberFormat="1" applyFont="1" applyFill="1" applyBorder="1" applyAlignment="1">
      <alignment horizontal="center" vertical="center"/>
    </xf>
    <xf numFmtId="2" fontId="53" fillId="0" borderId="81" xfId="0" applyNumberFormat="1" applyFont="1" applyBorder="1" applyAlignment="1">
      <alignment horizontal="center" vertical="center"/>
    </xf>
    <xf numFmtId="2" fontId="53" fillId="0" borderId="90" xfId="0" applyNumberFormat="1" applyFont="1" applyBorder="1" applyAlignment="1">
      <alignment horizontal="center" vertical="center"/>
    </xf>
    <xf numFmtId="0" fontId="53" fillId="0" borderId="158" xfId="0" applyFont="1" applyBorder="1" applyAlignment="1">
      <alignment horizontal="center" vertical="center"/>
    </xf>
    <xf numFmtId="2" fontId="53" fillId="0" borderId="86" xfId="0" applyNumberFormat="1" applyFont="1" applyBorder="1" applyAlignment="1">
      <alignment horizontal="center" vertical="center"/>
    </xf>
    <xf numFmtId="2" fontId="53" fillId="0" borderId="128" xfId="0" applyNumberFormat="1" applyFont="1" applyBorder="1" applyAlignment="1">
      <alignment horizontal="center" vertical="center"/>
    </xf>
    <xf numFmtId="2" fontId="53" fillId="0" borderId="99" xfId="0" applyNumberFormat="1" applyFont="1" applyBorder="1" applyAlignment="1">
      <alignment horizontal="center" vertical="center"/>
    </xf>
    <xf numFmtId="2" fontId="53" fillId="19" borderId="95" xfId="0" applyNumberFormat="1" applyFont="1" applyFill="1" applyBorder="1" applyAlignment="1">
      <alignment horizontal="center" vertical="center"/>
    </xf>
    <xf numFmtId="10" fontId="53" fillId="14" borderId="87" xfId="9" applyNumberFormat="1" applyFont="1" applyFill="1" applyBorder="1" applyAlignment="1">
      <alignment horizontal="center" vertical="center"/>
    </xf>
    <xf numFmtId="10" fontId="53" fillId="14" borderId="128" xfId="9" applyNumberFormat="1" applyFont="1" applyFill="1" applyBorder="1" applyAlignment="1">
      <alignment horizontal="center" vertical="center"/>
    </xf>
    <xf numFmtId="10" fontId="53" fillId="14" borderId="91" xfId="9" applyNumberFormat="1" applyFont="1" applyFill="1" applyBorder="1" applyAlignment="1">
      <alignment horizontal="center" vertical="center"/>
    </xf>
    <xf numFmtId="2" fontId="53" fillId="19" borderId="88" xfId="0" applyNumberFormat="1" applyFont="1" applyFill="1" applyBorder="1" applyAlignment="1">
      <alignment horizontal="center" vertical="center"/>
    </xf>
    <xf numFmtId="0" fontId="54" fillId="0" borderId="10" xfId="0" applyFont="1" applyBorder="1">
      <alignment vertical="top"/>
    </xf>
    <xf numFmtId="0" fontId="53" fillId="20" borderId="84" xfId="0" applyFont="1" applyFill="1" applyBorder="1" applyAlignment="1">
      <alignment horizontal="center" vertical="center"/>
    </xf>
    <xf numFmtId="0" fontId="53" fillId="20" borderId="85" xfId="0" applyFont="1" applyFill="1" applyBorder="1" applyAlignment="1">
      <alignment horizontal="center" vertical="center"/>
    </xf>
    <xf numFmtId="0" fontId="53" fillId="19" borderId="85" xfId="0" applyFont="1" applyFill="1" applyBorder="1" applyAlignment="1">
      <alignment horizontal="center" vertical="center"/>
    </xf>
    <xf numFmtId="0" fontId="53" fillId="19" borderId="88" xfId="0" applyFont="1" applyFill="1" applyBorder="1" applyAlignment="1">
      <alignment horizontal="center" vertical="center"/>
    </xf>
    <xf numFmtId="0" fontId="56" fillId="0" borderId="184" xfId="0" applyFont="1" applyBorder="1" applyAlignment="1">
      <alignment horizontal="center" vertical="center"/>
    </xf>
    <xf numFmtId="0" fontId="61" fillId="0" borderId="14" xfId="0" applyFont="1" applyBorder="1" applyAlignment="1">
      <alignment horizontal="center" vertical="center"/>
    </xf>
    <xf numFmtId="0" fontId="62" fillId="0" borderId="14" xfId="0" applyFont="1" applyBorder="1" applyAlignment="1">
      <alignment horizontal="right" vertical="center"/>
    </xf>
    <xf numFmtId="0" fontId="53" fillId="0" borderId="17" xfId="0" applyFont="1" applyBorder="1" applyAlignment="1">
      <alignment horizontal="right" vertical="center"/>
    </xf>
    <xf numFmtId="0" fontId="53" fillId="0" borderId="70" xfId="0" applyFont="1" applyBorder="1" applyAlignment="1">
      <alignment horizontal="center" vertical="center"/>
    </xf>
    <xf numFmtId="168" fontId="53" fillId="8" borderId="20" xfId="0" applyNumberFormat="1" applyFont="1" applyFill="1" applyBorder="1" applyAlignment="1">
      <alignment horizontal="center" vertical="center"/>
    </xf>
    <xf numFmtId="10" fontId="53" fillId="0" borderId="0" xfId="0" applyNumberFormat="1" applyFont="1" applyAlignment="1">
      <alignment vertical="center"/>
    </xf>
    <xf numFmtId="10" fontId="53" fillId="0" borderId="45" xfId="0" applyNumberFormat="1" applyFont="1" applyBorder="1" applyAlignment="1">
      <alignment horizontal="center" vertical="center"/>
    </xf>
    <xf numFmtId="0" fontId="53" fillId="0" borderId="72" xfId="0" applyFont="1" applyBorder="1" applyAlignment="1">
      <alignment horizontal="center" vertical="center"/>
    </xf>
    <xf numFmtId="2" fontId="53" fillId="0" borderId="48" xfId="0" applyNumberFormat="1" applyFont="1" applyBorder="1" applyAlignment="1">
      <alignment horizontal="center" vertical="center"/>
    </xf>
    <xf numFmtId="10" fontId="53" fillId="0" borderId="73" xfId="9" applyNumberFormat="1" applyFont="1" applyBorder="1" applyAlignment="1">
      <alignment horizontal="center" vertical="center"/>
    </xf>
    <xf numFmtId="0" fontId="53" fillId="0" borderId="86" xfId="0" applyFont="1" applyBorder="1" applyAlignment="1">
      <alignment vertical="center"/>
    </xf>
    <xf numFmtId="164" fontId="53" fillId="0" borderId="106" xfId="0" applyNumberFormat="1" applyFont="1" applyBorder="1" applyAlignment="1" applyProtection="1">
      <alignment horizontal="center" vertical="center"/>
      <protection locked="0"/>
    </xf>
    <xf numFmtId="164" fontId="53" fillId="0" borderId="107" xfId="0" applyNumberFormat="1" applyFont="1" applyBorder="1" applyAlignment="1">
      <alignment horizontal="center" vertical="center"/>
    </xf>
    <xf numFmtId="10" fontId="53" fillId="0" borderId="131" xfId="0" applyNumberFormat="1" applyFont="1" applyBorder="1" applyAlignment="1">
      <alignment horizontal="center" vertical="center"/>
    </xf>
    <xf numFmtId="0" fontId="53" fillId="0" borderId="82" xfId="2" applyFont="1" applyBorder="1" applyAlignment="1">
      <alignment horizontal="center" vertical="center"/>
    </xf>
    <xf numFmtId="164" fontId="53" fillId="0" borderId="111" xfId="0" applyNumberFormat="1" applyFont="1" applyBorder="1" applyAlignment="1" applyProtection="1">
      <alignment horizontal="center" vertical="center"/>
      <protection locked="0"/>
    </xf>
    <xf numFmtId="164" fontId="53" fillId="0" borderId="112" xfId="0" applyNumberFormat="1" applyFont="1" applyBorder="1" applyAlignment="1">
      <alignment horizontal="center" vertical="center"/>
    </xf>
    <xf numFmtId="10" fontId="53" fillId="0" borderId="132" xfId="0" applyNumberFormat="1" applyFont="1" applyBorder="1" applyAlignment="1">
      <alignment horizontal="center" vertical="center"/>
    </xf>
    <xf numFmtId="0" fontId="52" fillId="0" borderId="8" xfId="0" applyFont="1" applyBorder="1" applyAlignment="1">
      <alignment horizontal="center" vertical="center"/>
    </xf>
    <xf numFmtId="0" fontId="53" fillId="0" borderId="133" xfId="0" applyFont="1" applyBorder="1" applyAlignment="1">
      <alignment horizontal="center" vertical="center"/>
    </xf>
    <xf numFmtId="0" fontId="53" fillId="0" borderId="134" xfId="0" applyFont="1" applyBorder="1" applyAlignment="1">
      <alignment horizontal="center" vertical="center"/>
    </xf>
    <xf numFmtId="168" fontId="53" fillId="0" borderId="55" xfId="0" applyNumberFormat="1" applyFont="1" applyBorder="1" applyAlignment="1">
      <alignment horizontal="center" vertical="center"/>
    </xf>
    <xf numFmtId="0" fontId="53" fillId="0" borderId="66" xfId="0" applyFont="1" applyBorder="1" applyAlignment="1">
      <alignment horizontal="center" vertical="center"/>
    </xf>
    <xf numFmtId="0" fontId="53" fillId="0" borderId="78" xfId="0" applyFont="1" applyBorder="1" applyAlignment="1">
      <alignment horizontal="right" vertical="center"/>
    </xf>
    <xf numFmtId="0" fontId="53" fillId="0" borderId="67" xfId="0" applyFont="1" applyBorder="1" applyAlignment="1">
      <alignment horizontal="center" vertical="center"/>
    </xf>
    <xf numFmtId="0" fontId="53" fillId="0" borderId="78" xfId="0" applyFont="1" applyBorder="1" applyAlignment="1">
      <alignment horizontal="center" vertical="center"/>
    </xf>
    <xf numFmtId="0" fontId="53" fillId="0" borderId="9" xfId="0" applyFont="1" applyBorder="1" applyAlignment="1">
      <alignment horizontal="center" vertical="center"/>
    </xf>
    <xf numFmtId="0" fontId="53" fillId="0" borderId="68" xfId="0" applyFont="1" applyBorder="1" applyAlignment="1">
      <alignment horizontal="center" vertical="center"/>
    </xf>
    <xf numFmtId="2" fontId="53" fillId="0" borderId="51" xfId="0" applyNumberFormat="1" applyFont="1" applyBorder="1" applyAlignment="1">
      <alignment horizontal="center" vertical="center"/>
    </xf>
    <xf numFmtId="2" fontId="53" fillId="0" borderId="54" xfId="0" applyNumberFormat="1" applyFont="1" applyBorder="1" applyAlignment="1">
      <alignment horizontal="center" vertical="center"/>
    </xf>
    <xf numFmtId="0" fontId="53" fillId="0" borderId="121" xfId="0" applyFont="1" applyBorder="1" applyAlignment="1">
      <alignment horizontal="center" vertical="center"/>
    </xf>
    <xf numFmtId="2" fontId="53" fillId="0" borderId="56" xfId="0" applyNumberFormat="1" applyFont="1" applyBorder="1" applyAlignment="1">
      <alignment horizontal="center" vertical="center"/>
    </xf>
    <xf numFmtId="2" fontId="53" fillId="0" borderId="42" xfId="0" applyNumberFormat="1" applyFont="1" applyBorder="1" applyAlignment="1">
      <alignment horizontal="center" vertical="center"/>
    </xf>
    <xf numFmtId="0" fontId="53" fillId="0" borderId="135" xfId="0" applyFont="1" applyBorder="1" applyAlignment="1">
      <alignment horizontal="center" vertical="center"/>
    </xf>
    <xf numFmtId="2" fontId="53" fillId="0" borderId="129" xfId="0" applyNumberFormat="1" applyFont="1" applyBorder="1" applyAlignment="1">
      <alignment horizontal="center" vertical="center"/>
    </xf>
    <xf numFmtId="164" fontId="53" fillId="0" borderId="47" xfId="0" applyNumberFormat="1" applyFont="1" applyBorder="1" applyAlignment="1">
      <alignment horizontal="center" vertical="center"/>
    </xf>
    <xf numFmtId="167" fontId="53" fillId="0" borderId="47" xfId="0" applyNumberFormat="1" applyFont="1" applyBorder="1" applyAlignment="1">
      <alignment horizontal="center" vertical="center"/>
    </xf>
    <xf numFmtId="2" fontId="53" fillId="0" borderId="130" xfId="0" applyNumberFormat="1" applyFont="1" applyBorder="1" applyAlignment="1">
      <alignment horizontal="center" vertical="center"/>
    </xf>
    <xf numFmtId="0" fontId="53" fillId="0" borderId="165" xfId="0" applyFont="1" applyBorder="1" applyAlignment="1">
      <alignment vertical="center"/>
    </xf>
    <xf numFmtId="10" fontId="53" fillId="0" borderId="42" xfId="9" applyNumberFormat="1" applyFont="1" applyBorder="1" applyAlignment="1">
      <alignment horizontal="center" vertical="center"/>
    </xf>
    <xf numFmtId="10" fontId="53" fillId="0" borderId="43" xfId="9" applyNumberFormat="1" applyFont="1" applyBorder="1" applyAlignment="1">
      <alignment horizontal="center" vertical="center"/>
    </xf>
    <xf numFmtId="0" fontId="53" fillId="0" borderId="58" xfId="0" applyFont="1" applyBorder="1" applyAlignment="1">
      <alignment horizontal="center" vertical="center"/>
    </xf>
    <xf numFmtId="167" fontId="53" fillId="6" borderId="47" xfId="0" applyNumberFormat="1" applyFont="1" applyFill="1" applyBorder="1" applyAlignment="1">
      <alignment horizontal="center" vertical="center"/>
    </xf>
    <xf numFmtId="2" fontId="53" fillId="6" borderId="47" xfId="0" applyNumberFormat="1" applyFont="1" applyFill="1" applyBorder="1" applyAlignment="1">
      <alignment horizontal="center" vertical="center"/>
    </xf>
    <xf numFmtId="0" fontId="53" fillId="0" borderId="92" xfId="0" applyFont="1" applyBorder="1" applyAlignment="1">
      <alignment horizontal="center" vertical="center"/>
    </xf>
    <xf numFmtId="0" fontId="56" fillId="0" borderId="17" xfId="0" applyFont="1" applyBorder="1" applyAlignment="1">
      <alignment vertical="center"/>
    </xf>
    <xf numFmtId="0" fontId="53" fillId="8" borderId="0" xfId="0" applyFont="1" applyFill="1" applyAlignment="1">
      <alignment horizontal="center" vertical="center"/>
    </xf>
    <xf numFmtId="0" fontId="53" fillId="0" borderId="93" xfId="0" applyFont="1" applyBorder="1" applyAlignment="1">
      <alignment horizontal="center" vertical="top"/>
    </xf>
    <xf numFmtId="0" fontId="53" fillId="0" borderId="94" xfId="0" applyFont="1" applyBorder="1" applyAlignment="1">
      <alignment horizontal="center" vertical="top"/>
    </xf>
    <xf numFmtId="0" fontId="53" fillId="0" borderId="95" xfId="0" applyFont="1" applyBorder="1" applyAlignment="1">
      <alignment horizontal="center" vertical="top"/>
    </xf>
    <xf numFmtId="0" fontId="53" fillId="0" borderId="84" xfId="0" applyFont="1" applyBorder="1" applyAlignment="1">
      <alignment horizontal="center" vertical="top"/>
    </xf>
    <xf numFmtId="0" fontId="53" fillId="0" borderId="73" xfId="0" applyFont="1" applyBorder="1" applyAlignment="1">
      <alignment horizontal="center" vertical="top"/>
    </xf>
    <xf numFmtId="0" fontId="53" fillId="0" borderId="85" xfId="0" applyFont="1" applyBorder="1" applyAlignment="1">
      <alignment horizontal="center" vertical="top"/>
    </xf>
    <xf numFmtId="2" fontId="53" fillId="0" borderId="73" xfId="0" applyNumberFormat="1" applyFont="1" applyBorder="1" applyAlignment="1">
      <alignment horizontal="center" vertical="top"/>
    </xf>
    <xf numFmtId="2" fontId="53" fillId="0" borderId="85" xfId="0" applyNumberFormat="1" applyFont="1" applyBorder="1" applyAlignment="1">
      <alignment horizontal="center" vertical="top"/>
    </xf>
    <xf numFmtId="10" fontId="53" fillId="0" borderId="73" xfId="9" applyNumberFormat="1" applyFont="1" applyBorder="1" applyAlignment="1">
      <alignment horizontal="center" vertical="top"/>
    </xf>
    <xf numFmtId="10" fontId="53" fillId="0" borderId="85" xfId="9" applyNumberFormat="1" applyFont="1" applyBorder="1" applyAlignment="1">
      <alignment horizontal="center" vertical="top"/>
    </xf>
    <xf numFmtId="0" fontId="57" fillId="0" borderId="9" xfId="0" applyFont="1" applyBorder="1" applyAlignment="1">
      <alignment vertical="center"/>
    </xf>
    <xf numFmtId="0" fontId="8" fillId="0" borderId="14" xfId="0" applyFont="1" applyBorder="1" applyAlignment="1">
      <alignment horizontal="left" vertical="center"/>
    </xf>
    <xf numFmtId="0" fontId="65" fillId="0" borderId="14" xfId="0" applyFont="1" applyBorder="1" applyAlignment="1">
      <alignment vertical="center"/>
    </xf>
    <xf numFmtId="0" fontId="8" fillId="0" borderId="14" xfId="0" applyFont="1" applyBorder="1" applyAlignment="1">
      <alignment horizontal="center" vertical="center"/>
    </xf>
    <xf numFmtId="0" fontId="66" fillId="0" borderId="0" xfId="0" applyFont="1" applyAlignment="1">
      <alignment horizontal="right" vertical="center"/>
    </xf>
    <xf numFmtId="0" fontId="47" fillId="0" borderId="137" xfId="0" applyFont="1" applyBorder="1" applyAlignment="1">
      <alignment vertical="center"/>
    </xf>
    <xf numFmtId="0" fontId="8" fillId="0" borderId="137" xfId="0" applyFont="1" applyBorder="1" applyAlignment="1">
      <alignment horizontal="center" vertical="center"/>
    </xf>
    <xf numFmtId="0" fontId="8" fillId="0" borderId="0" xfId="0" applyFont="1" applyAlignment="1">
      <alignment horizontal="left" vertical="center"/>
    </xf>
    <xf numFmtId="0" fontId="47" fillId="0" borderId="140" xfId="0" applyFont="1" applyBorder="1" applyAlignment="1">
      <alignment vertical="center"/>
    </xf>
    <xf numFmtId="0" fontId="8" fillId="0" borderId="140" xfId="0" applyFont="1" applyBorder="1" applyAlignment="1">
      <alignment horizontal="center" vertical="center"/>
    </xf>
    <xf numFmtId="1" fontId="8" fillId="0" borderId="0" xfId="0" applyNumberFormat="1" applyFont="1" applyAlignment="1">
      <alignment horizontal="right" vertical="center"/>
    </xf>
    <xf numFmtId="1" fontId="8" fillId="0" borderId="0" xfId="0" applyNumberFormat="1" applyFont="1" applyAlignment="1">
      <alignment horizontal="center" vertical="center"/>
    </xf>
    <xf numFmtId="0" fontId="8" fillId="0" borderId="0" xfId="0" applyFont="1" applyAlignment="1">
      <alignment horizontal="right" vertical="center"/>
    </xf>
    <xf numFmtId="0" fontId="53" fillId="8" borderId="72" xfId="0" applyFont="1" applyFill="1" applyBorder="1" applyAlignment="1" applyProtection="1">
      <alignment horizontal="center" vertical="center"/>
      <protection locked="0"/>
    </xf>
    <xf numFmtId="0" fontId="53" fillId="8" borderId="11" xfId="0" applyFont="1" applyFill="1" applyBorder="1" applyAlignment="1" applyProtection="1">
      <alignment horizontal="center" vertical="center"/>
      <protection locked="0"/>
    </xf>
    <xf numFmtId="0" fontId="53" fillId="8" borderId="48" xfId="0" applyFont="1" applyFill="1" applyBorder="1" applyAlignment="1" applyProtection="1">
      <alignment horizontal="center" vertical="center"/>
      <protection locked="0"/>
    </xf>
    <xf numFmtId="0" fontId="53" fillId="11" borderId="72" xfId="0" applyFont="1" applyFill="1" applyBorder="1" applyAlignment="1" applyProtection="1">
      <alignment horizontal="center" vertical="center"/>
      <protection locked="0"/>
    </xf>
    <xf numFmtId="0" fontId="53" fillId="11" borderId="11" xfId="0" applyFont="1" applyFill="1" applyBorder="1" applyAlignment="1" applyProtection="1">
      <alignment horizontal="center" vertical="center"/>
      <protection locked="0"/>
    </xf>
    <xf numFmtId="0" fontId="53" fillId="11" borderId="48" xfId="0" applyFont="1" applyFill="1" applyBorder="1" applyAlignment="1" applyProtection="1">
      <alignment horizontal="center" vertical="center"/>
      <protection locked="0"/>
    </xf>
    <xf numFmtId="0" fontId="53" fillId="8" borderId="12" xfId="0" applyFont="1" applyFill="1" applyBorder="1" applyAlignment="1" applyProtection="1">
      <alignment horizontal="center" vertical="center"/>
      <protection locked="0"/>
    </xf>
    <xf numFmtId="0" fontId="53" fillId="8" borderId="47" xfId="0" applyFont="1" applyFill="1" applyBorder="1" applyAlignment="1" applyProtection="1">
      <alignment horizontal="center" vertical="center"/>
      <protection locked="0"/>
    </xf>
    <xf numFmtId="0" fontId="53" fillId="8" borderId="46" xfId="0" applyFont="1" applyFill="1" applyBorder="1" applyAlignment="1" applyProtection="1">
      <alignment horizontal="center" vertical="center"/>
      <protection locked="0"/>
    </xf>
    <xf numFmtId="0" fontId="53" fillId="11" borderId="12" xfId="0" applyFont="1" applyFill="1" applyBorder="1" applyAlignment="1" applyProtection="1">
      <alignment horizontal="center" vertical="center"/>
      <protection locked="0"/>
    </xf>
    <xf numFmtId="0" fontId="53" fillId="11" borderId="47" xfId="0" applyFont="1" applyFill="1" applyBorder="1" applyAlignment="1" applyProtection="1">
      <alignment horizontal="center" vertical="center"/>
      <protection locked="0"/>
    </xf>
    <xf numFmtId="0" fontId="53" fillId="11" borderId="46" xfId="0" applyFont="1" applyFill="1" applyBorder="1" applyAlignment="1" applyProtection="1">
      <alignment horizontal="center" vertical="center"/>
      <protection locked="0"/>
    </xf>
    <xf numFmtId="0" fontId="53" fillId="0" borderId="140" xfId="0" applyFont="1" applyBorder="1" applyAlignment="1">
      <alignment vertical="center"/>
    </xf>
    <xf numFmtId="0" fontId="62" fillId="0" borderId="17" xfId="0" applyFont="1" applyBorder="1" applyAlignment="1">
      <alignment horizontal="right" vertical="center"/>
    </xf>
    <xf numFmtId="0" fontId="56" fillId="0" borderId="17" xfId="0" applyFont="1" applyBorder="1" applyAlignment="1">
      <alignment horizontal="left" vertical="center"/>
    </xf>
    <xf numFmtId="164" fontId="53" fillId="0" borderId="11" xfId="0" applyNumberFormat="1" applyFont="1" applyBorder="1" applyAlignment="1" applyProtection="1">
      <alignment horizontal="center" vertical="center"/>
      <protection locked="0"/>
    </xf>
    <xf numFmtId="164" fontId="53" fillId="6" borderId="11" xfId="0" applyNumberFormat="1" applyFont="1" applyFill="1" applyBorder="1" applyAlignment="1">
      <alignment horizontal="center" vertical="center"/>
    </xf>
    <xf numFmtId="0" fontId="54" fillId="8" borderId="11" xfId="0" applyFont="1" applyFill="1" applyBorder="1" applyAlignment="1">
      <alignment horizontal="center" vertical="center"/>
    </xf>
    <xf numFmtId="0" fontId="53" fillId="0" borderId="11" xfId="2" applyFont="1" applyBorder="1" applyAlignment="1">
      <alignment horizontal="center" vertical="center"/>
    </xf>
    <xf numFmtId="0" fontId="54" fillId="0" borderId="0" xfId="0" applyFont="1" applyAlignment="1">
      <alignment horizontal="center" vertical="center"/>
    </xf>
    <xf numFmtId="0" fontId="67" fillId="0" borderId="0" xfId="0" applyFont="1" applyAlignment="1">
      <alignment horizontal="center" vertical="center"/>
    </xf>
    <xf numFmtId="0" fontId="54" fillId="0" borderId="1" xfId="0" applyFont="1" applyBorder="1" applyAlignment="1">
      <alignment horizontal="center" vertical="center"/>
    </xf>
    <xf numFmtId="0" fontId="54" fillId="0" borderId="2" xfId="0" applyFont="1" applyBorder="1" applyAlignment="1">
      <alignment horizontal="center" vertical="center"/>
    </xf>
    <xf numFmtId="0" fontId="65" fillId="0" borderId="2" xfId="0" applyFont="1" applyBorder="1" applyAlignment="1">
      <alignment horizontal="left" vertical="center"/>
    </xf>
    <xf numFmtId="0" fontId="68" fillId="0" borderId="2" xfId="0" applyFont="1" applyBorder="1" applyAlignment="1">
      <alignment horizontal="left" vertical="center"/>
    </xf>
    <xf numFmtId="0" fontId="54" fillId="0" borderId="3" xfId="0" applyFont="1" applyBorder="1" applyAlignment="1">
      <alignment horizontal="center" vertical="center"/>
    </xf>
    <xf numFmtId="0" fontId="54" fillId="0" borderId="7" xfId="0" applyFont="1" applyBorder="1" applyAlignment="1">
      <alignment horizontal="left" vertical="center"/>
    </xf>
    <xf numFmtId="174" fontId="8" fillId="16" borderId="73" xfId="10" applyNumberFormat="1" applyFill="1">
      <alignment horizontal="left" vertical="center"/>
      <protection locked="0"/>
    </xf>
    <xf numFmtId="0" fontId="65" fillId="0" borderId="80" xfId="0" applyFont="1" applyBorder="1" applyAlignment="1">
      <alignment horizontal="left" vertical="center"/>
    </xf>
    <xf numFmtId="0" fontId="69" fillId="0" borderId="126" xfId="0" applyFont="1" applyBorder="1" applyAlignment="1">
      <alignment horizontal="left" vertical="center"/>
    </xf>
    <xf numFmtId="0" fontId="8" fillId="0" borderId="80" xfId="0" applyFont="1" applyBorder="1" applyAlignment="1">
      <alignment horizontal="center" vertical="center"/>
    </xf>
    <xf numFmtId="0" fontId="8" fillId="0" borderId="8" xfId="0" applyFont="1" applyBorder="1" applyAlignment="1">
      <alignment horizontal="center" vertical="center"/>
    </xf>
    <xf numFmtId="0" fontId="8" fillId="0" borderId="7" xfId="0" applyFont="1" applyBorder="1" applyAlignment="1">
      <alignment horizontal="left" vertical="center"/>
    </xf>
    <xf numFmtId="0" fontId="70" fillId="0" borderId="0" xfId="0" applyFont="1" applyAlignment="1">
      <alignment horizontal="right" vertical="center"/>
    </xf>
    <xf numFmtId="174" fontId="71" fillId="0" borderId="80" xfId="0" applyNumberFormat="1" applyFont="1" applyBorder="1" applyAlignment="1">
      <alignment horizontal="center" vertical="center"/>
    </xf>
    <xf numFmtId="174" fontId="72" fillId="0" borderId="80" xfId="0" applyNumberFormat="1" applyFont="1" applyBorder="1" applyAlignment="1">
      <alignment horizontal="center" vertical="center"/>
    </xf>
    <xf numFmtId="174" fontId="72" fillId="0" borderId="138" xfId="0" applyNumberFormat="1" applyFont="1" applyBorder="1" applyAlignment="1">
      <alignment horizontal="center" vertical="center"/>
    </xf>
    <xf numFmtId="174" fontId="72" fillId="0" borderId="92" xfId="0" applyNumberFormat="1" applyFont="1" applyBorder="1" applyAlignment="1">
      <alignment horizontal="center" vertical="center"/>
    </xf>
    <xf numFmtId="0" fontId="73" fillId="0" borderId="80" xfId="0" applyFont="1" applyBorder="1" applyAlignment="1">
      <alignment horizontal="left" vertical="center"/>
    </xf>
    <xf numFmtId="0" fontId="8" fillId="0" borderId="80" xfId="0" applyFont="1" applyBorder="1" applyAlignment="1">
      <alignment horizontal="left" vertical="center"/>
    </xf>
    <xf numFmtId="0" fontId="8" fillId="0" borderId="8" xfId="0" applyFont="1" applyBorder="1" applyAlignment="1">
      <alignment horizontal="left" vertical="center"/>
    </xf>
    <xf numFmtId="0" fontId="74" fillId="0" borderId="7" xfId="0" applyFont="1" applyBorder="1" applyAlignment="1">
      <alignment horizontal="left" vertical="center"/>
    </xf>
    <xf numFmtId="174" fontId="71" fillId="0" borderId="0" xfId="0" applyNumberFormat="1" applyFont="1" applyAlignment="1">
      <alignment horizontal="center" vertical="center"/>
    </xf>
    <xf numFmtId="174" fontId="72" fillId="0" borderId="0" xfId="0" applyNumberFormat="1" applyFont="1" applyAlignment="1">
      <alignment horizontal="center" vertical="center"/>
    </xf>
    <xf numFmtId="174" fontId="72" fillId="0" borderId="139" xfId="0" applyNumberFormat="1" applyFont="1" applyBorder="1" applyAlignment="1">
      <alignment horizontal="center" vertical="center"/>
    </xf>
    <xf numFmtId="174" fontId="72" fillId="0" borderId="122" xfId="0" applyNumberFormat="1" applyFont="1" applyBorder="1" applyAlignment="1">
      <alignment horizontal="center" vertical="center"/>
    </xf>
    <xf numFmtId="0" fontId="73" fillId="0" borderId="0" xfId="0" applyFont="1" applyAlignment="1">
      <alignment horizontal="left" vertical="center"/>
    </xf>
    <xf numFmtId="0" fontId="8" fillId="0" borderId="0" xfId="0" applyFont="1" applyAlignment="1">
      <alignment horizontal="center" vertical="center"/>
    </xf>
    <xf numFmtId="174" fontId="8" fillId="0" borderId="0" xfId="10" applyNumberFormat="1" applyFill="1" applyBorder="1">
      <alignment horizontal="left" vertical="center"/>
      <protection locked="0"/>
    </xf>
    <xf numFmtId="0" fontId="65" fillId="0" borderId="0" xfId="0" applyFont="1" applyAlignment="1">
      <alignment horizontal="left" vertical="center"/>
    </xf>
    <xf numFmtId="0" fontId="69" fillId="0" borderId="0" xfId="0" applyFont="1" applyAlignment="1">
      <alignment horizontal="left" vertical="center"/>
    </xf>
    <xf numFmtId="0" fontId="75" fillId="0" borderId="0" xfId="0" applyFont="1" applyAlignment="1">
      <alignment horizontal="center" vertical="center"/>
    </xf>
    <xf numFmtId="174" fontId="54" fillId="0" borderId="0" xfId="0" applyNumberFormat="1" applyFont="1" applyAlignment="1">
      <alignment horizontal="center" vertical="center"/>
    </xf>
    <xf numFmtId="174" fontId="65" fillId="0" borderId="0" xfId="0" applyNumberFormat="1" applyFont="1" applyAlignment="1">
      <alignment horizontal="left" vertical="center"/>
    </xf>
    <xf numFmtId="0" fontId="76" fillId="0" borderId="0" xfId="0" applyFont="1" applyAlignment="1">
      <alignment horizontal="left" vertical="center"/>
    </xf>
    <xf numFmtId="0" fontId="8" fillId="0" borderId="13" xfId="0" applyFont="1" applyBorder="1" applyAlignment="1">
      <alignment horizontal="left" vertical="center"/>
    </xf>
    <xf numFmtId="174" fontId="8" fillId="0" borderId="14" xfId="0" applyNumberFormat="1" applyFont="1" applyBorder="1" applyAlignment="1">
      <alignment horizontal="center" vertical="center"/>
    </xf>
    <xf numFmtId="0" fontId="65" fillId="0" borderId="14" xfId="0" applyFont="1" applyBorder="1" applyAlignment="1">
      <alignment horizontal="left" vertical="center"/>
    </xf>
    <xf numFmtId="0" fontId="8" fillId="0" borderId="15" xfId="0" applyFont="1" applyBorder="1" applyAlignment="1">
      <alignment horizontal="center" vertical="center"/>
    </xf>
    <xf numFmtId="0" fontId="66" fillId="0" borderId="0" xfId="11" applyFont="1"/>
    <xf numFmtId="0" fontId="8" fillId="0" borderId="0" xfId="11" applyFont="1"/>
    <xf numFmtId="0" fontId="66" fillId="0" borderId="0" xfId="11" applyFont="1" applyAlignment="1">
      <alignment horizontal="left"/>
    </xf>
    <xf numFmtId="164" fontId="8" fillId="0" borderId="0" xfId="11" applyNumberFormat="1" applyFont="1" applyAlignment="1">
      <alignment horizontal="left"/>
    </xf>
    <xf numFmtId="0" fontId="24" fillId="0" borderId="0" xfId="11" applyFont="1" applyAlignment="1">
      <alignment horizontal="center" vertical="center"/>
    </xf>
    <xf numFmtId="0" fontId="14" fillId="17" borderId="81" xfId="11" applyFont="1" applyFill="1" applyBorder="1" applyAlignment="1">
      <alignment horizontal="center" vertical="center"/>
    </xf>
    <xf numFmtId="0" fontId="14" fillId="17" borderId="92" xfId="11" applyFont="1" applyFill="1" applyBorder="1" applyAlignment="1">
      <alignment horizontal="center" vertical="center"/>
    </xf>
    <xf numFmtId="0" fontId="14" fillId="17" borderId="142" xfId="11" applyFont="1" applyFill="1" applyBorder="1" applyAlignment="1">
      <alignment horizontal="center" vertical="center"/>
    </xf>
    <xf numFmtId="175" fontId="14" fillId="17" borderId="81" xfId="11" applyNumberFormat="1" applyFont="1" applyFill="1" applyBorder="1" applyAlignment="1">
      <alignment horizontal="center" vertical="center"/>
    </xf>
    <xf numFmtId="175" fontId="14" fillId="17" borderId="92" xfId="11" applyNumberFormat="1" applyFont="1" applyFill="1" applyBorder="1" applyAlignment="1">
      <alignment horizontal="center" vertical="center"/>
    </xf>
    <xf numFmtId="175" fontId="14" fillId="17" borderId="142" xfId="11" applyNumberFormat="1" applyFont="1" applyFill="1" applyBorder="1" applyAlignment="1">
      <alignment horizontal="center" vertical="center"/>
    </xf>
    <xf numFmtId="0" fontId="9" fillId="0" borderId="145" xfId="11" applyBorder="1" applyAlignment="1">
      <alignment horizontal="center" vertical="center"/>
    </xf>
    <xf numFmtId="0" fontId="9" fillId="0" borderId="143" xfId="11" applyBorder="1" applyAlignment="1">
      <alignment horizontal="center" vertical="center"/>
    </xf>
    <xf numFmtId="0" fontId="14" fillId="0" borderId="145" xfId="11" applyFont="1" applyBorder="1" applyAlignment="1">
      <alignment horizontal="center" vertical="center"/>
    </xf>
    <xf numFmtId="0" fontId="14" fillId="0" borderId="143" xfId="11" applyFont="1" applyBorder="1" applyAlignment="1">
      <alignment horizontal="center" vertical="center"/>
    </xf>
    <xf numFmtId="0" fontId="9" fillId="0" borderId="144" xfId="11" applyBorder="1" applyAlignment="1">
      <alignment horizontal="center" vertical="center"/>
    </xf>
    <xf numFmtId="0" fontId="45" fillId="7" borderId="11" xfId="0" applyFont="1" applyFill="1" applyBorder="1" applyAlignment="1">
      <alignment horizontal="center" vertical="center"/>
    </xf>
    <xf numFmtId="173" fontId="14" fillId="17" borderId="81" xfId="11" applyNumberFormat="1" applyFont="1" applyFill="1" applyBorder="1" applyAlignment="1">
      <alignment horizontal="center" vertical="center"/>
    </xf>
    <xf numFmtId="173" fontId="14" fillId="17" borderId="92" xfId="11" applyNumberFormat="1" applyFont="1" applyFill="1" applyBorder="1" applyAlignment="1">
      <alignment horizontal="center" vertical="center"/>
    </xf>
    <xf numFmtId="173" fontId="14" fillId="17" borderId="142" xfId="11" applyNumberFormat="1" applyFont="1" applyFill="1" applyBorder="1" applyAlignment="1">
      <alignment horizontal="center" vertical="center"/>
    </xf>
    <xf numFmtId="0" fontId="14" fillId="0" borderId="81" xfId="11" applyFont="1" applyBorder="1" applyAlignment="1">
      <alignment horizontal="center" vertical="center"/>
    </xf>
    <xf numFmtId="0" fontId="14" fillId="0" borderId="92" xfId="11" applyFont="1" applyBorder="1" applyAlignment="1">
      <alignment horizontal="center" vertical="center"/>
    </xf>
    <xf numFmtId="0" fontId="14" fillId="0" borderId="142" xfId="11" applyFont="1" applyBorder="1" applyAlignment="1">
      <alignment horizontal="center" vertical="center"/>
    </xf>
    <xf numFmtId="0" fontId="9" fillId="0" borderId="148" xfId="11" applyBorder="1" applyAlignment="1">
      <alignment horizontal="center" vertical="center"/>
    </xf>
    <xf numFmtId="0" fontId="9" fillId="0" borderId="146" xfId="11" applyBorder="1" applyAlignment="1">
      <alignment horizontal="center" vertical="center"/>
    </xf>
    <xf numFmtId="0" fontId="9" fillId="0" borderId="147" xfId="11" applyBorder="1" applyAlignment="1">
      <alignment horizontal="center" vertical="center"/>
    </xf>
    <xf numFmtId="0" fontId="13" fillId="0" borderId="0" xfId="11" applyFont="1" applyAlignment="1">
      <alignment horizontal="center" vertical="center"/>
    </xf>
    <xf numFmtId="0" fontId="10" fillId="0" borderId="0" xfId="11" applyFont="1" applyAlignment="1">
      <alignment horizontal="center" vertical="center"/>
    </xf>
    <xf numFmtId="0" fontId="9" fillId="0" borderId="81" xfId="11" applyBorder="1" applyAlignment="1">
      <alignment horizontal="center" vertical="center"/>
    </xf>
    <xf numFmtId="0" fontId="9" fillId="0" borderId="142" xfId="11" applyBorder="1" applyAlignment="1">
      <alignment horizontal="center" vertical="center"/>
    </xf>
    <xf numFmtId="0" fontId="12" fillId="0" borderId="81" xfId="11" applyFont="1" applyBorder="1" applyAlignment="1">
      <alignment horizontal="center" vertical="center"/>
    </xf>
    <xf numFmtId="0" fontId="12" fillId="0" borderId="142" xfId="11" applyFont="1" applyBorder="1" applyAlignment="1">
      <alignment horizontal="center" vertical="center"/>
    </xf>
    <xf numFmtId="0" fontId="9" fillId="0" borderId="92" xfId="11" applyBorder="1" applyAlignment="1">
      <alignment horizontal="center" vertical="center"/>
    </xf>
    <xf numFmtId="0" fontId="13" fillId="0" borderId="0" xfId="11" applyFont="1" applyAlignment="1">
      <alignment horizontal="left" vertical="center" wrapText="1"/>
    </xf>
    <xf numFmtId="0" fontId="17" fillId="0" borderId="0" xfId="11" applyFont="1" applyAlignment="1">
      <alignment horizontal="center" vertical="center"/>
    </xf>
    <xf numFmtId="0" fontId="12" fillId="18" borderId="81" xfId="11" applyFont="1" applyFill="1" applyBorder="1" applyAlignment="1">
      <alignment horizontal="center"/>
    </xf>
    <xf numFmtId="0" fontId="12" fillId="18" borderId="142" xfId="11" applyFont="1" applyFill="1" applyBorder="1" applyAlignment="1">
      <alignment horizontal="center"/>
    </xf>
    <xf numFmtId="0" fontId="24" fillId="0" borderId="0" xfId="11" applyFont="1" applyAlignment="1">
      <alignment horizontal="center"/>
    </xf>
    <xf numFmtId="0" fontId="29" fillId="17" borderId="0" xfId="12" applyFont="1" applyFill="1" applyAlignment="1">
      <alignment horizontal="left" wrapText="1"/>
    </xf>
    <xf numFmtId="0" fontId="12" fillId="0" borderId="0" xfId="11" applyFont="1" applyAlignment="1">
      <alignment horizontal="center"/>
    </xf>
    <xf numFmtId="0" fontId="16" fillId="0" borderId="0" xfId="11" applyFont="1" applyAlignment="1">
      <alignment horizontal="center"/>
    </xf>
    <xf numFmtId="0" fontId="17" fillId="0" borderId="0" xfId="11" applyFont="1" applyAlignment="1">
      <alignment horizontal="center"/>
    </xf>
    <xf numFmtId="0" fontId="9" fillId="0" borderId="81" xfId="11" applyBorder="1" applyAlignment="1">
      <alignment horizontal="left" vertical="top" wrapText="1"/>
    </xf>
    <xf numFmtId="0" fontId="9" fillId="0" borderId="92" xfId="11" applyBorder="1" applyAlignment="1">
      <alignment horizontal="left" vertical="top" wrapText="1"/>
    </xf>
    <xf numFmtId="0" fontId="9" fillId="0" borderId="142" xfId="11" applyBorder="1" applyAlignment="1">
      <alignment horizontal="left" vertical="top" wrapText="1"/>
    </xf>
    <xf numFmtId="0" fontId="9" fillId="0" borderId="122" xfId="11" applyBorder="1" applyAlignment="1">
      <alignment horizontal="left" vertical="top" wrapText="1"/>
    </xf>
    <xf numFmtId="0" fontId="9" fillId="0" borderId="0" xfId="11" applyAlignment="1">
      <alignment horizontal="left" vertical="top" wrapText="1"/>
    </xf>
    <xf numFmtId="0" fontId="44" fillId="0" borderId="124" xfId="11" applyFont="1" applyBorder="1" applyAlignment="1">
      <alignment horizontal="left" vertical="center" wrapText="1"/>
    </xf>
    <xf numFmtId="0" fontId="9" fillId="0" borderId="125" xfId="11" applyBorder="1" applyAlignment="1">
      <alignment horizontal="left" vertical="center" wrapText="1"/>
    </xf>
    <xf numFmtId="0" fontId="9" fillId="0" borderId="119" xfId="11" applyBorder="1" applyAlignment="1">
      <alignment horizontal="left" vertical="center" wrapText="1"/>
    </xf>
    <xf numFmtId="0" fontId="42" fillId="0" borderId="83" xfId="11" applyFont="1" applyBorder="1" applyAlignment="1">
      <alignment horizontal="center"/>
    </xf>
    <xf numFmtId="0" fontId="40" fillId="0" borderId="83" xfId="11" applyFont="1" applyBorder="1" applyAlignment="1">
      <alignment horizontal="center"/>
    </xf>
    <xf numFmtId="0" fontId="44" fillId="0" borderId="124" xfId="11" applyFont="1" applyBorder="1" applyAlignment="1">
      <alignment vertical="center"/>
    </xf>
    <xf numFmtId="0" fontId="9" fillId="0" borderId="125" xfId="11" applyBorder="1" applyAlignment="1">
      <alignment vertical="center"/>
    </xf>
    <xf numFmtId="0" fontId="9" fillId="0" borderId="119" xfId="11" applyBorder="1" applyAlignment="1">
      <alignment vertical="center"/>
    </xf>
    <xf numFmtId="0" fontId="44" fillId="0" borderId="124" xfId="11" applyFont="1" applyBorder="1" applyAlignment="1">
      <alignment vertical="center" wrapText="1"/>
    </xf>
    <xf numFmtId="0" fontId="9" fillId="0" borderId="119" xfId="11" applyBorder="1" applyAlignment="1">
      <alignment vertical="center" wrapText="1"/>
    </xf>
    <xf numFmtId="0" fontId="44" fillId="0" borderId="119" xfId="11" applyFont="1" applyBorder="1" applyAlignment="1">
      <alignment horizontal="left" vertical="center" wrapText="1"/>
    </xf>
    <xf numFmtId="0" fontId="44" fillId="0" borderId="124" xfId="11" applyFont="1" applyBorder="1" applyAlignment="1">
      <alignment horizontal="left" vertical="center"/>
    </xf>
    <xf numFmtId="0" fontId="44" fillId="0" borderId="125" xfId="11" applyFont="1" applyBorder="1" applyAlignment="1">
      <alignment horizontal="left" vertical="center"/>
    </xf>
    <xf numFmtId="0" fontId="44" fillId="0" borderId="119" xfId="11" applyFont="1" applyBorder="1" applyAlignment="1">
      <alignment horizontal="left" vertical="center"/>
    </xf>
    <xf numFmtId="0" fontId="44" fillId="0" borderId="125" xfId="11" applyFont="1" applyBorder="1" applyAlignment="1">
      <alignment horizontal="left" vertical="center" wrapText="1"/>
    </xf>
    <xf numFmtId="0" fontId="12" fillId="0" borderId="0" xfId="11" applyFont="1" applyAlignment="1">
      <alignment horizontal="center" wrapText="1"/>
    </xf>
    <xf numFmtId="0" fontId="39" fillId="0" borderId="0" xfId="11" applyFont="1" applyAlignment="1">
      <alignment horizontal="center"/>
    </xf>
    <xf numFmtId="0" fontId="9" fillId="0" borderId="80" xfId="11" applyBorder="1" applyAlignment="1">
      <alignment horizontal="left"/>
    </xf>
    <xf numFmtId="0" fontId="9" fillId="0" borderId="92" xfId="11" applyBorder="1" applyAlignment="1">
      <alignment horizontal="left"/>
    </xf>
    <xf numFmtId="0" fontId="53" fillId="0" borderId="0" xfId="0" applyFont="1" applyAlignment="1">
      <alignment horizontal="center" vertical="center"/>
    </xf>
    <xf numFmtId="168" fontId="53" fillId="0" borderId="69" xfId="0" applyNumberFormat="1" applyFont="1" applyBorder="1" applyAlignment="1">
      <alignment horizontal="center" vertical="center"/>
    </xf>
    <xf numFmtId="168" fontId="53" fillId="0" borderId="22" xfId="0" applyNumberFormat="1" applyFont="1" applyBorder="1" applyAlignment="1">
      <alignment horizontal="center" vertical="center"/>
    </xf>
    <xf numFmtId="0" fontId="53" fillId="0" borderId="20" xfId="0" applyFont="1" applyBorder="1" applyAlignment="1">
      <alignment horizontal="center" vertical="center"/>
    </xf>
    <xf numFmtId="0" fontId="53" fillId="0" borderId="101" xfId="0" applyFont="1" applyBorder="1" applyAlignment="1">
      <alignment horizontal="center" vertical="center"/>
    </xf>
    <xf numFmtId="0" fontId="53" fillId="0" borderId="102" xfId="0" applyFont="1" applyBorder="1" applyAlignment="1">
      <alignment horizontal="center" vertical="center"/>
    </xf>
    <xf numFmtId="0" fontId="53" fillId="0" borderId="103" xfId="0" applyFont="1" applyBorder="1" applyAlignment="1">
      <alignment horizontal="center" vertical="center"/>
    </xf>
    <xf numFmtId="0" fontId="53" fillId="0" borderId="141" xfId="0" applyFont="1" applyBorder="1" applyAlignment="1">
      <alignment horizontal="center" vertical="center"/>
    </xf>
    <xf numFmtId="166" fontId="53" fillId="0" borderId="20" xfId="0" applyNumberFormat="1" applyFont="1" applyBorder="1" applyAlignment="1">
      <alignment horizontal="center" vertical="center"/>
    </xf>
    <xf numFmtId="0" fontId="53" fillId="0" borderId="20" xfId="0" applyFont="1" applyBorder="1" applyAlignment="1">
      <alignment horizontal="left" vertical="center"/>
    </xf>
    <xf numFmtId="0" fontId="53" fillId="0" borderId="22" xfId="0" applyFont="1" applyBorder="1" applyAlignment="1">
      <alignment horizontal="center" vertical="center"/>
    </xf>
    <xf numFmtId="0" fontId="53" fillId="7" borderId="24" xfId="0" applyFont="1" applyFill="1" applyBorder="1" applyAlignment="1">
      <alignment horizontal="center" vertical="center"/>
    </xf>
    <xf numFmtId="0" fontId="53" fillId="7" borderId="28" xfId="0" applyFont="1" applyFill="1" applyBorder="1" applyAlignment="1">
      <alignment horizontal="center" vertical="center"/>
    </xf>
    <xf numFmtId="0" fontId="62" fillId="0" borderId="8" xfId="0" applyFont="1" applyBorder="1" applyAlignment="1">
      <alignment horizontal="center" vertical="center"/>
    </xf>
    <xf numFmtId="0" fontId="53" fillId="7" borderId="75" xfId="0" applyFont="1" applyFill="1" applyBorder="1" applyAlignment="1">
      <alignment horizontal="center" vertical="center"/>
    </xf>
    <xf numFmtId="0" fontId="53" fillId="7" borderId="5" xfId="0" applyFont="1" applyFill="1" applyBorder="1" applyAlignment="1">
      <alignment horizontal="center" vertical="center"/>
    </xf>
    <xf numFmtId="0" fontId="53" fillId="7" borderId="76" xfId="0" applyFont="1" applyFill="1" applyBorder="1" applyAlignment="1">
      <alignment horizontal="center" vertical="center"/>
    </xf>
    <xf numFmtId="0" fontId="53" fillId="7" borderId="26" xfId="0" applyFont="1" applyFill="1" applyBorder="1" applyAlignment="1">
      <alignment horizontal="center" vertical="center"/>
    </xf>
    <xf numFmtId="0" fontId="53" fillId="7" borderId="20" xfId="0" applyFont="1" applyFill="1" applyBorder="1" applyAlignment="1">
      <alignment horizontal="center" vertical="center"/>
    </xf>
    <xf numFmtId="0" fontId="53" fillId="7" borderId="55" xfId="0" applyFont="1" applyFill="1" applyBorder="1" applyAlignment="1">
      <alignment horizontal="center" vertical="center"/>
    </xf>
    <xf numFmtId="0" fontId="53" fillId="7" borderId="6" xfId="0" applyFont="1" applyFill="1" applyBorder="1" applyAlignment="1">
      <alignment horizontal="center" vertical="center"/>
    </xf>
    <xf numFmtId="0" fontId="53" fillId="7" borderId="27" xfId="0" applyFont="1" applyFill="1" applyBorder="1" applyAlignment="1">
      <alignment horizontal="center" vertical="center"/>
    </xf>
    <xf numFmtId="0" fontId="53" fillId="0" borderId="75" xfId="0" applyFont="1" applyBorder="1" applyAlignment="1">
      <alignment horizontal="center" vertical="center"/>
    </xf>
    <xf numFmtId="0" fontId="53" fillId="0" borderId="5" xfId="0" applyFont="1" applyBorder="1" applyAlignment="1">
      <alignment horizontal="center" vertical="center"/>
    </xf>
    <xf numFmtId="0" fontId="53" fillId="0" borderId="6" xfId="0" applyFont="1" applyBorder="1" applyAlignment="1">
      <alignment horizontal="center" vertical="center"/>
    </xf>
    <xf numFmtId="0" fontId="53" fillId="0" borderId="26" xfId="0" applyFont="1" applyBorder="1" applyAlignment="1">
      <alignment horizontal="center" vertical="center"/>
    </xf>
    <xf numFmtId="0" fontId="53" fillId="0" borderId="27" xfId="0" applyFont="1" applyBorder="1" applyAlignment="1">
      <alignment horizontal="center" vertical="center"/>
    </xf>
    <xf numFmtId="0" fontId="53" fillId="0" borderId="114" xfId="0" applyFont="1" applyBorder="1" applyAlignment="1">
      <alignment horizontal="center" vertical="center"/>
    </xf>
    <xf numFmtId="0" fontId="53" fillId="0" borderId="123" xfId="0" applyFont="1" applyBorder="1" applyAlignment="1">
      <alignment horizontal="center" vertical="center"/>
    </xf>
    <xf numFmtId="0" fontId="53" fillId="0" borderId="97" xfId="0" applyFont="1" applyBorder="1" applyAlignment="1">
      <alignment horizontal="center" vertical="center"/>
    </xf>
    <xf numFmtId="0" fontId="53" fillId="0" borderId="124" xfId="0" applyFont="1" applyBorder="1" applyAlignment="1">
      <alignment horizontal="center" vertical="center"/>
    </xf>
    <xf numFmtId="0" fontId="53" fillId="0" borderId="125" xfId="0" applyFont="1" applyBorder="1" applyAlignment="1">
      <alignment horizontal="center" vertical="center"/>
    </xf>
    <xf numFmtId="0" fontId="53" fillId="0" borderId="119" xfId="0" applyFont="1" applyBorder="1" applyAlignment="1">
      <alignment horizontal="center" vertical="center"/>
    </xf>
    <xf numFmtId="0" fontId="53" fillId="0" borderId="81" xfId="0" applyFont="1" applyBorder="1" applyAlignment="1">
      <alignment horizontal="center" vertical="top"/>
    </xf>
    <xf numFmtId="0" fontId="53" fillId="0" borderId="92" xfId="0" applyFont="1" applyBorder="1" applyAlignment="1">
      <alignment horizontal="center" vertical="top"/>
    </xf>
    <xf numFmtId="0" fontId="53" fillId="0" borderId="166" xfId="0" applyFont="1" applyBorder="1" applyAlignment="1">
      <alignment horizontal="center" vertical="top"/>
    </xf>
    <xf numFmtId="0" fontId="53" fillId="0" borderId="53" xfId="0" applyFont="1" applyBorder="1" applyAlignment="1">
      <alignment horizontal="center" vertical="center"/>
    </xf>
    <xf numFmtId="0" fontId="53" fillId="0" borderId="52" xfId="0" applyFont="1" applyBorder="1" applyAlignment="1">
      <alignment horizontal="center" vertical="center"/>
    </xf>
    <xf numFmtId="0" fontId="53" fillId="0" borderId="30" xfId="0" applyFont="1" applyBorder="1" applyAlignment="1">
      <alignment horizontal="center" vertical="center" wrapText="1"/>
    </xf>
    <xf numFmtId="0" fontId="53" fillId="0" borderId="47" xfId="0" applyFont="1" applyBorder="1" applyAlignment="1">
      <alignment horizontal="center" vertical="center" wrapText="1"/>
    </xf>
    <xf numFmtId="0" fontId="53" fillId="0" borderId="167" xfId="0" applyFont="1" applyBorder="1" applyAlignment="1">
      <alignment horizontal="center" vertical="center"/>
    </xf>
    <xf numFmtId="0" fontId="53" fillId="0" borderId="19" xfId="0" applyFont="1" applyBorder="1" applyAlignment="1">
      <alignment horizontal="center" vertical="center"/>
    </xf>
    <xf numFmtId="0" fontId="53" fillId="0" borderId="71" xfId="0" applyFont="1" applyBorder="1" applyAlignment="1">
      <alignment horizontal="center" vertical="center"/>
    </xf>
    <xf numFmtId="0" fontId="14" fillId="0" borderId="0" xfId="11" applyFont="1" applyAlignment="1">
      <alignment horizontal="right"/>
    </xf>
    <xf numFmtId="0" fontId="14" fillId="0" borderId="0" xfId="11" applyFont="1" applyAlignment="1">
      <alignment horizontal="center" vertical="center"/>
    </xf>
    <xf numFmtId="0" fontId="14" fillId="26" borderId="0" xfId="11" applyFont="1" applyFill="1"/>
    <xf numFmtId="0" fontId="14" fillId="0" borderId="0" xfId="11" applyFont="1" applyAlignment="1">
      <alignment horizontal="center"/>
    </xf>
    <xf numFmtId="0" fontId="12" fillId="26" borderId="0" xfId="11" applyFont="1" applyFill="1"/>
    <xf numFmtId="0" fontId="9" fillId="26" borderId="0" xfId="11" applyFill="1"/>
    <xf numFmtId="0" fontId="12" fillId="26" borderId="0" xfId="11" applyFont="1" applyFill="1" applyAlignment="1">
      <alignment horizontal="center" vertical="center"/>
    </xf>
    <xf numFmtId="0" fontId="23" fillId="26" borderId="0" xfId="11" applyFont="1" applyFill="1" applyAlignment="1">
      <alignment horizontal="right"/>
    </xf>
    <xf numFmtId="2" fontId="28" fillId="26" borderId="0" xfId="11" applyNumberFormat="1" applyFont="1" applyFill="1" applyAlignment="1">
      <alignment horizontal="center" vertical="center" wrapText="1"/>
    </xf>
    <xf numFmtId="0" fontId="12" fillId="0" borderId="151" xfId="11" applyFont="1" applyBorder="1" applyAlignment="1">
      <alignment horizontal="left" vertical="center" wrapText="1"/>
    </xf>
    <xf numFmtId="0" fontId="12" fillId="0" borderId="150" xfId="11" applyFont="1" applyBorder="1" applyAlignment="1">
      <alignment horizontal="left" vertical="center" wrapText="1"/>
    </xf>
    <xf numFmtId="0" fontId="12" fillId="0" borderId="149" xfId="11" applyFont="1" applyBorder="1" applyAlignment="1">
      <alignment horizontal="left" vertical="center" wrapText="1"/>
    </xf>
    <xf numFmtId="0" fontId="23" fillId="0" borderId="0" xfId="11" applyFont="1" applyAlignment="1"/>
    <xf numFmtId="0" fontId="13" fillId="26" borderId="0" xfId="11" applyFont="1" applyFill="1"/>
    <xf numFmtId="0" fontId="13" fillId="0" borderId="0" xfId="11" applyFont="1" applyAlignment="1"/>
  </cellXfs>
  <cellStyles count="13">
    <cellStyle name="COMMENT" xfId="10" xr:uid="{00000000-0005-0000-0000-000000000000}"/>
    <cellStyle name="ConditionalStyle_27" xfId="1" xr:uid="{00000000-0005-0000-0000-000001000000}"/>
    <cellStyle name="Date" xfId="2" xr:uid="{00000000-0005-0000-0000-000002000000}"/>
    <cellStyle name="Fail" xfId="3" xr:uid="{00000000-0005-0000-0000-000003000000}"/>
    <cellStyle name="Heading" xfId="4" xr:uid="{00000000-0005-0000-0000-000004000000}"/>
    <cellStyle name="Heading1" xfId="5" xr:uid="{00000000-0005-0000-0000-000005000000}"/>
    <cellStyle name="Normal" xfId="0" builtinId="0" customBuiltin="1"/>
    <cellStyle name="Normal 2" xfId="11" xr:uid="{00000000-0005-0000-0000-000007000000}"/>
    <cellStyle name="Normal 2 2" xfId="12" xr:uid="{00000000-0005-0000-0000-000008000000}"/>
    <cellStyle name="Pass" xfId="6" xr:uid="{00000000-0005-0000-0000-000009000000}"/>
    <cellStyle name="Percent" xfId="9" builtinId="5"/>
    <cellStyle name="Result" xfId="7" xr:uid="{00000000-0005-0000-0000-00000B000000}"/>
    <cellStyle name="Result2" xfId="8" xr:uid="{00000000-0005-0000-0000-00000C000000}"/>
  </cellStyles>
  <dxfs count="163">
    <dxf>
      <font>
        <condense val="0"/>
        <extend val="0"/>
        <color indexed="1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FF4040"/>
          <bgColor rgb="FFFF4040"/>
        </patternFill>
      </fill>
    </dxf>
    <dxf>
      <fill>
        <patternFill patternType="solid">
          <fgColor rgb="FF66FF66"/>
          <bgColor rgb="FF66FF66"/>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7979"/>
      <color rgb="FFFF5B5B"/>
      <color rgb="FFFF505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Sheet1!$C$296</c:f>
              <c:strCache>
                <c:ptCount val="1"/>
                <c:pt idx="0">
                  <c:v>/</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Sheet1!$D$296:$D$302</c:f>
              <c:numCache>
                <c:formatCode>General</c:formatCode>
                <c:ptCount val="7"/>
                <c:pt idx="0">
                  <c:v>24</c:v>
                </c:pt>
                <c:pt idx="1">
                  <c:v>25</c:v>
                </c:pt>
                <c:pt idx="2">
                  <c:v>26</c:v>
                </c:pt>
                <c:pt idx="3">
                  <c:v>28</c:v>
                </c:pt>
                <c:pt idx="4">
                  <c:v>30</c:v>
                </c:pt>
                <c:pt idx="5">
                  <c:v>32</c:v>
                </c:pt>
                <c:pt idx="6">
                  <c:v>34</c:v>
                </c:pt>
              </c:numCache>
            </c:numRef>
          </c:xVal>
          <c:yVal>
            <c:numRef>
              <c:f>Sheet1!$I$296:$I$302</c:f>
              <c:numCache>
                <c:formatCode>0.000</c:formatCode>
                <c:ptCount val="7"/>
                <c:pt idx="0">
                  <c:v>0</c:v>
                </c:pt>
                <c:pt idx="1">
                  <c:v>0</c:v>
                </c:pt>
                <c:pt idx="2">
                  <c:v>0</c:v>
                </c:pt>
                <c:pt idx="3">
                  <c:v>0</c:v>
                </c:pt>
                <c:pt idx="4">
                  <c:v>0</c:v>
                </c:pt>
                <c:pt idx="5">
                  <c:v>0</c:v>
                </c:pt>
                <c:pt idx="6">
                  <c:v>0</c:v>
                </c:pt>
              </c:numCache>
            </c:numRef>
          </c:yVal>
          <c:smooth val="1"/>
          <c:extLst>
            <c:ext xmlns:c16="http://schemas.microsoft.com/office/drawing/2014/chart" uri="{C3380CC4-5D6E-409C-BE32-E72D297353CC}">
              <c16:uniqueId val="{00000000-4AAC-460E-BFB9-EE8F78179FB9}"/>
            </c:ext>
          </c:extLst>
        </c:ser>
        <c:ser>
          <c:idx val="1"/>
          <c:order val="1"/>
          <c:tx>
            <c:strRef>
              <c:f>Sheet1!$C$303</c:f>
              <c:strCache>
                <c:ptCount val="1"/>
                <c:pt idx="0">
                  <c:v>/</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Sheet1!$D$303:$D$307</c:f>
              <c:strCache>
                <c:ptCount val="4"/>
                <c:pt idx="0">
                  <c:v>28</c:v>
                </c:pt>
                <c:pt idx="1">
                  <c:v>30</c:v>
                </c:pt>
                <c:pt idx="2">
                  <c:v>32</c:v>
                </c:pt>
                <c:pt idx="3">
                  <c:v>34</c:v>
                </c:pt>
              </c:strCache>
            </c:strRef>
          </c:xVal>
          <c:yVal>
            <c:numRef>
              <c:f>Sheet1!$I$303:$I$307</c:f>
              <c:numCache>
                <c:formatCode>0.000</c:formatCode>
                <c:ptCount val="5"/>
                <c:pt idx="0">
                  <c:v>0</c:v>
                </c:pt>
                <c:pt idx="1">
                  <c:v>0</c:v>
                </c:pt>
                <c:pt idx="2">
                  <c:v>0</c:v>
                </c:pt>
                <c:pt idx="3">
                  <c:v>0</c:v>
                </c:pt>
                <c:pt idx="4">
                  <c:v>0</c:v>
                </c:pt>
              </c:numCache>
            </c:numRef>
          </c:yVal>
          <c:smooth val="1"/>
          <c:extLst>
            <c:ext xmlns:c16="http://schemas.microsoft.com/office/drawing/2014/chart" uri="{C3380CC4-5D6E-409C-BE32-E72D297353CC}">
              <c16:uniqueId val="{00000001-4AAC-460E-BFB9-EE8F78179FB9}"/>
            </c:ext>
          </c:extLst>
        </c:ser>
        <c:ser>
          <c:idx val="2"/>
          <c:order val="2"/>
          <c:tx>
            <c:strRef>
              <c:f>Sheet1!$C$308</c:f>
              <c:strCache>
                <c:ptCount val="1"/>
                <c:pt idx="0">
                  <c:v>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Sheet1!$D$308:$D$312</c:f>
            </c:numRef>
          </c:xVal>
          <c:yVal>
            <c:numRef>
              <c:f>Sheet1!$I$308:$I$312</c:f>
              <c:numCache>
                <c:formatCode>0.000</c:formatCode>
                <c:ptCount val="5"/>
                <c:pt idx="0">
                  <c:v>0</c:v>
                </c:pt>
                <c:pt idx="1">
                  <c:v>0</c:v>
                </c:pt>
                <c:pt idx="2">
                  <c:v>0</c:v>
                </c:pt>
                <c:pt idx="3">
                  <c:v>0</c:v>
                </c:pt>
                <c:pt idx="4">
                  <c:v>0</c:v>
                </c:pt>
              </c:numCache>
            </c:numRef>
          </c:yVal>
          <c:smooth val="1"/>
          <c:extLst>
            <c:ext xmlns:c16="http://schemas.microsoft.com/office/drawing/2014/chart" uri="{C3380CC4-5D6E-409C-BE32-E72D297353CC}">
              <c16:uniqueId val="{00000002-4AAC-460E-BFB9-EE8F78179FB9}"/>
            </c:ext>
          </c:extLst>
        </c:ser>
        <c:dLbls>
          <c:showLegendKey val="0"/>
          <c:showVal val="0"/>
          <c:showCatName val="0"/>
          <c:showSerName val="0"/>
          <c:showPercent val="0"/>
          <c:showBubbleSize val="0"/>
        </c:dLbls>
        <c:axId val="227473576"/>
        <c:axId val="227473968"/>
      </c:scatterChart>
      <c:valAx>
        <c:axId val="227473576"/>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968"/>
        <c:crosses val="autoZero"/>
        <c:crossBetween val="midCat"/>
      </c:valAx>
      <c:valAx>
        <c:axId val="227473968"/>
        <c:scaling>
          <c:orientation val="minMax"/>
          <c:max val="0.16000000000000003"/>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Output (mGy/mAs)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5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(45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Tables!$D$53:$K$53</c:f>
              <c:numCache>
                <c:formatCode>General</c:formatCode>
                <c:ptCount val="8"/>
                <c:pt idx="0">
                  <c:v>0.13</c:v>
                </c:pt>
                <c:pt idx="1">
                  <c:v>0.155</c:v>
                </c:pt>
                <c:pt idx="2">
                  <c:v>0.17699999999999999</c:v>
                </c:pt>
                <c:pt idx="3">
                  <c:v>0.19800000000000001</c:v>
                </c:pt>
                <c:pt idx="4">
                  <c:v>0.22</c:v>
                </c:pt>
                <c:pt idx="5">
                  <c:v>0.245</c:v>
                </c:pt>
                <c:pt idx="6">
                  <c:v>0.27200000000000002</c:v>
                </c:pt>
                <c:pt idx="7">
                  <c:v>0.29499999999999998</c:v>
                </c:pt>
              </c:numCache>
            </c:numRef>
          </c:yVal>
          <c:smooth val="1"/>
          <c:extLst>
            <c:ext xmlns:c16="http://schemas.microsoft.com/office/drawing/2014/chart" uri="{C3380CC4-5D6E-409C-BE32-E72D297353CC}">
              <c16:uniqueId val="{00000000-55B1-429E-A2C9-5FA2878DF919}"/>
            </c:ext>
          </c:extLst>
        </c:ser>
        <c:dLbls>
          <c:showLegendKey val="0"/>
          <c:showVal val="0"/>
          <c:showCatName val="0"/>
          <c:showSerName val="0"/>
          <c:showPercent val="0"/>
          <c:showBubbleSize val="0"/>
        </c:dLbls>
        <c:axId val="176392456"/>
        <c:axId val="227474752"/>
      </c:scatterChart>
      <c:valAx>
        <c:axId val="176392456"/>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4752"/>
        <c:crosses val="autoZero"/>
        <c:crossBetween val="midCat"/>
      </c:valAx>
      <c:valAx>
        <c:axId val="227474752"/>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2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a:t>
            </a:r>
            <a:r>
              <a:rPr lang="en-US" baseline="0"/>
              <a:t> (45 mm PMMA)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Tables!$E$54:$K$54</c:f>
              <c:numCache>
                <c:formatCode>General</c:formatCode>
                <c:ptCount val="7"/>
                <c:pt idx="0">
                  <c:v>1.109</c:v>
                </c:pt>
                <c:pt idx="1">
                  <c:v>1.105</c:v>
                </c:pt>
                <c:pt idx="2">
                  <c:v>1.1020000000000001</c:v>
                </c:pt>
                <c:pt idx="3">
                  <c:v>1.099</c:v>
                </c:pt>
                <c:pt idx="4">
                  <c:v>1.0960000000000001</c:v>
                </c:pt>
                <c:pt idx="5">
                  <c:v>1.091</c:v>
                </c:pt>
                <c:pt idx="6">
                  <c:v>1.0880000000000001</c:v>
                </c:pt>
              </c:numCache>
            </c:numRef>
          </c:yVal>
          <c:smooth val="1"/>
          <c:extLst>
            <c:ext xmlns:c16="http://schemas.microsoft.com/office/drawing/2014/chart" uri="{C3380CC4-5D6E-409C-BE32-E72D297353CC}">
              <c16:uniqueId val="{00000000-4B09-489A-9E4E-267222458CB5}"/>
            </c:ext>
          </c:extLst>
        </c:ser>
        <c:dLbls>
          <c:showLegendKey val="0"/>
          <c:showVal val="0"/>
          <c:showCatName val="0"/>
          <c:showSerName val="0"/>
          <c:showPercent val="0"/>
          <c:showBubbleSize val="0"/>
        </c:dLbls>
        <c:axId val="226002408"/>
        <c:axId val="226002800"/>
      </c:scatterChart>
      <c:valAx>
        <c:axId val="226002408"/>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800"/>
        <c:crosses val="autoZero"/>
        <c:crossBetween val="midCat"/>
      </c:valAx>
      <c:valAx>
        <c:axId val="22600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Tables!$D$55:$K$55</c:f>
              <c:numCache>
                <c:formatCode>General</c:formatCode>
                <c:ptCount val="8"/>
                <c:pt idx="0">
                  <c:v>0.112</c:v>
                </c:pt>
                <c:pt idx="1">
                  <c:v>0.13500000000000001</c:v>
                </c:pt>
                <c:pt idx="2">
                  <c:v>0.154</c:v>
                </c:pt>
                <c:pt idx="3">
                  <c:v>0.17199999999999999</c:v>
                </c:pt>
                <c:pt idx="4">
                  <c:v>0.192</c:v>
                </c:pt>
                <c:pt idx="5">
                  <c:v>0.214</c:v>
                </c:pt>
                <c:pt idx="6">
                  <c:v>0.23599999999999999</c:v>
                </c:pt>
                <c:pt idx="7">
                  <c:v>0.26100000000000001</c:v>
                </c:pt>
              </c:numCache>
            </c:numRef>
          </c:yVal>
          <c:smooth val="1"/>
          <c:extLst>
            <c:ext xmlns:c16="http://schemas.microsoft.com/office/drawing/2014/chart" uri="{C3380CC4-5D6E-409C-BE32-E72D297353CC}">
              <c16:uniqueId val="{00000000-219F-47ED-9609-B1E2B0ADC284}"/>
            </c:ext>
          </c:extLst>
        </c:ser>
        <c:dLbls>
          <c:showLegendKey val="0"/>
          <c:showVal val="0"/>
          <c:showCatName val="0"/>
          <c:showSerName val="0"/>
          <c:showPercent val="0"/>
          <c:showBubbleSize val="0"/>
        </c:dLbls>
        <c:axId val="226003584"/>
        <c:axId val="226003976"/>
      </c:scatterChart>
      <c:valAx>
        <c:axId val="226003584"/>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976"/>
        <c:crosses val="autoZero"/>
        <c:crossBetween val="midCat"/>
      </c:valAx>
      <c:valAx>
        <c:axId val="226003976"/>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Tables!$E$56:$K$56</c:f>
              <c:numCache>
                <c:formatCode>0.000</c:formatCode>
                <c:ptCount val="7"/>
                <c:pt idx="0">
                  <c:v>1.1639999999999999</c:v>
                </c:pt>
                <c:pt idx="1">
                  <c:v>1.1599999999999999</c:v>
                </c:pt>
                <c:pt idx="2">
                  <c:v>1.151</c:v>
                </c:pt>
                <c:pt idx="3">
                  <c:v>1.1499999999999999</c:v>
                </c:pt>
                <c:pt idx="4">
                  <c:v>1.1439999999999999</c:v>
                </c:pt>
                <c:pt idx="5">
                  <c:v>1.139</c:v>
                </c:pt>
                <c:pt idx="6">
                  <c:v>1.1339999999999999</c:v>
                </c:pt>
              </c:numCache>
            </c:numRef>
          </c:yVal>
          <c:smooth val="1"/>
          <c:extLst>
            <c:ext xmlns:c16="http://schemas.microsoft.com/office/drawing/2014/chart" uri="{C3380CC4-5D6E-409C-BE32-E72D297353CC}">
              <c16:uniqueId val="{00000000-76C0-48D9-974D-C43BC8467EB1}"/>
            </c:ext>
          </c:extLst>
        </c:ser>
        <c:dLbls>
          <c:showLegendKey val="0"/>
          <c:showVal val="0"/>
          <c:showCatName val="0"/>
          <c:showSerName val="0"/>
          <c:showPercent val="0"/>
          <c:showBubbleSize val="0"/>
        </c:dLbls>
        <c:axId val="226004760"/>
        <c:axId val="226005152"/>
      </c:scatterChart>
      <c:valAx>
        <c:axId val="226004760"/>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5152"/>
        <c:crosses val="autoZero"/>
        <c:crossBetween val="midCat"/>
      </c:valAx>
      <c:valAx>
        <c:axId val="22600515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4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Tables!$A$63</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Tables!$B$63:$B$69</c:f>
              <c:numCache>
                <c:formatCode>General</c:formatCode>
                <c:ptCount val="7"/>
                <c:pt idx="0">
                  <c:v>24</c:v>
                </c:pt>
                <c:pt idx="1">
                  <c:v>25</c:v>
                </c:pt>
                <c:pt idx="2">
                  <c:v>26</c:v>
                </c:pt>
                <c:pt idx="3">
                  <c:v>28</c:v>
                </c:pt>
                <c:pt idx="4">
                  <c:v>30</c:v>
                </c:pt>
                <c:pt idx="5">
                  <c:v>32</c:v>
                </c:pt>
                <c:pt idx="6">
                  <c:v>34</c:v>
                </c:pt>
              </c:numCache>
            </c:numRef>
          </c:xVal>
          <c:yVal>
            <c:numRef>
              <c:f>Tables!$C$63:$C$69</c:f>
              <c:numCache>
                <c:formatCode>0.0000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1-17BA-40C9-997C-F6EDB536264E}"/>
            </c:ext>
          </c:extLst>
        </c:ser>
        <c:ser>
          <c:idx val="1"/>
          <c:order val="1"/>
          <c:tx>
            <c:strRef>
              <c:f>Tables!$D$63</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Tables!$E$63:$E$66</c:f>
              <c:numCache>
                <c:formatCode>General</c:formatCode>
                <c:ptCount val="4"/>
                <c:pt idx="0">
                  <c:v>28</c:v>
                </c:pt>
                <c:pt idx="1">
                  <c:v>30</c:v>
                </c:pt>
                <c:pt idx="2">
                  <c:v>32</c:v>
                </c:pt>
                <c:pt idx="3">
                  <c:v>34</c:v>
                </c:pt>
              </c:numCache>
            </c:numRef>
          </c:xVal>
          <c:yVal>
            <c:numRef>
              <c:f>Tables!$F$63:$F$66</c:f>
              <c:numCache>
                <c:formatCode>0.0000</c:formatCode>
                <c:ptCount val="4"/>
                <c:pt idx="0">
                  <c:v>0</c:v>
                </c:pt>
                <c:pt idx="1">
                  <c:v>0</c:v>
                </c:pt>
                <c:pt idx="2">
                  <c:v>0</c:v>
                </c:pt>
                <c:pt idx="3">
                  <c:v>0</c:v>
                </c:pt>
              </c:numCache>
            </c:numRef>
          </c:yVal>
          <c:smooth val="0"/>
          <c:extLst>
            <c:ext xmlns:c16="http://schemas.microsoft.com/office/drawing/2014/chart" uri="{C3380CC4-5D6E-409C-BE32-E72D297353CC}">
              <c16:uniqueId val="{00000002-17BA-40C9-997C-F6EDB536264E}"/>
            </c:ext>
          </c:extLst>
        </c:ser>
        <c:ser>
          <c:idx val="2"/>
          <c:order val="2"/>
          <c:tx>
            <c:strRef>
              <c:f>Tables!$G$63</c:f>
              <c:strCache>
                <c:ptCount val="1"/>
                <c:pt idx="0">
                  <c:v>0.000</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Tables!$H$63:$H$66</c:f>
              <c:numCache>
                <c:formatCode>General</c:formatCode>
                <c:ptCount val="4"/>
                <c:pt idx="0">
                  <c:v>0</c:v>
                </c:pt>
                <c:pt idx="1">
                  <c:v>0</c:v>
                </c:pt>
                <c:pt idx="2">
                  <c:v>0</c:v>
                </c:pt>
                <c:pt idx="3">
                  <c:v>0</c:v>
                </c:pt>
              </c:numCache>
            </c:numRef>
          </c:xVal>
          <c:yVal>
            <c:numRef>
              <c:f>Tables!$I$63:$I$66</c:f>
              <c:numCache>
                <c:formatCode>0.000</c:formatCode>
                <c:ptCount val="4"/>
                <c:pt idx="0">
                  <c:v>0</c:v>
                </c:pt>
                <c:pt idx="1">
                  <c:v>0</c:v>
                </c:pt>
                <c:pt idx="2">
                  <c:v>0</c:v>
                </c:pt>
                <c:pt idx="3">
                  <c:v>0</c:v>
                </c:pt>
              </c:numCache>
            </c:numRef>
          </c:yVal>
          <c:smooth val="0"/>
          <c:extLst>
            <c:ext xmlns:c16="http://schemas.microsoft.com/office/drawing/2014/chart" uri="{C3380CC4-5D6E-409C-BE32-E72D297353CC}">
              <c16:uniqueId val="{00000003-17BA-40C9-997C-F6EDB536264E}"/>
            </c:ext>
          </c:extLst>
        </c:ser>
        <c:dLbls>
          <c:showLegendKey val="0"/>
          <c:showVal val="0"/>
          <c:showCatName val="0"/>
          <c:showSerName val="0"/>
          <c:showPercent val="0"/>
          <c:showBubbleSize val="0"/>
        </c:dLbls>
        <c:axId val="460688432"/>
        <c:axId val="418139808"/>
      </c:scatterChart>
      <c:valAx>
        <c:axId val="460688432"/>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39808"/>
        <c:crosses val="autoZero"/>
        <c:crossBetween val="midCat"/>
      </c:valAx>
      <c:valAx>
        <c:axId val="418139808"/>
        <c:scaling>
          <c:orientation val="minMax"/>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688432"/>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HVL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Tables!$A$76</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Tables!$B$76:$B$82</c:f>
              <c:numCache>
                <c:formatCode>0.00</c:formatCode>
                <c:ptCount val="7"/>
                <c:pt idx="0">
                  <c:v>0</c:v>
                </c:pt>
                <c:pt idx="1">
                  <c:v>0</c:v>
                </c:pt>
                <c:pt idx="2">
                  <c:v>0</c:v>
                </c:pt>
                <c:pt idx="3">
                  <c:v>0</c:v>
                </c:pt>
                <c:pt idx="4">
                  <c:v>0</c:v>
                </c:pt>
                <c:pt idx="5">
                  <c:v>0</c:v>
                </c:pt>
                <c:pt idx="6">
                  <c:v>0</c:v>
                </c:pt>
              </c:numCache>
            </c:numRef>
          </c:xVal>
          <c:yVal>
            <c:numRef>
              <c:f>Tables!$C$76:$C$82</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82E3-4B85-A964-7E41C4315B25}"/>
            </c:ext>
          </c:extLst>
        </c:ser>
        <c:ser>
          <c:idx val="1"/>
          <c:order val="1"/>
          <c:tx>
            <c:strRef>
              <c:f>Tables!$D$76</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Tables!$E$76:$E$79</c:f>
              <c:numCache>
                <c:formatCode>0.00</c:formatCode>
                <c:ptCount val="4"/>
                <c:pt idx="0">
                  <c:v>0</c:v>
                </c:pt>
                <c:pt idx="1">
                  <c:v>0</c:v>
                </c:pt>
                <c:pt idx="2">
                  <c:v>0</c:v>
                </c:pt>
                <c:pt idx="3">
                  <c:v>0</c:v>
                </c:pt>
              </c:numCache>
            </c:numRef>
          </c:xVal>
          <c:yVal>
            <c:numRef>
              <c:f>Tables!$F$76:$F$79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1-82E3-4B85-A964-7E41C4315B25}"/>
            </c:ext>
          </c:extLst>
        </c:ser>
        <c:ser>
          <c:idx val="2"/>
          <c:order val="2"/>
          <c:tx>
            <c:strRef>
              <c:f>Tables!$G$76</c:f>
              <c:strCache>
                <c:ptCount val="1"/>
                <c:pt idx="0">
                  <c:v>0</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Tables!$H$76:$H$79</c:f>
              <c:numCache>
                <c:formatCode>0.00</c:formatCode>
                <c:ptCount val="4"/>
                <c:pt idx="0">
                  <c:v>0</c:v>
                </c:pt>
                <c:pt idx="1">
                  <c:v>0</c:v>
                </c:pt>
                <c:pt idx="2">
                  <c:v>0</c:v>
                </c:pt>
                <c:pt idx="3">
                  <c:v>0</c:v>
                </c:pt>
              </c:numCache>
            </c:numRef>
          </c:xVal>
          <c:yVal>
            <c:numRef>
              <c:f>Tables!$I$76:$I$79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2-82E3-4B85-A964-7E41C4315B25}"/>
            </c:ext>
          </c:extLst>
        </c:ser>
        <c:dLbls>
          <c:showLegendKey val="0"/>
          <c:showVal val="0"/>
          <c:showCatName val="0"/>
          <c:showSerName val="0"/>
          <c:showPercent val="0"/>
          <c:showBubbleSize val="0"/>
        </c:dLbls>
        <c:axId val="354891040"/>
        <c:axId val="347949808"/>
      </c:scatterChart>
      <c:valAx>
        <c:axId val="354891040"/>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949808"/>
        <c:crosses val="autoZero"/>
        <c:crossBetween val="midCat"/>
      </c:valAx>
      <c:valAx>
        <c:axId val="347949808"/>
        <c:scaling>
          <c:orientation val="minMax"/>
          <c:max val="0.60000000000000009"/>
          <c:min val="0.30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HVL (mm 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891040"/>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544830</xdr:colOff>
          <xdr:row>13</xdr:row>
          <xdr:rowOff>11430</xdr:rowOff>
        </xdr:to>
        <xdr:sp macro="" textlink="">
          <xdr:nvSpPr>
            <xdr:cNvPr id="14337" name="Check Box 1" hidden="1">
              <a:extLst>
                <a:ext uri="{63B3BB69-23CF-44E3-9099-C40C66FF867C}">
                  <a14:compatExt spid="_x0000_s14337"/>
                </a:ext>
                <a:ext uri="{FF2B5EF4-FFF2-40B4-BE49-F238E27FC236}">
                  <a16:creationId xmlns:a16="http://schemas.microsoft.com/office/drawing/2014/main" id="{00000000-0008-0000-0000-000001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525780</xdr:colOff>
          <xdr:row>12</xdr:row>
          <xdr:rowOff>0</xdr:rowOff>
        </xdr:from>
        <xdr:to>
          <xdr:col>9</xdr:col>
          <xdr:colOff>483870</xdr:colOff>
          <xdr:row>13</xdr:row>
          <xdr:rowOff>11430</xdr:rowOff>
        </xdr:to>
        <xdr:sp macro="" textlink="">
          <xdr:nvSpPr>
            <xdr:cNvPr id="14338" name="Check Box 2" hidden="1">
              <a:extLst>
                <a:ext uri="{63B3BB69-23CF-44E3-9099-C40C66FF867C}">
                  <a14:compatExt spid="_x0000_s14338"/>
                </a:ext>
                <a:ext uri="{FF2B5EF4-FFF2-40B4-BE49-F238E27FC236}">
                  <a16:creationId xmlns:a16="http://schemas.microsoft.com/office/drawing/2014/main" id="{00000000-0008-0000-0000-000002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544830</xdr:colOff>
          <xdr:row>14</xdr:row>
          <xdr:rowOff>11430</xdr:rowOff>
        </xdr:to>
        <xdr:sp macro="" textlink="">
          <xdr:nvSpPr>
            <xdr:cNvPr id="14339" name="Check Box 3" hidden="1">
              <a:extLst>
                <a:ext uri="{63B3BB69-23CF-44E3-9099-C40C66FF867C}">
                  <a14:compatExt spid="_x0000_s14339"/>
                </a:ext>
                <a:ext uri="{FF2B5EF4-FFF2-40B4-BE49-F238E27FC236}">
                  <a16:creationId xmlns:a16="http://schemas.microsoft.com/office/drawing/2014/main" id="{00000000-0008-0000-0000-000003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525780</xdr:colOff>
          <xdr:row>13</xdr:row>
          <xdr:rowOff>0</xdr:rowOff>
        </xdr:from>
        <xdr:to>
          <xdr:col>9</xdr:col>
          <xdr:colOff>483870</xdr:colOff>
          <xdr:row>14</xdr:row>
          <xdr:rowOff>11430</xdr:rowOff>
        </xdr:to>
        <xdr:sp macro="" textlink="">
          <xdr:nvSpPr>
            <xdr:cNvPr id="14340" name="Check Box 4" hidden="1">
              <a:extLst>
                <a:ext uri="{63B3BB69-23CF-44E3-9099-C40C66FF867C}">
                  <a14:compatExt spid="_x0000_s14340"/>
                </a:ext>
                <a:ext uri="{FF2B5EF4-FFF2-40B4-BE49-F238E27FC236}">
                  <a16:creationId xmlns:a16="http://schemas.microsoft.com/office/drawing/2014/main" id="{00000000-0008-0000-0000-000004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251460</xdr:colOff>
          <xdr:row>15</xdr:row>
          <xdr:rowOff>7620</xdr:rowOff>
        </xdr:from>
        <xdr:to>
          <xdr:col>3</xdr:col>
          <xdr:colOff>102870</xdr:colOff>
          <xdr:row>16</xdr:row>
          <xdr:rowOff>11430</xdr:rowOff>
        </xdr:to>
        <xdr:sp macro="" textlink="">
          <xdr:nvSpPr>
            <xdr:cNvPr id="14341" name="Check Box 5" hidden="1">
              <a:extLst>
                <a:ext uri="{63B3BB69-23CF-44E3-9099-C40C66FF867C}">
                  <a14:compatExt spid="_x0000_s14341"/>
                </a:ext>
                <a:ext uri="{FF2B5EF4-FFF2-40B4-BE49-F238E27FC236}">
                  <a16:creationId xmlns:a16="http://schemas.microsoft.com/office/drawing/2014/main" id="{00000000-0008-0000-0000-000005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15</xdr:row>
          <xdr:rowOff>7620</xdr:rowOff>
        </xdr:from>
        <xdr:to>
          <xdr:col>13</xdr:col>
          <xdr:colOff>419100</xdr:colOff>
          <xdr:row>16</xdr:row>
          <xdr:rowOff>11430</xdr:rowOff>
        </xdr:to>
        <xdr:sp macro="" textlink="">
          <xdr:nvSpPr>
            <xdr:cNvPr id="14342" name="Check Box 6" hidden="1">
              <a:extLst>
                <a:ext uri="{63B3BB69-23CF-44E3-9099-C40C66FF867C}">
                  <a14:compatExt spid="_x0000_s14342"/>
                </a:ext>
                <a:ext uri="{FF2B5EF4-FFF2-40B4-BE49-F238E27FC236}">
                  <a16:creationId xmlns:a16="http://schemas.microsoft.com/office/drawing/2014/main" id="{00000000-0008-0000-0000-000006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251460</xdr:colOff>
          <xdr:row>16</xdr:row>
          <xdr:rowOff>7620</xdr:rowOff>
        </xdr:from>
        <xdr:to>
          <xdr:col>3</xdr:col>
          <xdr:colOff>102870</xdr:colOff>
          <xdr:row>17</xdr:row>
          <xdr:rowOff>0</xdr:rowOff>
        </xdr:to>
        <xdr:sp macro="" textlink="">
          <xdr:nvSpPr>
            <xdr:cNvPr id="14343" name="Check Box 7" hidden="1">
              <a:extLst>
                <a:ext uri="{63B3BB69-23CF-44E3-9099-C40C66FF867C}">
                  <a14:compatExt spid="_x0000_s14343"/>
                </a:ext>
                <a:ext uri="{FF2B5EF4-FFF2-40B4-BE49-F238E27FC236}">
                  <a16:creationId xmlns:a16="http://schemas.microsoft.com/office/drawing/2014/main" id="{00000000-0008-0000-0000-000007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251460</xdr:colOff>
          <xdr:row>16</xdr:row>
          <xdr:rowOff>0</xdr:rowOff>
        </xdr:from>
        <xdr:to>
          <xdr:col>5</xdr:col>
          <xdr:colOff>102870</xdr:colOff>
          <xdr:row>16</xdr:row>
          <xdr:rowOff>190500</xdr:rowOff>
        </xdr:to>
        <xdr:sp macro="" textlink="">
          <xdr:nvSpPr>
            <xdr:cNvPr id="14344" name="Check Box 8" hidden="1">
              <a:extLst>
                <a:ext uri="{63B3BB69-23CF-44E3-9099-C40C66FF867C}">
                  <a14:compatExt spid="_x0000_s14344"/>
                </a:ext>
                <a:ext uri="{FF2B5EF4-FFF2-40B4-BE49-F238E27FC236}">
                  <a16:creationId xmlns:a16="http://schemas.microsoft.com/office/drawing/2014/main" id="{00000000-0008-0000-0000-000008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12</xdr:col>
      <xdr:colOff>0</xdr:colOff>
      <xdr:row>5</xdr:row>
      <xdr:rowOff>0</xdr:rowOff>
    </xdr:from>
    <xdr:to>
      <xdr:col>13</xdr:col>
      <xdr:colOff>243840</xdr:colOff>
      <xdr:row>6</xdr:row>
      <xdr:rowOff>19717</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91275" y="1295400"/>
          <a:ext cx="742950" cy="2216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a:extLst>
                <a:ext uri="{FF2B5EF4-FFF2-40B4-BE49-F238E27FC236}">
                  <a16:creationId xmlns:a16="http://schemas.microsoft.com/office/drawing/2014/main" id="{00000000-0008-0000-0200-000002000000}"/>
                </a:ext>
              </a:extLst>
            </xdr:cNvPr>
            <xdr:cNvGrpSpPr>
              <a:grpSpLocks/>
            </xdr:cNvGrpSpPr>
          </xdr:nvGrpSpPr>
          <xdr:grpSpPr bwMode="auto">
            <a:xfrm>
              <a:off x="5044440" y="2442210"/>
              <a:ext cx="963930" cy="396240"/>
              <a:chOff x="537" y="182"/>
              <a:chExt cx="101" cy="42"/>
            </a:xfrm>
          </xdr:grpSpPr>
          <xdr:sp macro="" textlink="">
            <xdr:nvSpPr>
              <xdr:cNvPr id="20481" name="Check Box 1" hidden="1">
                <a:extLst>
                  <a:ext uri="{63B3BB69-23CF-44E3-9099-C40C66FF867C}">
                    <a14:compatExt spid="_x0000_s20481"/>
                  </a:ext>
                  <a:ext uri="{FF2B5EF4-FFF2-40B4-BE49-F238E27FC236}">
                    <a16:creationId xmlns:a16="http://schemas.microsoft.com/office/drawing/2014/main" id="{00000000-0008-0000-0200-000001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2" name="Check Box 2" hidden="1">
                <a:extLst>
                  <a:ext uri="{63B3BB69-23CF-44E3-9099-C40C66FF867C}">
                    <a14:compatExt spid="_x0000_s20482"/>
                  </a:ext>
                  <a:ext uri="{FF2B5EF4-FFF2-40B4-BE49-F238E27FC236}">
                    <a16:creationId xmlns:a16="http://schemas.microsoft.com/office/drawing/2014/main" id="{00000000-0008-0000-0200-000002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3" name="Check Box 3" hidden="1">
                <a:extLst>
                  <a:ext uri="{63B3BB69-23CF-44E3-9099-C40C66FF867C}">
                    <a14:compatExt spid="_x0000_s20483"/>
                  </a:ext>
                  <a:ext uri="{FF2B5EF4-FFF2-40B4-BE49-F238E27FC236}">
                    <a16:creationId xmlns:a16="http://schemas.microsoft.com/office/drawing/2014/main" id="{00000000-0008-0000-0200-000003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a:extLst>
                <a:ext uri="{FF2B5EF4-FFF2-40B4-BE49-F238E27FC236}">
                  <a16:creationId xmlns:a16="http://schemas.microsoft.com/office/drawing/2014/main" id="{00000000-0008-0000-0200-000006000000}"/>
                </a:ext>
              </a:extLst>
            </xdr:cNvPr>
            <xdr:cNvGrpSpPr>
              <a:grpSpLocks/>
            </xdr:cNvGrpSpPr>
          </xdr:nvGrpSpPr>
          <xdr:grpSpPr bwMode="auto">
            <a:xfrm>
              <a:off x="5044440" y="2861310"/>
              <a:ext cx="963930" cy="316230"/>
              <a:chOff x="537" y="182"/>
              <a:chExt cx="101" cy="42"/>
            </a:xfrm>
          </xdr:grpSpPr>
          <xdr:sp macro="" textlink="">
            <xdr:nvSpPr>
              <xdr:cNvPr id="20484" name="Check Box 4" hidden="1">
                <a:extLst>
                  <a:ext uri="{63B3BB69-23CF-44E3-9099-C40C66FF867C}">
                    <a14:compatExt spid="_x0000_s20484"/>
                  </a:ext>
                  <a:ext uri="{FF2B5EF4-FFF2-40B4-BE49-F238E27FC236}">
                    <a16:creationId xmlns:a16="http://schemas.microsoft.com/office/drawing/2014/main" id="{00000000-0008-0000-0200-000004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5" name="Check Box 5" hidden="1">
                <a:extLst>
                  <a:ext uri="{63B3BB69-23CF-44E3-9099-C40C66FF867C}">
                    <a14:compatExt spid="_x0000_s20485"/>
                  </a:ext>
                  <a:ext uri="{FF2B5EF4-FFF2-40B4-BE49-F238E27FC236}">
                    <a16:creationId xmlns:a16="http://schemas.microsoft.com/office/drawing/2014/main" id="{00000000-0008-0000-0200-000005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6" name="Check Box 6" hidden="1">
                <a:extLst>
                  <a:ext uri="{63B3BB69-23CF-44E3-9099-C40C66FF867C}">
                    <a14:compatExt spid="_x0000_s20486"/>
                  </a:ext>
                  <a:ext uri="{FF2B5EF4-FFF2-40B4-BE49-F238E27FC236}">
                    <a16:creationId xmlns:a16="http://schemas.microsoft.com/office/drawing/2014/main" id="{00000000-0008-0000-0200-000006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a:extLst>
                <a:ext uri="{FF2B5EF4-FFF2-40B4-BE49-F238E27FC236}">
                  <a16:creationId xmlns:a16="http://schemas.microsoft.com/office/drawing/2014/main" id="{00000000-0008-0000-0200-00000A000000}"/>
                </a:ext>
              </a:extLst>
            </xdr:cNvPr>
            <xdr:cNvGrpSpPr>
              <a:grpSpLocks/>
            </xdr:cNvGrpSpPr>
          </xdr:nvGrpSpPr>
          <xdr:grpSpPr bwMode="auto">
            <a:xfrm>
              <a:off x="5044440" y="3188970"/>
              <a:ext cx="963930" cy="415290"/>
              <a:chOff x="537" y="182"/>
              <a:chExt cx="101" cy="42"/>
            </a:xfrm>
          </xdr:grpSpPr>
          <xdr:sp macro="" textlink="">
            <xdr:nvSpPr>
              <xdr:cNvPr id="20487" name="Check Box 7" hidden="1">
                <a:extLst>
                  <a:ext uri="{63B3BB69-23CF-44E3-9099-C40C66FF867C}">
                    <a14:compatExt spid="_x0000_s20487"/>
                  </a:ext>
                  <a:ext uri="{FF2B5EF4-FFF2-40B4-BE49-F238E27FC236}">
                    <a16:creationId xmlns:a16="http://schemas.microsoft.com/office/drawing/2014/main" id="{00000000-0008-0000-0200-000007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8" name="Check Box 8" hidden="1">
                <a:extLst>
                  <a:ext uri="{63B3BB69-23CF-44E3-9099-C40C66FF867C}">
                    <a14:compatExt spid="_x0000_s20488"/>
                  </a:ext>
                  <a:ext uri="{FF2B5EF4-FFF2-40B4-BE49-F238E27FC236}">
                    <a16:creationId xmlns:a16="http://schemas.microsoft.com/office/drawing/2014/main" id="{00000000-0008-0000-0200-000008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9" name="Check Box 9" hidden="1">
                <a:extLst>
                  <a:ext uri="{63B3BB69-23CF-44E3-9099-C40C66FF867C}">
                    <a14:compatExt spid="_x0000_s20489"/>
                  </a:ext>
                  <a:ext uri="{FF2B5EF4-FFF2-40B4-BE49-F238E27FC236}">
                    <a16:creationId xmlns:a16="http://schemas.microsoft.com/office/drawing/2014/main" id="{00000000-0008-0000-0200-000009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a:extLst>
                <a:ext uri="{FF2B5EF4-FFF2-40B4-BE49-F238E27FC236}">
                  <a16:creationId xmlns:a16="http://schemas.microsoft.com/office/drawing/2014/main" id="{00000000-0008-0000-0200-00000E000000}"/>
                </a:ext>
              </a:extLst>
            </xdr:cNvPr>
            <xdr:cNvGrpSpPr>
              <a:grpSpLocks/>
            </xdr:cNvGrpSpPr>
          </xdr:nvGrpSpPr>
          <xdr:grpSpPr bwMode="auto">
            <a:xfrm>
              <a:off x="5044440" y="3615690"/>
              <a:ext cx="963930" cy="415290"/>
              <a:chOff x="537" y="182"/>
              <a:chExt cx="101" cy="42"/>
            </a:xfrm>
          </xdr:grpSpPr>
          <xdr:sp macro="" textlink="">
            <xdr:nvSpPr>
              <xdr:cNvPr id="20490" name="Check Box 10" hidden="1">
                <a:extLst>
                  <a:ext uri="{63B3BB69-23CF-44E3-9099-C40C66FF867C}">
                    <a14:compatExt spid="_x0000_s20490"/>
                  </a:ext>
                  <a:ext uri="{FF2B5EF4-FFF2-40B4-BE49-F238E27FC236}">
                    <a16:creationId xmlns:a16="http://schemas.microsoft.com/office/drawing/2014/main" id="{00000000-0008-0000-0200-00000A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1" name="Check Box 11" hidden="1">
                <a:extLst>
                  <a:ext uri="{63B3BB69-23CF-44E3-9099-C40C66FF867C}">
                    <a14:compatExt spid="_x0000_s20491"/>
                  </a:ext>
                  <a:ext uri="{FF2B5EF4-FFF2-40B4-BE49-F238E27FC236}">
                    <a16:creationId xmlns:a16="http://schemas.microsoft.com/office/drawing/2014/main" id="{00000000-0008-0000-0200-00000B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2" name="Check Box 12" hidden="1">
                <a:extLst>
                  <a:ext uri="{63B3BB69-23CF-44E3-9099-C40C66FF867C}">
                    <a14:compatExt spid="_x0000_s20492"/>
                  </a:ext>
                  <a:ext uri="{FF2B5EF4-FFF2-40B4-BE49-F238E27FC236}">
                    <a16:creationId xmlns:a16="http://schemas.microsoft.com/office/drawing/2014/main" id="{00000000-0008-0000-0200-00000C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a:extLst>
                <a:ext uri="{FF2B5EF4-FFF2-40B4-BE49-F238E27FC236}">
                  <a16:creationId xmlns:a16="http://schemas.microsoft.com/office/drawing/2014/main" id="{00000000-0008-0000-0200-000012000000}"/>
                </a:ext>
              </a:extLst>
            </xdr:cNvPr>
            <xdr:cNvGrpSpPr>
              <a:grpSpLocks/>
            </xdr:cNvGrpSpPr>
          </xdr:nvGrpSpPr>
          <xdr:grpSpPr bwMode="auto">
            <a:xfrm>
              <a:off x="5044440" y="4042410"/>
              <a:ext cx="963930" cy="430530"/>
              <a:chOff x="537" y="182"/>
              <a:chExt cx="101" cy="42"/>
            </a:xfrm>
          </xdr:grpSpPr>
          <xdr:sp macro="" textlink="">
            <xdr:nvSpPr>
              <xdr:cNvPr id="20493" name="Check Box 13" hidden="1">
                <a:extLst>
                  <a:ext uri="{63B3BB69-23CF-44E3-9099-C40C66FF867C}">
                    <a14:compatExt spid="_x0000_s20493"/>
                  </a:ext>
                  <a:ext uri="{FF2B5EF4-FFF2-40B4-BE49-F238E27FC236}">
                    <a16:creationId xmlns:a16="http://schemas.microsoft.com/office/drawing/2014/main" id="{00000000-0008-0000-0200-00000D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4" name="Check Box 14" hidden="1">
                <a:extLst>
                  <a:ext uri="{63B3BB69-23CF-44E3-9099-C40C66FF867C}">
                    <a14:compatExt spid="_x0000_s20494"/>
                  </a:ext>
                  <a:ext uri="{FF2B5EF4-FFF2-40B4-BE49-F238E27FC236}">
                    <a16:creationId xmlns:a16="http://schemas.microsoft.com/office/drawing/2014/main" id="{00000000-0008-0000-0200-00000E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5" name="Check Box 15" hidden="1">
                <a:extLst>
                  <a:ext uri="{63B3BB69-23CF-44E3-9099-C40C66FF867C}">
                    <a14:compatExt spid="_x0000_s20495"/>
                  </a:ext>
                  <a:ext uri="{FF2B5EF4-FFF2-40B4-BE49-F238E27FC236}">
                    <a16:creationId xmlns:a16="http://schemas.microsoft.com/office/drawing/2014/main" id="{00000000-0008-0000-0200-00000F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a:extLst>
                <a:ext uri="{FF2B5EF4-FFF2-40B4-BE49-F238E27FC236}">
                  <a16:creationId xmlns:a16="http://schemas.microsoft.com/office/drawing/2014/main" id="{00000000-0008-0000-0200-000016000000}"/>
                </a:ext>
              </a:extLst>
            </xdr:cNvPr>
            <xdr:cNvGrpSpPr>
              <a:grpSpLocks/>
            </xdr:cNvGrpSpPr>
          </xdr:nvGrpSpPr>
          <xdr:grpSpPr bwMode="auto">
            <a:xfrm>
              <a:off x="5044440" y="4488180"/>
              <a:ext cx="963930" cy="502920"/>
              <a:chOff x="537" y="182"/>
              <a:chExt cx="101" cy="42"/>
            </a:xfrm>
          </xdr:grpSpPr>
          <xdr:sp macro="" textlink="">
            <xdr:nvSpPr>
              <xdr:cNvPr id="20496" name="Check Box 16" hidden="1">
                <a:extLst>
                  <a:ext uri="{63B3BB69-23CF-44E3-9099-C40C66FF867C}">
                    <a14:compatExt spid="_x0000_s20496"/>
                  </a:ext>
                  <a:ext uri="{FF2B5EF4-FFF2-40B4-BE49-F238E27FC236}">
                    <a16:creationId xmlns:a16="http://schemas.microsoft.com/office/drawing/2014/main" id="{00000000-0008-0000-0200-000010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7" name="Check Box 17" hidden="1">
                <a:extLst>
                  <a:ext uri="{63B3BB69-23CF-44E3-9099-C40C66FF867C}">
                    <a14:compatExt spid="_x0000_s20497"/>
                  </a:ext>
                  <a:ext uri="{FF2B5EF4-FFF2-40B4-BE49-F238E27FC236}">
                    <a16:creationId xmlns:a16="http://schemas.microsoft.com/office/drawing/2014/main" id="{00000000-0008-0000-0200-000011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8" name="Check Box 18" hidden="1">
                <a:extLst>
                  <a:ext uri="{63B3BB69-23CF-44E3-9099-C40C66FF867C}">
                    <a14:compatExt spid="_x0000_s20498"/>
                  </a:ext>
                  <a:ext uri="{FF2B5EF4-FFF2-40B4-BE49-F238E27FC236}">
                    <a16:creationId xmlns:a16="http://schemas.microsoft.com/office/drawing/2014/main" id="{00000000-0008-0000-0200-000012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a:extLst>
                <a:ext uri="{FF2B5EF4-FFF2-40B4-BE49-F238E27FC236}">
                  <a16:creationId xmlns:a16="http://schemas.microsoft.com/office/drawing/2014/main" id="{00000000-0008-0000-0200-00001A000000}"/>
                </a:ext>
              </a:extLst>
            </xdr:cNvPr>
            <xdr:cNvGrpSpPr>
              <a:grpSpLocks/>
            </xdr:cNvGrpSpPr>
          </xdr:nvGrpSpPr>
          <xdr:grpSpPr bwMode="auto">
            <a:xfrm>
              <a:off x="5044440" y="5002530"/>
              <a:ext cx="963930" cy="681990"/>
              <a:chOff x="537" y="182"/>
              <a:chExt cx="101" cy="42"/>
            </a:xfrm>
          </xdr:grpSpPr>
          <xdr:sp macro="" textlink="">
            <xdr:nvSpPr>
              <xdr:cNvPr id="20499" name="Check Box 19" hidden="1">
                <a:extLst>
                  <a:ext uri="{63B3BB69-23CF-44E3-9099-C40C66FF867C}">
                    <a14:compatExt spid="_x0000_s20499"/>
                  </a:ext>
                  <a:ext uri="{FF2B5EF4-FFF2-40B4-BE49-F238E27FC236}">
                    <a16:creationId xmlns:a16="http://schemas.microsoft.com/office/drawing/2014/main" id="{00000000-0008-0000-0200-000013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0" name="Check Box 20" hidden="1">
                <a:extLst>
                  <a:ext uri="{63B3BB69-23CF-44E3-9099-C40C66FF867C}">
                    <a14:compatExt spid="_x0000_s20500"/>
                  </a:ext>
                  <a:ext uri="{FF2B5EF4-FFF2-40B4-BE49-F238E27FC236}">
                    <a16:creationId xmlns:a16="http://schemas.microsoft.com/office/drawing/2014/main" id="{00000000-0008-0000-0200-000014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1" name="Check Box 21" hidden="1">
                <a:extLst>
                  <a:ext uri="{63B3BB69-23CF-44E3-9099-C40C66FF867C}">
                    <a14:compatExt spid="_x0000_s20501"/>
                  </a:ext>
                  <a:ext uri="{FF2B5EF4-FFF2-40B4-BE49-F238E27FC236}">
                    <a16:creationId xmlns:a16="http://schemas.microsoft.com/office/drawing/2014/main" id="{00000000-0008-0000-0200-000015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a:extLst>
                <a:ext uri="{FF2B5EF4-FFF2-40B4-BE49-F238E27FC236}">
                  <a16:creationId xmlns:a16="http://schemas.microsoft.com/office/drawing/2014/main" id="{00000000-0008-0000-0200-00001E000000}"/>
                </a:ext>
              </a:extLst>
            </xdr:cNvPr>
            <xdr:cNvGrpSpPr>
              <a:grpSpLocks/>
            </xdr:cNvGrpSpPr>
          </xdr:nvGrpSpPr>
          <xdr:grpSpPr bwMode="auto">
            <a:xfrm>
              <a:off x="5044440" y="5684520"/>
              <a:ext cx="963930" cy="426720"/>
              <a:chOff x="537" y="182"/>
              <a:chExt cx="101" cy="42"/>
            </a:xfrm>
          </xdr:grpSpPr>
          <xdr:sp macro="" textlink="">
            <xdr:nvSpPr>
              <xdr:cNvPr id="20502" name="Check Box 22" hidden="1">
                <a:extLst>
                  <a:ext uri="{63B3BB69-23CF-44E3-9099-C40C66FF867C}">
                    <a14:compatExt spid="_x0000_s20502"/>
                  </a:ext>
                  <a:ext uri="{FF2B5EF4-FFF2-40B4-BE49-F238E27FC236}">
                    <a16:creationId xmlns:a16="http://schemas.microsoft.com/office/drawing/2014/main" id="{00000000-0008-0000-0200-000016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3" name="Check Box 23" hidden="1">
                <a:extLst>
                  <a:ext uri="{63B3BB69-23CF-44E3-9099-C40C66FF867C}">
                    <a14:compatExt spid="_x0000_s20503"/>
                  </a:ext>
                  <a:ext uri="{FF2B5EF4-FFF2-40B4-BE49-F238E27FC236}">
                    <a16:creationId xmlns:a16="http://schemas.microsoft.com/office/drawing/2014/main" id="{00000000-0008-0000-0200-000017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4" name="Check Box 24" hidden="1">
                <a:extLst>
                  <a:ext uri="{63B3BB69-23CF-44E3-9099-C40C66FF867C}">
                    <a14:compatExt spid="_x0000_s20504"/>
                  </a:ext>
                  <a:ext uri="{FF2B5EF4-FFF2-40B4-BE49-F238E27FC236}">
                    <a16:creationId xmlns:a16="http://schemas.microsoft.com/office/drawing/2014/main" id="{00000000-0008-0000-0200-000018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a:extLst>
                <a:ext uri="{FF2B5EF4-FFF2-40B4-BE49-F238E27FC236}">
                  <a16:creationId xmlns:a16="http://schemas.microsoft.com/office/drawing/2014/main" id="{00000000-0008-0000-0200-000022000000}"/>
                </a:ext>
              </a:extLst>
            </xdr:cNvPr>
            <xdr:cNvGrpSpPr>
              <a:grpSpLocks/>
            </xdr:cNvGrpSpPr>
          </xdr:nvGrpSpPr>
          <xdr:grpSpPr bwMode="auto">
            <a:xfrm>
              <a:off x="5044440" y="6111240"/>
              <a:ext cx="963930" cy="426720"/>
              <a:chOff x="537" y="182"/>
              <a:chExt cx="101" cy="42"/>
            </a:xfrm>
          </xdr:grpSpPr>
          <xdr:sp macro="" textlink="">
            <xdr:nvSpPr>
              <xdr:cNvPr id="20505" name="Check Box 25" hidden="1">
                <a:extLst>
                  <a:ext uri="{63B3BB69-23CF-44E3-9099-C40C66FF867C}">
                    <a14:compatExt spid="_x0000_s20505"/>
                  </a:ext>
                  <a:ext uri="{FF2B5EF4-FFF2-40B4-BE49-F238E27FC236}">
                    <a16:creationId xmlns:a16="http://schemas.microsoft.com/office/drawing/2014/main" id="{00000000-0008-0000-0200-000019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6" name="Check Box 26" hidden="1">
                <a:extLst>
                  <a:ext uri="{63B3BB69-23CF-44E3-9099-C40C66FF867C}">
                    <a14:compatExt spid="_x0000_s20506"/>
                  </a:ext>
                  <a:ext uri="{FF2B5EF4-FFF2-40B4-BE49-F238E27FC236}">
                    <a16:creationId xmlns:a16="http://schemas.microsoft.com/office/drawing/2014/main" id="{00000000-0008-0000-0200-00001A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7" name="Check Box 27" hidden="1">
                <a:extLst>
                  <a:ext uri="{63B3BB69-23CF-44E3-9099-C40C66FF867C}">
                    <a14:compatExt spid="_x0000_s20507"/>
                  </a:ext>
                  <a:ext uri="{FF2B5EF4-FFF2-40B4-BE49-F238E27FC236}">
                    <a16:creationId xmlns:a16="http://schemas.microsoft.com/office/drawing/2014/main" id="{00000000-0008-0000-0200-00001B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a:extLst>
                <a:ext uri="{FF2B5EF4-FFF2-40B4-BE49-F238E27FC236}">
                  <a16:creationId xmlns:a16="http://schemas.microsoft.com/office/drawing/2014/main" id="{00000000-0008-0000-0200-000026000000}"/>
                </a:ext>
              </a:extLst>
            </xdr:cNvPr>
            <xdr:cNvGrpSpPr>
              <a:grpSpLocks/>
            </xdr:cNvGrpSpPr>
          </xdr:nvGrpSpPr>
          <xdr:grpSpPr bwMode="auto">
            <a:xfrm>
              <a:off x="5044440" y="6537960"/>
              <a:ext cx="963930" cy="259080"/>
              <a:chOff x="537" y="182"/>
              <a:chExt cx="101" cy="42"/>
            </a:xfrm>
          </xdr:grpSpPr>
          <xdr:sp macro="" textlink="">
            <xdr:nvSpPr>
              <xdr:cNvPr id="20508" name="Check Box 28" hidden="1">
                <a:extLst>
                  <a:ext uri="{63B3BB69-23CF-44E3-9099-C40C66FF867C}">
                    <a14:compatExt spid="_x0000_s20508"/>
                  </a:ext>
                  <a:ext uri="{FF2B5EF4-FFF2-40B4-BE49-F238E27FC236}">
                    <a16:creationId xmlns:a16="http://schemas.microsoft.com/office/drawing/2014/main" id="{00000000-0008-0000-0200-00001C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9" name="Check Box 29" hidden="1">
                <a:extLst>
                  <a:ext uri="{63B3BB69-23CF-44E3-9099-C40C66FF867C}">
                    <a14:compatExt spid="_x0000_s20509"/>
                  </a:ext>
                  <a:ext uri="{FF2B5EF4-FFF2-40B4-BE49-F238E27FC236}">
                    <a16:creationId xmlns:a16="http://schemas.microsoft.com/office/drawing/2014/main" id="{00000000-0008-0000-0200-00001D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0" name="Check Box 30" hidden="1">
                <a:extLst>
                  <a:ext uri="{63B3BB69-23CF-44E3-9099-C40C66FF867C}">
                    <a14:compatExt spid="_x0000_s20510"/>
                  </a:ext>
                  <a:ext uri="{FF2B5EF4-FFF2-40B4-BE49-F238E27FC236}">
                    <a16:creationId xmlns:a16="http://schemas.microsoft.com/office/drawing/2014/main" id="{00000000-0008-0000-0200-00001E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a:extLst>
                <a:ext uri="{FF2B5EF4-FFF2-40B4-BE49-F238E27FC236}">
                  <a16:creationId xmlns:a16="http://schemas.microsoft.com/office/drawing/2014/main" id="{00000000-0008-0000-0200-00002A000000}"/>
                </a:ext>
              </a:extLst>
            </xdr:cNvPr>
            <xdr:cNvGrpSpPr>
              <a:grpSpLocks/>
            </xdr:cNvGrpSpPr>
          </xdr:nvGrpSpPr>
          <xdr:grpSpPr bwMode="auto">
            <a:xfrm>
              <a:off x="5044440" y="6797040"/>
              <a:ext cx="963930" cy="426720"/>
              <a:chOff x="537" y="182"/>
              <a:chExt cx="101" cy="42"/>
            </a:xfrm>
          </xdr:grpSpPr>
          <xdr:sp macro="" textlink="">
            <xdr:nvSpPr>
              <xdr:cNvPr id="20511" name="Check Box 31" hidden="1">
                <a:extLst>
                  <a:ext uri="{63B3BB69-23CF-44E3-9099-C40C66FF867C}">
                    <a14:compatExt spid="_x0000_s20511"/>
                  </a:ext>
                  <a:ext uri="{FF2B5EF4-FFF2-40B4-BE49-F238E27FC236}">
                    <a16:creationId xmlns:a16="http://schemas.microsoft.com/office/drawing/2014/main" id="{00000000-0008-0000-0200-00001F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2" name="Check Box 32" hidden="1">
                <a:extLst>
                  <a:ext uri="{63B3BB69-23CF-44E3-9099-C40C66FF867C}">
                    <a14:compatExt spid="_x0000_s20512"/>
                  </a:ext>
                  <a:ext uri="{FF2B5EF4-FFF2-40B4-BE49-F238E27FC236}">
                    <a16:creationId xmlns:a16="http://schemas.microsoft.com/office/drawing/2014/main" id="{00000000-0008-0000-0200-000020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3" name="Check Box 33" hidden="1">
                <a:extLst>
                  <a:ext uri="{63B3BB69-23CF-44E3-9099-C40C66FF867C}">
                    <a14:compatExt spid="_x0000_s20513"/>
                  </a:ext>
                  <a:ext uri="{FF2B5EF4-FFF2-40B4-BE49-F238E27FC236}">
                    <a16:creationId xmlns:a16="http://schemas.microsoft.com/office/drawing/2014/main" id="{00000000-0008-0000-0200-000021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a:extLst>
                <a:ext uri="{FF2B5EF4-FFF2-40B4-BE49-F238E27FC236}">
                  <a16:creationId xmlns:a16="http://schemas.microsoft.com/office/drawing/2014/main" id="{00000000-0008-0000-0200-00002E000000}"/>
                </a:ext>
              </a:extLst>
            </xdr:cNvPr>
            <xdr:cNvGrpSpPr>
              <a:grpSpLocks/>
            </xdr:cNvGrpSpPr>
          </xdr:nvGrpSpPr>
          <xdr:grpSpPr bwMode="auto">
            <a:xfrm>
              <a:off x="5044440" y="7223760"/>
              <a:ext cx="963930" cy="693420"/>
              <a:chOff x="537" y="182"/>
              <a:chExt cx="101" cy="42"/>
            </a:xfrm>
          </xdr:grpSpPr>
          <xdr:sp macro="" textlink="">
            <xdr:nvSpPr>
              <xdr:cNvPr id="20514" name="Check Box 34" hidden="1">
                <a:extLst>
                  <a:ext uri="{63B3BB69-23CF-44E3-9099-C40C66FF867C}">
                    <a14:compatExt spid="_x0000_s20514"/>
                  </a:ext>
                  <a:ext uri="{FF2B5EF4-FFF2-40B4-BE49-F238E27FC236}">
                    <a16:creationId xmlns:a16="http://schemas.microsoft.com/office/drawing/2014/main" id="{00000000-0008-0000-0200-000022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5" name="Check Box 35" hidden="1">
                <a:extLst>
                  <a:ext uri="{63B3BB69-23CF-44E3-9099-C40C66FF867C}">
                    <a14:compatExt spid="_x0000_s20515"/>
                  </a:ext>
                  <a:ext uri="{FF2B5EF4-FFF2-40B4-BE49-F238E27FC236}">
                    <a16:creationId xmlns:a16="http://schemas.microsoft.com/office/drawing/2014/main" id="{00000000-0008-0000-0200-000023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6" name="Check Box 36" hidden="1">
                <a:extLst>
                  <a:ext uri="{63B3BB69-23CF-44E3-9099-C40C66FF867C}">
                    <a14:compatExt spid="_x0000_s20516"/>
                  </a:ext>
                  <a:ext uri="{FF2B5EF4-FFF2-40B4-BE49-F238E27FC236}">
                    <a16:creationId xmlns:a16="http://schemas.microsoft.com/office/drawing/2014/main" id="{00000000-0008-0000-0200-000024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a:extLst>
                <a:ext uri="{FF2B5EF4-FFF2-40B4-BE49-F238E27FC236}">
                  <a16:creationId xmlns:a16="http://schemas.microsoft.com/office/drawing/2014/main" id="{00000000-0008-0000-0200-000032000000}"/>
                </a:ext>
              </a:extLst>
            </xdr:cNvPr>
            <xdr:cNvGrpSpPr>
              <a:grpSpLocks/>
            </xdr:cNvGrpSpPr>
          </xdr:nvGrpSpPr>
          <xdr:grpSpPr bwMode="auto">
            <a:xfrm>
              <a:off x="5044440" y="7928610"/>
              <a:ext cx="963930" cy="415290"/>
              <a:chOff x="537" y="182"/>
              <a:chExt cx="101" cy="42"/>
            </a:xfrm>
          </xdr:grpSpPr>
          <xdr:sp macro="" textlink="">
            <xdr:nvSpPr>
              <xdr:cNvPr id="20517" name="Check Box 37" hidden="1">
                <a:extLst>
                  <a:ext uri="{63B3BB69-23CF-44E3-9099-C40C66FF867C}">
                    <a14:compatExt spid="_x0000_s20517"/>
                  </a:ext>
                  <a:ext uri="{FF2B5EF4-FFF2-40B4-BE49-F238E27FC236}">
                    <a16:creationId xmlns:a16="http://schemas.microsoft.com/office/drawing/2014/main" id="{00000000-0008-0000-0200-000025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8" name="Check Box 38" hidden="1">
                <a:extLst>
                  <a:ext uri="{63B3BB69-23CF-44E3-9099-C40C66FF867C}">
                    <a14:compatExt spid="_x0000_s20518"/>
                  </a:ext>
                  <a:ext uri="{FF2B5EF4-FFF2-40B4-BE49-F238E27FC236}">
                    <a16:creationId xmlns:a16="http://schemas.microsoft.com/office/drawing/2014/main" id="{00000000-0008-0000-0200-000026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9" name="Check Box 39" hidden="1">
                <a:extLst>
                  <a:ext uri="{63B3BB69-23CF-44E3-9099-C40C66FF867C}">
                    <a14:compatExt spid="_x0000_s20519"/>
                  </a:ext>
                  <a:ext uri="{FF2B5EF4-FFF2-40B4-BE49-F238E27FC236}">
                    <a16:creationId xmlns:a16="http://schemas.microsoft.com/office/drawing/2014/main" id="{00000000-0008-0000-0200-000027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a:extLst>
                <a:ext uri="{FF2B5EF4-FFF2-40B4-BE49-F238E27FC236}">
                  <a16:creationId xmlns:a16="http://schemas.microsoft.com/office/drawing/2014/main" id="{00000000-0008-0000-0200-000036000000}"/>
                </a:ext>
              </a:extLst>
            </xdr:cNvPr>
            <xdr:cNvGrpSpPr>
              <a:grpSpLocks/>
            </xdr:cNvGrpSpPr>
          </xdr:nvGrpSpPr>
          <xdr:grpSpPr bwMode="auto">
            <a:xfrm>
              <a:off x="5044440" y="8343900"/>
              <a:ext cx="963930" cy="327660"/>
              <a:chOff x="537" y="182"/>
              <a:chExt cx="101" cy="42"/>
            </a:xfrm>
          </xdr:grpSpPr>
          <xdr:sp macro="" textlink="">
            <xdr:nvSpPr>
              <xdr:cNvPr id="20520" name="Check Box 40" hidden="1">
                <a:extLst>
                  <a:ext uri="{63B3BB69-23CF-44E3-9099-C40C66FF867C}">
                    <a14:compatExt spid="_x0000_s20520"/>
                  </a:ext>
                  <a:ext uri="{FF2B5EF4-FFF2-40B4-BE49-F238E27FC236}">
                    <a16:creationId xmlns:a16="http://schemas.microsoft.com/office/drawing/2014/main" id="{00000000-0008-0000-0200-000028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1" name="Check Box 41" hidden="1">
                <a:extLst>
                  <a:ext uri="{63B3BB69-23CF-44E3-9099-C40C66FF867C}">
                    <a14:compatExt spid="_x0000_s20521"/>
                  </a:ext>
                  <a:ext uri="{FF2B5EF4-FFF2-40B4-BE49-F238E27FC236}">
                    <a16:creationId xmlns:a16="http://schemas.microsoft.com/office/drawing/2014/main" id="{00000000-0008-0000-0200-000029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2" name="Check Box 42" hidden="1">
                <a:extLst>
                  <a:ext uri="{63B3BB69-23CF-44E3-9099-C40C66FF867C}">
                    <a14:compatExt spid="_x0000_s20522"/>
                  </a:ext>
                  <a:ext uri="{FF2B5EF4-FFF2-40B4-BE49-F238E27FC236}">
                    <a16:creationId xmlns:a16="http://schemas.microsoft.com/office/drawing/2014/main" id="{00000000-0008-0000-0200-00002A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a:extLst>
                <a:ext uri="{FF2B5EF4-FFF2-40B4-BE49-F238E27FC236}">
                  <a16:creationId xmlns:a16="http://schemas.microsoft.com/office/drawing/2014/main" id="{00000000-0008-0000-0200-00003A000000}"/>
                </a:ext>
              </a:extLst>
            </xdr:cNvPr>
            <xdr:cNvGrpSpPr>
              <a:grpSpLocks/>
            </xdr:cNvGrpSpPr>
          </xdr:nvGrpSpPr>
          <xdr:grpSpPr bwMode="auto">
            <a:xfrm>
              <a:off x="5044440" y="8671560"/>
              <a:ext cx="963930" cy="388620"/>
              <a:chOff x="537" y="182"/>
              <a:chExt cx="101" cy="42"/>
            </a:xfrm>
          </xdr:grpSpPr>
          <xdr:sp macro="" textlink="">
            <xdr:nvSpPr>
              <xdr:cNvPr id="20523" name="Check Box 43" hidden="1">
                <a:extLst>
                  <a:ext uri="{63B3BB69-23CF-44E3-9099-C40C66FF867C}">
                    <a14:compatExt spid="_x0000_s20523"/>
                  </a:ext>
                  <a:ext uri="{FF2B5EF4-FFF2-40B4-BE49-F238E27FC236}">
                    <a16:creationId xmlns:a16="http://schemas.microsoft.com/office/drawing/2014/main" id="{00000000-0008-0000-0200-00002B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4" name="Check Box 44" hidden="1">
                <a:extLst>
                  <a:ext uri="{63B3BB69-23CF-44E3-9099-C40C66FF867C}">
                    <a14:compatExt spid="_x0000_s20524"/>
                  </a:ext>
                  <a:ext uri="{FF2B5EF4-FFF2-40B4-BE49-F238E27FC236}">
                    <a16:creationId xmlns:a16="http://schemas.microsoft.com/office/drawing/2014/main" id="{00000000-0008-0000-0200-00002C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5" name="Check Box 45" hidden="1">
                <a:extLst>
                  <a:ext uri="{63B3BB69-23CF-44E3-9099-C40C66FF867C}">
                    <a14:compatExt spid="_x0000_s20525"/>
                  </a:ext>
                  <a:ext uri="{FF2B5EF4-FFF2-40B4-BE49-F238E27FC236}">
                    <a16:creationId xmlns:a16="http://schemas.microsoft.com/office/drawing/2014/main" id="{00000000-0008-0000-0200-00002D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a:extLst>
                <a:ext uri="{FF2B5EF4-FFF2-40B4-BE49-F238E27FC236}">
                  <a16:creationId xmlns:a16="http://schemas.microsoft.com/office/drawing/2014/main" id="{00000000-0008-0000-0200-00003E000000}"/>
                </a:ext>
              </a:extLst>
            </xdr:cNvPr>
            <xdr:cNvGrpSpPr>
              <a:grpSpLocks/>
            </xdr:cNvGrpSpPr>
          </xdr:nvGrpSpPr>
          <xdr:grpSpPr bwMode="auto">
            <a:xfrm>
              <a:off x="5044440" y="9060180"/>
              <a:ext cx="963930" cy="579120"/>
              <a:chOff x="537" y="182"/>
              <a:chExt cx="101" cy="42"/>
            </a:xfrm>
          </xdr:grpSpPr>
          <xdr:sp macro="" textlink="">
            <xdr:nvSpPr>
              <xdr:cNvPr id="20526" name="Check Box 46" hidden="1">
                <a:extLst>
                  <a:ext uri="{63B3BB69-23CF-44E3-9099-C40C66FF867C}">
                    <a14:compatExt spid="_x0000_s20526"/>
                  </a:ext>
                  <a:ext uri="{FF2B5EF4-FFF2-40B4-BE49-F238E27FC236}">
                    <a16:creationId xmlns:a16="http://schemas.microsoft.com/office/drawing/2014/main" id="{00000000-0008-0000-0200-00002E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7" name="Check Box 47" hidden="1">
                <a:extLst>
                  <a:ext uri="{63B3BB69-23CF-44E3-9099-C40C66FF867C}">
                    <a14:compatExt spid="_x0000_s20527"/>
                  </a:ext>
                  <a:ext uri="{FF2B5EF4-FFF2-40B4-BE49-F238E27FC236}">
                    <a16:creationId xmlns:a16="http://schemas.microsoft.com/office/drawing/2014/main" id="{00000000-0008-0000-0200-00002F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8" name="Check Box 48" hidden="1">
                <a:extLst>
                  <a:ext uri="{63B3BB69-23CF-44E3-9099-C40C66FF867C}">
                    <a14:compatExt spid="_x0000_s20528"/>
                  </a:ext>
                  <a:ext uri="{FF2B5EF4-FFF2-40B4-BE49-F238E27FC236}">
                    <a16:creationId xmlns:a16="http://schemas.microsoft.com/office/drawing/2014/main" id="{00000000-0008-0000-0200-000030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a:extLst>
                <a:ext uri="{FF2B5EF4-FFF2-40B4-BE49-F238E27FC236}">
                  <a16:creationId xmlns:a16="http://schemas.microsoft.com/office/drawing/2014/main" id="{00000000-0008-0000-0200-000042000000}"/>
                </a:ext>
              </a:extLst>
            </xdr:cNvPr>
            <xdr:cNvGrpSpPr>
              <a:grpSpLocks/>
            </xdr:cNvGrpSpPr>
          </xdr:nvGrpSpPr>
          <xdr:grpSpPr bwMode="auto">
            <a:xfrm>
              <a:off x="5044440" y="9639300"/>
              <a:ext cx="963930" cy="594360"/>
              <a:chOff x="537" y="182"/>
              <a:chExt cx="101" cy="42"/>
            </a:xfrm>
          </xdr:grpSpPr>
          <xdr:sp macro="" textlink="">
            <xdr:nvSpPr>
              <xdr:cNvPr id="20529" name="Check Box 49" hidden="1">
                <a:extLst>
                  <a:ext uri="{63B3BB69-23CF-44E3-9099-C40C66FF867C}">
                    <a14:compatExt spid="_x0000_s20529"/>
                  </a:ext>
                  <a:ext uri="{FF2B5EF4-FFF2-40B4-BE49-F238E27FC236}">
                    <a16:creationId xmlns:a16="http://schemas.microsoft.com/office/drawing/2014/main" id="{00000000-0008-0000-0200-000031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0" name="Check Box 50" hidden="1">
                <a:extLst>
                  <a:ext uri="{63B3BB69-23CF-44E3-9099-C40C66FF867C}">
                    <a14:compatExt spid="_x0000_s20530"/>
                  </a:ext>
                  <a:ext uri="{FF2B5EF4-FFF2-40B4-BE49-F238E27FC236}">
                    <a16:creationId xmlns:a16="http://schemas.microsoft.com/office/drawing/2014/main" id="{00000000-0008-0000-0200-000032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1" name="Check Box 51" hidden="1">
                <a:extLst>
                  <a:ext uri="{63B3BB69-23CF-44E3-9099-C40C66FF867C}">
                    <a14:compatExt spid="_x0000_s20531"/>
                  </a:ext>
                  <a:ext uri="{FF2B5EF4-FFF2-40B4-BE49-F238E27FC236}">
                    <a16:creationId xmlns:a16="http://schemas.microsoft.com/office/drawing/2014/main" id="{00000000-0008-0000-0200-000033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a:extLst>
                <a:ext uri="{FF2B5EF4-FFF2-40B4-BE49-F238E27FC236}">
                  <a16:creationId xmlns:a16="http://schemas.microsoft.com/office/drawing/2014/main" id="{00000000-0008-0000-0200-000046000000}"/>
                </a:ext>
              </a:extLst>
            </xdr:cNvPr>
            <xdr:cNvGrpSpPr>
              <a:grpSpLocks/>
            </xdr:cNvGrpSpPr>
          </xdr:nvGrpSpPr>
          <xdr:grpSpPr bwMode="auto">
            <a:xfrm>
              <a:off x="5044440" y="10233660"/>
              <a:ext cx="963930" cy="259080"/>
              <a:chOff x="537" y="182"/>
              <a:chExt cx="101" cy="42"/>
            </a:xfrm>
          </xdr:grpSpPr>
          <xdr:sp macro="" textlink="">
            <xdr:nvSpPr>
              <xdr:cNvPr id="20532" name="Check Box 52" hidden="1">
                <a:extLst>
                  <a:ext uri="{63B3BB69-23CF-44E3-9099-C40C66FF867C}">
                    <a14:compatExt spid="_x0000_s20532"/>
                  </a:ext>
                  <a:ext uri="{FF2B5EF4-FFF2-40B4-BE49-F238E27FC236}">
                    <a16:creationId xmlns:a16="http://schemas.microsoft.com/office/drawing/2014/main" id="{00000000-0008-0000-0200-000034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3" name="Check Box 53" hidden="1">
                <a:extLst>
                  <a:ext uri="{63B3BB69-23CF-44E3-9099-C40C66FF867C}">
                    <a14:compatExt spid="_x0000_s20533"/>
                  </a:ext>
                  <a:ext uri="{FF2B5EF4-FFF2-40B4-BE49-F238E27FC236}">
                    <a16:creationId xmlns:a16="http://schemas.microsoft.com/office/drawing/2014/main" id="{00000000-0008-0000-0200-000035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4" name="Check Box 54" hidden="1">
                <a:extLst>
                  <a:ext uri="{63B3BB69-23CF-44E3-9099-C40C66FF867C}">
                    <a14:compatExt spid="_x0000_s20534"/>
                  </a:ext>
                  <a:ext uri="{FF2B5EF4-FFF2-40B4-BE49-F238E27FC236}">
                    <a16:creationId xmlns:a16="http://schemas.microsoft.com/office/drawing/2014/main" id="{00000000-0008-0000-0200-000036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a:extLst>
                <a:ext uri="{FF2B5EF4-FFF2-40B4-BE49-F238E27FC236}">
                  <a16:creationId xmlns:a16="http://schemas.microsoft.com/office/drawing/2014/main" id="{00000000-0008-0000-0200-00004A000000}"/>
                </a:ext>
              </a:extLst>
            </xdr:cNvPr>
            <xdr:cNvGrpSpPr>
              <a:grpSpLocks/>
            </xdr:cNvGrpSpPr>
          </xdr:nvGrpSpPr>
          <xdr:grpSpPr bwMode="auto">
            <a:xfrm>
              <a:off x="5044440" y="10492740"/>
              <a:ext cx="963930" cy="266700"/>
              <a:chOff x="537" y="182"/>
              <a:chExt cx="101" cy="42"/>
            </a:xfrm>
          </xdr:grpSpPr>
          <xdr:sp macro="" textlink="">
            <xdr:nvSpPr>
              <xdr:cNvPr id="20535" name="Check Box 55" hidden="1">
                <a:extLst>
                  <a:ext uri="{63B3BB69-23CF-44E3-9099-C40C66FF867C}">
                    <a14:compatExt spid="_x0000_s20535"/>
                  </a:ext>
                  <a:ext uri="{FF2B5EF4-FFF2-40B4-BE49-F238E27FC236}">
                    <a16:creationId xmlns:a16="http://schemas.microsoft.com/office/drawing/2014/main" id="{00000000-0008-0000-0200-000037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6" name="Check Box 56" hidden="1">
                <a:extLst>
                  <a:ext uri="{63B3BB69-23CF-44E3-9099-C40C66FF867C}">
                    <a14:compatExt spid="_x0000_s20536"/>
                  </a:ext>
                  <a:ext uri="{FF2B5EF4-FFF2-40B4-BE49-F238E27FC236}">
                    <a16:creationId xmlns:a16="http://schemas.microsoft.com/office/drawing/2014/main" id="{00000000-0008-0000-0200-000038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7" name="Check Box 57" hidden="1">
                <a:extLst>
                  <a:ext uri="{63B3BB69-23CF-44E3-9099-C40C66FF867C}">
                    <a14:compatExt spid="_x0000_s20537"/>
                  </a:ext>
                  <a:ext uri="{FF2B5EF4-FFF2-40B4-BE49-F238E27FC236}">
                    <a16:creationId xmlns:a16="http://schemas.microsoft.com/office/drawing/2014/main" id="{00000000-0008-0000-0200-000039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a:extLst>
                <a:ext uri="{FF2B5EF4-FFF2-40B4-BE49-F238E27FC236}">
                  <a16:creationId xmlns:a16="http://schemas.microsoft.com/office/drawing/2014/main" id="{00000000-0008-0000-0200-00004E000000}"/>
                </a:ext>
              </a:extLst>
            </xdr:cNvPr>
            <xdr:cNvGrpSpPr>
              <a:grpSpLocks/>
            </xdr:cNvGrpSpPr>
          </xdr:nvGrpSpPr>
          <xdr:grpSpPr bwMode="auto">
            <a:xfrm>
              <a:off x="5044440" y="10759440"/>
              <a:ext cx="963930" cy="259080"/>
              <a:chOff x="537" y="182"/>
              <a:chExt cx="101" cy="42"/>
            </a:xfrm>
          </xdr:grpSpPr>
          <xdr:sp macro="" textlink="">
            <xdr:nvSpPr>
              <xdr:cNvPr id="20538" name="Check Box 58" hidden="1">
                <a:extLst>
                  <a:ext uri="{63B3BB69-23CF-44E3-9099-C40C66FF867C}">
                    <a14:compatExt spid="_x0000_s20538"/>
                  </a:ext>
                  <a:ext uri="{FF2B5EF4-FFF2-40B4-BE49-F238E27FC236}">
                    <a16:creationId xmlns:a16="http://schemas.microsoft.com/office/drawing/2014/main" id="{00000000-0008-0000-0200-00003A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9" name="Check Box 59" hidden="1">
                <a:extLst>
                  <a:ext uri="{63B3BB69-23CF-44E3-9099-C40C66FF867C}">
                    <a14:compatExt spid="_x0000_s20539"/>
                  </a:ext>
                  <a:ext uri="{FF2B5EF4-FFF2-40B4-BE49-F238E27FC236}">
                    <a16:creationId xmlns:a16="http://schemas.microsoft.com/office/drawing/2014/main" id="{00000000-0008-0000-0200-00003B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0" name="Check Box 60" hidden="1">
                <a:extLst>
                  <a:ext uri="{63B3BB69-23CF-44E3-9099-C40C66FF867C}">
                    <a14:compatExt spid="_x0000_s20540"/>
                  </a:ext>
                  <a:ext uri="{FF2B5EF4-FFF2-40B4-BE49-F238E27FC236}">
                    <a16:creationId xmlns:a16="http://schemas.microsoft.com/office/drawing/2014/main" id="{00000000-0008-0000-0200-00003C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a:extLst>
                <a:ext uri="{FF2B5EF4-FFF2-40B4-BE49-F238E27FC236}">
                  <a16:creationId xmlns:a16="http://schemas.microsoft.com/office/drawing/2014/main" id="{00000000-0008-0000-0200-000052000000}"/>
                </a:ext>
              </a:extLst>
            </xdr:cNvPr>
            <xdr:cNvGrpSpPr>
              <a:grpSpLocks/>
            </xdr:cNvGrpSpPr>
          </xdr:nvGrpSpPr>
          <xdr:grpSpPr bwMode="auto">
            <a:xfrm>
              <a:off x="5044440" y="11018520"/>
              <a:ext cx="963930" cy="693420"/>
              <a:chOff x="537" y="182"/>
              <a:chExt cx="101" cy="42"/>
            </a:xfrm>
          </xdr:grpSpPr>
          <xdr:sp macro="" textlink="">
            <xdr:nvSpPr>
              <xdr:cNvPr id="20541" name="Check Box 61" hidden="1">
                <a:extLst>
                  <a:ext uri="{63B3BB69-23CF-44E3-9099-C40C66FF867C}">
                    <a14:compatExt spid="_x0000_s20541"/>
                  </a:ext>
                  <a:ext uri="{FF2B5EF4-FFF2-40B4-BE49-F238E27FC236}">
                    <a16:creationId xmlns:a16="http://schemas.microsoft.com/office/drawing/2014/main" id="{00000000-0008-0000-0200-00003D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2" name="Check Box 62" hidden="1">
                <a:extLst>
                  <a:ext uri="{63B3BB69-23CF-44E3-9099-C40C66FF867C}">
                    <a14:compatExt spid="_x0000_s20542"/>
                  </a:ext>
                  <a:ext uri="{FF2B5EF4-FFF2-40B4-BE49-F238E27FC236}">
                    <a16:creationId xmlns:a16="http://schemas.microsoft.com/office/drawing/2014/main" id="{00000000-0008-0000-0200-00003E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3" name="Check Box 63" hidden="1">
                <a:extLst>
                  <a:ext uri="{63B3BB69-23CF-44E3-9099-C40C66FF867C}">
                    <a14:compatExt spid="_x0000_s20543"/>
                  </a:ext>
                  <a:ext uri="{FF2B5EF4-FFF2-40B4-BE49-F238E27FC236}">
                    <a16:creationId xmlns:a16="http://schemas.microsoft.com/office/drawing/2014/main" id="{00000000-0008-0000-0200-00003F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a:extLst>
                <a:ext uri="{FF2B5EF4-FFF2-40B4-BE49-F238E27FC236}">
                  <a16:creationId xmlns:a16="http://schemas.microsoft.com/office/drawing/2014/main" id="{00000000-0008-0000-0200-000056000000}"/>
                </a:ext>
              </a:extLst>
            </xdr:cNvPr>
            <xdr:cNvGrpSpPr>
              <a:grpSpLocks/>
            </xdr:cNvGrpSpPr>
          </xdr:nvGrpSpPr>
          <xdr:grpSpPr bwMode="auto">
            <a:xfrm>
              <a:off x="5044440" y="11711940"/>
              <a:ext cx="963930" cy="403860"/>
              <a:chOff x="537" y="182"/>
              <a:chExt cx="101" cy="42"/>
            </a:xfrm>
          </xdr:grpSpPr>
          <xdr:sp macro="" textlink="">
            <xdr:nvSpPr>
              <xdr:cNvPr id="20544" name="Check Box 64" hidden="1">
                <a:extLst>
                  <a:ext uri="{63B3BB69-23CF-44E3-9099-C40C66FF867C}">
                    <a14:compatExt spid="_x0000_s20544"/>
                  </a:ext>
                  <a:ext uri="{FF2B5EF4-FFF2-40B4-BE49-F238E27FC236}">
                    <a16:creationId xmlns:a16="http://schemas.microsoft.com/office/drawing/2014/main" id="{00000000-0008-0000-0200-000040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5" name="Check Box 65" hidden="1">
                <a:extLst>
                  <a:ext uri="{63B3BB69-23CF-44E3-9099-C40C66FF867C}">
                    <a14:compatExt spid="_x0000_s20545"/>
                  </a:ext>
                  <a:ext uri="{FF2B5EF4-FFF2-40B4-BE49-F238E27FC236}">
                    <a16:creationId xmlns:a16="http://schemas.microsoft.com/office/drawing/2014/main" id="{00000000-0008-0000-0200-000041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6" name="Check Box 66" hidden="1">
                <a:extLst>
                  <a:ext uri="{63B3BB69-23CF-44E3-9099-C40C66FF867C}">
                    <a14:compatExt spid="_x0000_s20546"/>
                  </a:ext>
                  <a:ext uri="{FF2B5EF4-FFF2-40B4-BE49-F238E27FC236}">
                    <a16:creationId xmlns:a16="http://schemas.microsoft.com/office/drawing/2014/main" id="{00000000-0008-0000-0200-000042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a:extLst>
                <a:ext uri="{FF2B5EF4-FFF2-40B4-BE49-F238E27FC236}">
                  <a16:creationId xmlns:a16="http://schemas.microsoft.com/office/drawing/2014/main" id="{00000000-0008-0000-0200-00005A000000}"/>
                </a:ext>
              </a:extLst>
            </xdr:cNvPr>
            <xdr:cNvGrpSpPr>
              <a:grpSpLocks/>
            </xdr:cNvGrpSpPr>
          </xdr:nvGrpSpPr>
          <xdr:grpSpPr bwMode="auto">
            <a:xfrm>
              <a:off x="5044440" y="12115800"/>
              <a:ext cx="963930" cy="594360"/>
              <a:chOff x="537" y="182"/>
              <a:chExt cx="101" cy="42"/>
            </a:xfrm>
          </xdr:grpSpPr>
          <xdr:sp macro="" textlink="">
            <xdr:nvSpPr>
              <xdr:cNvPr id="20547" name="Check Box 67" hidden="1">
                <a:extLst>
                  <a:ext uri="{63B3BB69-23CF-44E3-9099-C40C66FF867C}">
                    <a14:compatExt spid="_x0000_s20547"/>
                  </a:ext>
                  <a:ext uri="{FF2B5EF4-FFF2-40B4-BE49-F238E27FC236}">
                    <a16:creationId xmlns:a16="http://schemas.microsoft.com/office/drawing/2014/main" id="{00000000-0008-0000-0200-000043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8" name="Check Box 68" hidden="1">
                <a:extLst>
                  <a:ext uri="{63B3BB69-23CF-44E3-9099-C40C66FF867C}">
                    <a14:compatExt spid="_x0000_s20548"/>
                  </a:ext>
                  <a:ext uri="{FF2B5EF4-FFF2-40B4-BE49-F238E27FC236}">
                    <a16:creationId xmlns:a16="http://schemas.microsoft.com/office/drawing/2014/main" id="{00000000-0008-0000-0200-000044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9" name="Check Box 69" hidden="1">
                <a:extLst>
                  <a:ext uri="{63B3BB69-23CF-44E3-9099-C40C66FF867C}">
                    <a14:compatExt spid="_x0000_s20549"/>
                  </a:ext>
                  <a:ext uri="{FF2B5EF4-FFF2-40B4-BE49-F238E27FC236}">
                    <a16:creationId xmlns:a16="http://schemas.microsoft.com/office/drawing/2014/main" id="{00000000-0008-0000-0200-000045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a:extLst>
                <a:ext uri="{FF2B5EF4-FFF2-40B4-BE49-F238E27FC236}">
                  <a16:creationId xmlns:a16="http://schemas.microsoft.com/office/drawing/2014/main" id="{00000000-0008-0000-0200-00005E000000}"/>
                </a:ext>
              </a:extLst>
            </xdr:cNvPr>
            <xdr:cNvGrpSpPr>
              <a:grpSpLocks/>
            </xdr:cNvGrpSpPr>
          </xdr:nvGrpSpPr>
          <xdr:grpSpPr bwMode="auto">
            <a:xfrm>
              <a:off x="5044440" y="12710160"/>
              <a:ext cx="963930" cy="845820"/>
              <a:chOff x="537" y="182"/>
              <a:chExt cx="101" cy="42"/>
            </a:xfrm>
          </xdr:grpSpPr>
          <xdr:sp macro="" textlink="">
            <xdr:nvSpPr>
              <xdr:cNvPr id="20550" name="Check Box 70" hidden="1">
                <a:extLst>
                  <a:ext uri="{63B3BB69-23CF-44E3-9099-C40C66FF867C}">
                    <a14:compatExt spid="_x0000_s20550"/>
                  </a:ext>
                  <a:ext uri="{FF2B5EF4-FFF2-40B4-BE49-F238E27FC236}">
                    <a16:creationId xmlns:a16="http://schemas.microsoft.com/office/drawing/2014/main" id="{00000000-0008-0000-0200-000046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1" name="Check Box 71" hidden="1">
                <a:extLst>
                  <a:ext uri="{63B3BB69-23CF-44E3-9099-C40C66FF867C}">
                    <a14:compatExt spid="_x0000_s20551"/>
                  </a:ext>
                  <a:ext uri="{FF2B5EF4-FFF2-40B4-BE49-F238E27FC236}">
                    <a16:creationId xmlns:a16="http://schemas.microsoft.com/office/drawing/2014/main" id="{00000000-0008-0000-0200-000047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2" name="Check Box 72" hidden="1">
                <a:extLst>
                  <a:ext uri="{63B3BB69-23CF-44E3-9099-C40C66FF867C}">
                    <a14:compatExt spid="_x0000_s20552"/>
                  </a:ext>
                  <a:ext uri="{FF2B5EF4-FFF2-40B4-BE49-F238E27FC236}">
                    <a16:creationId xmlns:a16="http://schemas.microsoft.com/office/drawing/2014/main" id="{00000000-0008-0000-0200-000048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a:extLst>
                <a:ext uri="{FF2B5EF4-FFF2-40B4-BE49-F238E27FC236}">
                  <a16:creationId xmlns:a16="http://schemas.microsoft.com/office/drawing/2014/main" id="{00000000-0008-0000-0200-000062000000}"/>
                </a:ext>
              </a:extLst>
            </xdr:cNvPr>
            <xdr:cNvGrpSpPr>
              <a:grpSpLocks/>
            </xdr:cNvGrpSpPr>
          </xdr:nvGrpSpPr>
          <xdr:grpSpPr bwMode="auto">
            <a:xfrm>
              <a:off x="5044440" y="13555980"/>
              <a:ext cx="963930" cy="266700"/>
              <a:chOff x="537" y="182"/>
              <a:chExt cx="101" cy="42"/>
            </a:xfrm>
          </xdr:grpSpPr>
          <xdr:sp macro="" textlink="">
            <xdr:nvSpPr>
              <xdr:cNvPr id="20553" name="Check Box 73" hidden="1">
                <a:extLst>
                  <a:ext uri="{63B3BB69-23CF-44E3-9099-C40C66FF867C}">
                    <a14:compatExt spid="_x0000_s20553"/>
                  </a:ext>
                  <a:ext uri="{FF2B5EF4-FFF2-40B4-BE49-F238E27FC236}">
                    <a16:creationId xmlns:a16="http://schemas.microsoft.com/office/drawing/2014/main" id="{00000000-0008-0000-0200-000049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4" name="Check Box 74" hidden="1">
                <a:extLst>
                  <a:ext uri="{63B3BB69-23CF-44E3-9099-C40C66FF867C}">
                    <a14:compatExt spid="_x0000_s20554"/>
                  </a:ext>
                  <a:ext uri="{FF2B5EF4-FFF2-40B4-BE49-F238E27FC236}">
                    <a16:creationId xmlns:a16="http://schemas.microsoft.com/office/drawing/2014/main" id="{00000000-0008-0000-0200-00004A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5" name="Check Box 75" hidden="1">
                <a:extLst>
                  <a:ext uri="{63B3BB69-23CF-44E3-9099-C40C66FF867C}">
                    <a14:compatExt spid="_x0000_s20555"/>
                  </a:ext>
                  <a:ext uri="{FF2B5EF4-FFF2-40B4-BE49-F238E27FC236}">
                    <a16:creationId xmlns:a16="http://schemas.microsoft.com/office/drawing/2014/main" id="{00000000-0008-0000-0200-00004B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a:extLst>
                <a:ext uri="{FF2B5EF4-FFF2-40B4-BE49-F238E27FC236}">
                  <a16:creationId xmlns:a16="http://schemas.microsoft.com/office/drawing/2014/main" id="{00000000-0008-0000-0200-000066000000}"/>
                </a:ext>
              </a:extLst>
            </xdr:cNvPr>
            <xdr:cNvGrpSpPr>
              <a:grpSpLocks/>
            </xdr:cNvGrpSpPr>
          </xdr:nvGrpSpPr>
          <xdr:grpSpPr bwMode="auto">
            <a:xfrm>
              <a:off x="5044440" y="13822680"/>
              <a:ext cx="963930" cy="426720"/>
              <a:chOff x="537" y="182"/>
              <a:chExt cx="101" cy="42"/>
            </a:xfrm>
          </xdr:grpSpPr>
          <xdr:sp macro="" textlink="">
            <xdr:nvSpPr>
              <xdr:cNvPr id="20556" name="Check Box 76" hidden="1">
                <a:extLst>
                  <a:ext uri="{63B3BB69-23CF-44E3-9099-C40C66FF867C}">
                    <a14:compatExt spid="_x0000_s20556"/>
                  </a:ext>
                  <a:ext uri="{FF2B5EF4-FFF2-40B4-BE49-F238E27FC236}">
                    <a16:creationId xmlns:a16="http://schemas.microsoft.com/office/drawing/2014/main" id="{00000000-0008-0000-0200-00004C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7" name="Check Box 77" hidden="1">
                <a:extLst>
                  <a:ext uri="{63B3BB69-23CF-44E3-9099-C40C66FF867C}">
                    <a14:compatExt spid="_x0000_s20557"/>
                  </a:ext>
                  <a:ext uri="{FF2B5EF4-FFF2-40B4-BE49-F238E27FC236}">
                    <a16:creationId xmlns:a16="http://schemas.microsoft.com/office/drawing/2014/main" id="{00000000-0008-0000-0200-00004D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8" name="Check Box 78" hidden="1">
                <a:extLst>
                  <a:ext uri="{63B3BB69-23CF-44E3-9099-C40C66FF867C}">
                    <a14:compatExt spid="_x0000_s20558"/>
                  </a:ext>
                  <a:ext uri="{FF2B5EF4-FFF2-40B4-BE49-F238E27FC236}">
                    <a16:creationId xmlns:a16="http://schemas.microsoft.com/office/drawing/2014/main" id="{00000000-0008-0000-0200-00004E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a:extLst>
                <a:ext uri="{FF2B5EF4-FFF2-40B4-BE49-F238E27FC236}">
                  <a16:creationId xmlns:a16="http://schemas.microsoft.com/office/drawing/2014/main" id="{00000000-0008-0000-0200-00006A000000}"/>
                </a:ext>
              </a:extLst>
            </xdr:cNvPr>
            <xdr:cNvGrpSpPr>
              <a:grpSpLocks/>
            </xdr:cNvGrpSpPr>
          </xdr:nvGrpSpPr>
          <xdr:grpSpPr bwMode="auto">
            <a:xfrm>
              <a:off x="5044440" y="14249400"/>
              <a:ext cx="963930" cy="693420"/>
              <a:chOff x="537" y="182"/>
              <a:chExt cx="101" cy="42"/>
            </a:xfrm>
          </xdr:grpSpPr>
          <xdr:sp macro="" textlink="">
            <xdr:nvSpPr>
              <xdr:cNvPr id="20559" name="Check Box 79" hidden="1">
                <a:extLst>
                  <a:ext uri="{63B3BB69-23CF-44E3-9099-C40C66FF867C}">
                    <a14:compatExt spid="_x0000_s20559"/>
                  </a:ext>
                  <a:ext uri="{FF2B5EF4-FFF2-40B4-BE49-F238E27FC236}">
                    <a16:creationId xmlns:a16="http://schemas.microsoft.com/office/drawing/2014/main" id="{00000000-0008-0000-0200-00004F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0" name="Check Box 80" hidden="1">
                <a:extLst>
                  <a:ext uri="{63B3BB69-23CF-44E3-9099-C40C66FF867C}">
                    <a14:compatExt spid="_x0000_s20560"/>
                  </a:ext>
                  <a:ext uri="{FF2B5EF4-FFF2-40B4-BE49-F238E27FC236}">
                    <a16:creationId xmlns:a16="http://schemas.microsoft.com/office/drawing/2014/main" id="{00000000-0008-0000-0200-000050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1" name="Check Box 81" hidden="1">
                <a:extLst>
                  <a:ext uri="{63B3BB69-23CF-44E3-9099-C40C66FF867C}">
                    <a14:compatExt spid="_x0000_s20561"/>
                  </a:ext>
                  <a:ext uri="{FF2B5EF4-FFF2-40B4-BE49-F238E27FC236}">
                    <a16:creationId xmlns:a16="http://schemas.microsoft.com/office/drawing/2014/main" id="{00000000-0008-0000-0200-000051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a:extLst>
                <a:ext uri="{FF2B5EF4-FFF2-40B4-BE49-F238E27FC236}">
                  <a16:creationId xmlns:a16="http://schemas.microsoft.com/office/drawing/2014/main" id="{00000000-0008-0000-0200-00006E000000}"/>
                </a:ext>
              </a:extLst>
            </xdr:cNvPr>
            <xdr:cNvGrpSpPr>
              <a:grpSpLocks/>
            </xdr:cNvGrpSpPr>
          </xdr:nvGrpSpPr>
          <xdr:grpSpPr bwMode="auto">
            <a:xfrm>
              <a:off x="5044440" y="14942820"/>
              <a:ext cx="963930" cy="525780"/>
              <a:chOff x="537" y="182"/>
              <a:chExt cx="101" cy="42"/>
            </a:xfrm>
          </xdr:grpSpPr>
          <xdr:sp macro="" textlink="">
            <xdr:nvSpPr>
              <xdr:cNvPr id="20562" name="Check Box 82" hidden="1">
                <a:extLst>
                  <a:ext uri="{63B3BB69-23CF-44E3-9099-C40C66FF867C}">
                    <a14:compatExt spid="_x0000_s20562"/>
                  </a:ext>
                  <a:ext uri="{FF2B5EF4-FFF2-40B4-BE49-F238E27FC236}">
                    <a16:creationId xmlns:a16="http://schemas.microsoft.com/office/drawing/2014/main" id="{00000000-0008-0000-0200-000052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3" name="Check Box 83" hidden="1">
                <a:extLst>
                  <a:ext uri="{63B3BB69-23CF-44E3-9099-C40C66FF867C}">
                    <a14:compatExt spid="_x0000_s20563"/>
                  </a:ext>
                  <a:ext uri="{FF2B5EF4-FFF2-40B4-BE49-F238E27FC236}">
                    <a16:creationId xmlns:a16="http://schemas.microsoft.com/office/drawing/2014/main" id="{00000000-0008-0000-0200-000053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4" name="Check Box 84" hidden="1">
                <a:extLst>
                  <a:ext uri="{63B3BB69-23CF-44E3-9099-C40C66FF867C}">
                    <a14:compatExt spid="_x0000_s20564"/>
                  </a:ext>
                  <a:ext uri="{FF2B5EF4-FFF2-40B4-BE49-F238E27FC236}">
                    <a16:creationId xmlns:a16="http://schemas.microsoft.com/office/drawing/2014/main" id="{00000000-0008-0000-0200-000054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a:extLst>
                <a:ext uri="{FF2B5EF4-FFF2-40B4-BE49-F238E27FC236}">
                  <a16:creationId xmlns:a16="http://schemas.microsoft.com/office/drawing/2014/main" id="{00000000-0008-0000-0200-000072000000}"/>
                </a:ext>
              </a:extLst>
            </xdr:cNvPr>
            <xdr:cNvGrpSpPr>
              <a:grpSpLocks/>
            </xdr:cNvGrpSpPr>
          </xdr:nvGrpSpPr>
          <xdr:grpSpPr bwMode="auto">
            <a:xfrm>
              <a:off x="5044440" y="15468600"/>
              <a:ext cx="963930" cy="594360"/>
              <a:chOff x="537" y="182"/>
              <a:chExt cx="101" cy="42"/>
            </a:xfrm>
          </xdr:grpSpPr>
          <xdr:sp macro="" textlink="">
            <xdr:nvSpPr>
              <xdr:cNvPr id="20565" name="Check Box 85" hidden="1">
                <a:extLst>
                  <a:ext uri="{63B3BB69-23CF-44E3-9099-C40C66FF867C}">
                    <a14:compatExt spid="_x0000_s20565"/>
                  </a:ext>
                  <a:ext uri="{FF2B5EF4-FFF2-40B4-BE49-F238E27FC236}">
                    <a16:creationId xmlns:a16="http://schemas.microsoft.com/office/drawing/2014/main" id="{00000000-0008-0000-0200-000055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6" name="Check Box 86" hidden="1">
                <a:extLst>
                  <a:ext uri="{63B3BB69-23CF-44E3-9099-C40C66FF867C}">
                    <a14:compatExt spid="_x0000_s20566"/>
                  </a:ext>
                  <a:ext uri="{FF2B5EF4-FFF2-40B4-BE49-F238E27FC236}">
                    <a16:creationId xmlns:a16="http://schemas.microsoft.com/office/drawing/2014/main" id="{00000000-0008-0000-0200-000056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7" name="Check Box 87" hidden="1">
                <a:extLst>
                  <a:ext uri="{63B3BB69-23CF-44E3-9099-C40C66FF867C}">
                    <a14:compatExt spid="_x0000_s20567"/>
                  </a:ext>
                  <a:ext uri="{FF2B5EF4-FFF2-40B4-BE49-F238E27FC236}">
                    <a16:creationId xmlns:a16="http://schemas.microsoft.com/office/drawing/2014/main" id="{00000000-0008-0000-0200-000057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a:extLst>
                <a:ext uri="{FF2B5EF4-FFF2-40B4-BE49-F238E27FC236}">
                  <a16:creationId xmlns:a16="http://schemas.microsoft.com/office/drawing/2014/main" id="{00000000-0008-0000-0200-000076000000}"/>
                </a:ext>
              </a:extLst>
            </xdr:cNvPr>
            <xdr:cNvGrpSpPr>
              <a:grpSpLocks/>
            </xdr:cNvGrpSpPr>
          </xdr:nvGrpSpPr>
          <xdr:grpSpPr bwMode="auto">
            <a:xfrm>
              <a:off x="5044440" y="16062960"/>
              <a:ext cx="963930" cy="594360"/>
              <a:chOff x="537" y="182"/>
              <a:chExt cx="101" cy="42"/>
            </a:xfrm>
          </xdr:grpSpPr>
          <xdr:sp macro="" textlink="">
            <xdr:nvSpPr>
              <xdr:cNvPr id="20568" name="Check Box 88" hidden="1">
                <a:extLst>
                  <a:ext uri="{63B3BB69-23CF-44E3-9099-C40C66FF867C}">
                    <a14:compatExt spid="_x0000_s20568"/>
                  </a:ext>
                  <a:ext uri="{FF2B5EF4-FFF2-40B4-BE49-F238E27FC236}">
                    <a16:creationId xmlns:a16="http://schemas.microsoft.com/office/drawing/2014/main" id="{00000000-0008-0000-0200-000058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9" name="Check Box 89" hidden="1">
                <a:extLst>
                  <a:ext uri="{63B3BB69-23CF-44E3-9099-C40C66FF867C}">
                    <a14:compatExt spid="_x0000_s20569"/>
                  </a:ext>
                  <a:ext uri="{FF2B5EF4-FFF2-40B4-BE49-F238E27FC236}">
                    <a16:creationId xmlns:a16="http://schemas.microsoft.com/office/drawing/2014/main" id="{00000000-0008-0000-0200-000059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70" name="Check Box 90" hidden="1">
                <a:extLst>
                  <a:ext uri="{63B3BB69-23CF-44E3-9099-C40C66FF867C}">
                    <a14:compatExt spid="_x0000_s20570"/>
                  </a:ext>
                  <a:ext uri="{FF2B5EF4-FFF2-40B4-BE49-F238E27FC236}">
                    <a16:creationId xmlns:a16="http://schemas.microsoft.com/office/drawing/2014/main" id="{00000000-0008-0000-0200-00005A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oneCell">
    <xdr:from>
      <xdr:col>1</xdr:col>
      <xdr:colOff>0</xdr:colOff>
      <xdr:row>6</xdr:row>
      <xdr:rowOff>0</xdr:rowOff>
    </xdr:from>
    <xdr:to>
      <xdr:col>2</xdr:col>
      <xdr:colOff>247650</xdr:colOff>
      <xdr:row>7</xdr:row>
      <xdr:rowOff>8287</xdr:rowOff>
    </xdr:to>
    <xdr:pic>
      <xdr:nvPicPr>
        <xdr:cNvPr id="122" name="Picture 121">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700" y="1501140"/>
          <a:ext cx="742950" cy="22164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312</xdr:row>
      <xdr:rowOff>0</xdr:rowOff>
    </xdr:from>
    <xdr:to>
      <xdr:col>12</xdr:col>
      <xdr:colOff>381000</xdr:colOff>
      <xdr:row>340</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0</xdr:colOff>
      <xdr:row>49</xdr:row>
      <xdr:rowOff>0</xdr:rowOff>
    </xdr:from>
    <xdr:to>
      <xdr:col>20</xdr:col>
      <xdr:colOff>508000</xdr:colOff>
      <xdr:row>64</xdr:row>
      <xdr:rowOff>76200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65</xdr:row>
      <xdr:rowOff>0</xdr:rowOff>
    </xdr:from>
    <xdr:to>
      <xdr:col>20</xdr:col>
      <xdr:colOff>508000</xdr:colOff>
      <xdr:row>83</xdr:row>
      <xdr:rowOff>76200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84</xdr:row>
      <xdr:rowOff>0</xdr:rowOff>
    </xdr:from>
    <xdr:to>
      <xdr:col>20</xdr:col>
      <xdr:colOff>508000</xdr:colOff>
      <xdr:row>99</xdr:row>
      <xdr:rowOff>76200</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100</xdr:row>
      <xdr:rowOff>0</xdr:rowOff>
    </xdr:from>
    <xdr:to>
      <xdr:col>20</xdr:col>
      <xdr:colOff>508000</xdr:colOff>
      <xdr:row>115</xdr:row>
      <xdr:rowOff>76200</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49</xdr:row>
      <xdr:rowOff>0</xdr:rowOff>
    </xdr:from>
    <xdr:to>
      <xdr:col>26</xdr:col>
      <xdr:colOff>508000</xdr:colOff>
      <xdr:row>70</xdr:row>
      <xdr:rowOff>0</xdr:rowOff>
    </xdr:to>
    <xdr:graphicFrame macro="">
      <xdr:nvGraphicFramePr>
        <xdr:cNvPr id="6" name="Chart 5">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71</xdr:row>
      <xdr:rowOff>0</xdr:rowOff>
    </xdr:from>
    <xdr:to>
      <xdr:col>26</xdr:col>
      <xdr:colOff>508000</xdr:colOff>
      <xdr:row>92</xdr:row>
      <xdr:rowOff>0</xdr:rowOff>
    </xdr:to>
    <xdr:graphicFrame macro="">
      <xdr:nvGraphicFramePr>
        <xdr:cNvPr id="7" name="Chart 6">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11</xdr:col>
      <xdr:colOff>372960</xdr:colOff>
      <xdr:row>3</xdr:row>
      <xdr:rowOff>148319</xdr:rowOff>
    </xdr:from>
    <xdr:ext cx="6997680" cy="4284720"/>
    <xdr:pic>
      <xdr:nvPicPr>
        <xdr:cNvPr id="2" name="Picture 2">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lum bright="-50000"/>
          <a:alphaModFix/>
        </a:blip>
        <a:srcRect/>
        <a:stretch>
          <a:fillRect/>
        </a:stretch>
      </xdr:blipFill>
      <xdr:spPr>
        <a:xfrm>
          <a:off x="7392885" y="691244"/>
          <a:ext cx="6997680" cy="4284720"/>
        </a:xfrm>
        <a:prstGeom prst="rect">
          <a:avLst/>
        </a:prstGeom>
        <a:noFill/>
        <a:ln>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12" Type="http://schemas.openxmlformats.org/officeDocument/2006/relationships/ctrlProp" Target="../ctrlProps/ctrlProp8.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30.xml"/><Relationship Id="rId21" Type="http://schemas.openxmlformats.org/officeDocument/2006/relationships/ctrlProp" Target="../ctrlProps/ctrlProp25.xml"/><Relationship Id="rId42" Type="http://schemas.openxmlformats.org/officeDocument/2006/relationships/ctrlProp" Target="../ctrlProps/ctrlProp46.xml"/><Relationship Id="rId47" Type="http://schemas.openxmlformats.org/officeDocument/2006/relationships/ctrlProp" Target="../ctrlProps/ctrlProp51.xml"/><Relationship Id="rId63" Type="http://schemas.openxmlformats.org/officeDocument/2006/relationships/ctrlProp" Target="../ctrlProps/ctrlProp67.xml"/><Relationship Id="rId68" Type="http://schemas.openxmlformats.org/officeDocument/2006/relationships/ctrlProp" Target="../ctrlProps/ctrlProp72.xml"/><Relationship Id="rId84" Type="http://schemas.openxmlformats.org/officeDocument/2006/relationships/ctrlProp" Target="../ctrlProps/ctrlProp88.xml"/><Relationship Id="rId89" Type="http://schemas.openxmlformats.org/officeDocument/2006/relationships/ctrlProp" Target="../ctrlProps/ctrlProp93.xml"/><Relationship Id="rId16" Type="http://schemas.openxmlformats.org/officeDocument/2006/relationships/ctrlProp" Target="../ctrlProps/ctrlProp20.xml"/><Relationship Id="rId11" Type="http://schemas.openxmlformats.org/officeDocument/2006/relationships/ctrlProp" Target="../ctrlProps/ctrlProp15.xml"/><Relationship Id="rId32" Type="http://schemas.openxmlformats.org/officeDocument/2006/relationships/ctrlProp" Target="../ctrlProps/ctrlProp36.xml"/><Relationship Id="rId37" Type="http://schemas.openxmlformats.org/officeDocument/2006/relationships/ctrlProp" Target="../ctrlProps/ctrlProp41.xml"/><Relationship Id="rId53" Type="http://schemas.openxmlformats.org/officeDocument/2006/relationships/ctrlProp" Target="../ctrlProps/ctrlProp57.xml"/><Relationship Id="rId58" Type="http://schemas.openxmlformats.org/officeDocument/2006/relationships/ctrlProp" Target="../ctrlProps/ctrlProp62.xml"/><Relationship Id="rId74" Type="http://schemas.openxmlformats.org/officeDocument/2006/relationships/ctrlProp" Target="../ctrlProps/ctrlProp78.xml"/><Relationship Id="rId79" Type="http://schemas.openxmlformats.org/officeDocument/2006/relationships/ctrlProp" Target="../ctrlProps/ctrlProp83.xml"/><Relationship Id="rId5" Type="http://schemas.openxmlformats.org/officeDocument/2006/relationships/ctrlProp" Target="../ctrlProps/ctrlProp9.xml"/><Relationship Id="rId90" Type="http://schemas.openxmlformats.org/officeDocument/2006/relationships/ctrlProp" Target="../ctrlProps/ctrlProp94.xml"/><Relationship Id="rId22" Type="http://schemas.openxmlformats.org/officeDocument/2006/relationships/ctrlProp" Target="../ctrlProps/ctrlProp26.xml"/><Relationship Id="rId27" Type="http://schemas.openxmlformats.org/officeDocument/2006/relationships/ctrlProp" Target="../ctrlProps/ctrlProp31.xml"/><Relationship Id="rId43" Type="http://schemas.openxmlformats.org/officeDocument/2006/relationships/ctrlProp" Target="../ctrlProps/ctrlProp47.xml"/><Relationship Id="rId48" Type="http://schemas.openxmlformats.org/officeDocument/2006/relationships/ctrlProp" Target="../ctrlProps/ctrlProp52.xml"/><Relationship Id="rId64" Type="http://schemas.openxmlformats.org/officeDocument/2006/relationships/ctrlProp" Target="../ctrlProps/ctrlProp68.xml"/><Relationship Id="rId69" Type="http://schemas.openxmlformats.org/officeDocument/2006/relationships/ctrlProp" Target="../ctrlProps/ctrlProp73.xml"/><Relationship Id="rId8" Type="http://schemas.openxmlformats.org/officeDocument/2006/relationships/ctrlProp" Target="../ctrlProps/ctrlProp12.xml"/><Relationship Id="rId51" Type="http://schemas.openxmlformats.org/officeDocument/2006/relationships/ctrlProp" Target="../ctrlProps/ctrlProp55.xml"/><Relationship Id="rId72" Type="http://schemas.openxmlformats.org/officeDocument/2006/relationships/ctrlProp" Target="../ctrlProps/ctrlProp76.xml"/><Relationship Id="rId80" Type="http://schemas.openxmlformats.org/officeDocument/2006/relationships/ctrlProp" Target="../ctrlProps/ctrlProp84.xml"/><Relationship Id="rId85" Type="http://schemas.openxmlformats.org/officeDocument/2006/relationships/ctrlProp" Target="../ctrlProps/ctrlProp89.xml"/><Relationship Id="rId93" Type="http://schemas.openxmlformats.org/officeDocument/2006/relationships/ctrlProp" Target="../ctrlProps/ctrlProp97.xml"/><Relationship Id="rId3" Type="http://schemas.openxmlformats.org/officeDocument/2006/relationships/drawing" Target="../drawings/drawing2.xml"/><Relationship Id="rId12" Type="http://schemas.openxmlformats.org/officeDocument/2006/relationships/ctrlProp" Target="../ctrlProps/ctrlProp16.xml"/><Relationship Id="rId17" Type="http://schemas.openxmlformats.org/officeDocument/2006/relationships/ctrlProp" Target="../ctrlProps/ctrlProp21.xml"/><Relationship Id="rId25" Type="http://schemas.openxmlformats.org/officeDocument/2006/relationships/ctrlProp" Target="../ctrlProps/ctrlProp29.xml"/><Relationship Id="rId33" Type="http://schemas.openxmlformats.org/officeDocument/2006/relationships/ctrlProp" Target="../ctrlProps/ctrlProp37.xml"/><Relationship Id="rId38" Type="http://schemas.openxmlformats.org/officeDocument/2006/relationships/ctrlProp" Target="../ctrlProps/ctrlProp42.xml"/><Relationship Id="rId46" Type="http://schemas.openxmlformats.org/officeDocument/2006/relationships/ctrlProp" Target="../ctrlProps/ctrlProp50.xml"/><Relationship Id="rId59" Type="http://schemas.openxmlformats.org/officeDocument/2006/relationships/ctrlProp" Target="../ctrlProps/ctrlProp63.xml"/><Relationship Id="rId67" Type="http://schemas.openxmlformats.org/officeDocument/2006/relationships/ctrlProp" Target="../ctrlProps/ctrlProp71.xml"/><Relationship Id="rId20" Type="http://schemas.openxmlformats.org/officeDocument/2006/relationships/ctrlProp" Target="../ctrlProps/ctrlProp24.xml"/><Relationship Id="rId41" Type="http://schemas.openxmlformats.org/officeDocument/2006/relationships/ctrlProp" Target="../ctrlProps/ctrlProp45.xml"/><Relationship Id="rId54" Type="http://schemas.openxmlformats.org/officeDocument/2006/relationships/ctrlProp" Target="../ctrlProps/ctrlProp58.xml"/><Relationship Id="rId62" Type="http://schemas.openxmlformats.org/officeDocument/2006/relationships/ctrlProp" Target="../ctrlProps/ctrlProp66.xml"/><Relationship Id="rId70" Type="http://schemas.openxmlformats.org/officeDocument/2006/relationships/ctrlProp" Target="../ctrlProps/ctrlProp74.xml"/><Relationship Id="rId75" Type="http://schemas.openxmlformats.org/officeDocument/2006/relationships/ctrlProp" Target="../ctrlProps/ctrlProp79.xml"/><Relationship Id="rId83" Type="http://schemas.openxmlformats.org/officeDocument/2006/relationships/ctrlProp" Target="../ctrlProps/ctrlProp87.xml"/><Relationship Id="rId88" Type="http://schemas.openxmlformats.org/officeDocument/2006/relationships/ctrlProp" Target="../ctrlProps/ctrlProp92.xml"/><Relationship Id="rId91" Type="http://schemas.openxmlformats.org/officeDocument/2006/relationships/ctrlProp" Target="../ctrlProps/ctrlProp95.xml"/><Relationship Id="rId1" Type="http://schemas.openxmlformats.org/officeDocument/2006/relationships/printerSettings" Target="../printerSettings/printerSettings4.bin"/><Relationship Id="rId6" Type="http://schemas.openxmlformats.org/officeDocument/2006/relationships/ctrlProp" Target="../ctrlProps/ctrlProp10.xml"/><Relationship Id="rId15" Type="http://schemas.openxmlformats.org/officeDocument/2006/relationships/ctrlProp" Target="../ctrlProps/ctrlProp19.xml"/><Relationship Id="rId23" Type="http://schemas.openxmlformats.org/officeDocument/2006/relationships/ctrlProp" Target="../ctrlProps/ctrlProp27.xml"/><Relationship Id="rId28" Type="http://schemas.openxmlformats.org/officeDocument/2006/relationships/ctrlProp" Target="../ctrlProps/ctrlProp32.xml"/><Relationship Id="rId36" Type="http://schemas.openxmlformats.org/officeDocument/2006/relationships/ctrlProp" Target="../ctrlProps/ctrlProp40.xml"/><Relationship Id="rId49" Type="http://schemas.openxmlformats.org/officeDocument/2006/relationships/ctrlProp" Target="../ctrlProps/ctrlProp53.xml"/><Relationship Id="rId57" Type="http://schemas.openxmlformats.org/officeDocument/2006/relationships/ctrlProp" Target="../ctrlProps/ctrlProp61.xml"/><Relationship Id="rId10" Type="http://schemas.openxmlformats.org/officeDocument/2006/relationships/ctrlProp" Target="../ctrlProps/ctrlProp14.xml"/><Relationship Id="rId31" Type="http://schemas.openxmlformats.org/officeDocument/2006/relationships/ctrlProp" Target="../ctrlProps/ctrlProp35.xml"/><Relationship Id="rId44" Type="http://schemas.openxmlformats.org/officeDocument/2006/relationships/ctrlProp" Target="../ctrlProps/ctrlProp48.xml"/><Relationship Id="rId52" Type="http://schemas.openxmlformats.org/officeDocument/2006/relationships/ctrlProp" Target="../ctrlProps/ctrlProp56.xml"/><Relationship Id="rId60" Type="http://schemas.openxmlformats.org/officeDocument/2006/relationships/ctrlProp" Target="../ctrlProps/ctrlProp64.xml"/><Relationship Id="rId65" Type="http://schemas.openxmlformats.org/officeDocument/2006/relationships/ctrlProp" Target="../ctrlProps/ctrlProp69.xml"/><Relationship Id="rId73" Type="http://schemas.openxmlformats.org/officeDocument/2006/relationships/ctrlProp" Target="../ctrlProps/ctrlProp77.xml"/><Relationship Id="rId78" Type="http://schemas.openxmlformats.org/officeDocument/2006/relationships/ctrlProp" Target="../ctrlProps/ctrlProp82.xml"/><Relationship Id="rId81" Type="http://schemas.openxmlformats.org/officeDocument/2006/relationships/ctrlProp" Target="../ctrlProps/ctrlProp85.xml"/><Relationship Id="rId86" Type="http://schemas.openxmlformats.org/officeDocument/2006/relationships/ctrlProp" Target="../ctrlProps/ctrlProp90.xml"/><Relationship Id="rId94" Type="http://schemas.openxmlformats.org/officeDocument/2006/relationships/ctrlProp" Target="../ctrlProps/ctrlProp98.xml"/><Relationship Id="rId4" Type="http://schemas.openxmlformats.org/officeDocument/2006/relationships/vmlDrawing" Target="../drawings/vmlDrawing3.vml"/><Relationship Id="rId9" Type="http://schemas.openxmlformats.org/officeDocument/2006/relationships/ctrlProp" Target="../ctrlProps/ctrlProp13.xml"/><Relationship Id="rId13" Type="http://schemas.openxmlformats.org/officeDocument/2006/relationships/ctrlProp" Target="../ctrlProps/ctrlProp17.xml"/><Relationship Id="rId18" Type="http://schemas.openxmlformats.org/officeDocument/2006/relationships/ctrlProp" Target="../ctrlProps/ctrlProp22.xml"/><Relationship Id="rId39" Type="http://schemas.openxmlformats.org/officeDocument/2006/relationships/ctrlProp" Target="../ctrlProps/ctrlProp43.xml"/><Relationship Id="rId34" Type="http://schemas.openxmlformats.org/officeDocument/2006/relationships/ctrlProp" Target="../ctrlProps/ctrlProp38.xml"/><Relationship Id="rId50" Type="http://schemas.openxmlformats.org/officeDocument/2006/relationships/ctrlProp" Target="../ctrlProps/ctrlProp54.xml"/><Relationship Id="rId55" Type="http://schemas.openxmlformats.org/officeDocument/2006/relationships/ctrlProp" Target="../ctrlProps/ctrlProp59.xml"/><Relationship Id="rId76" Type="http://schemas.openxmlformats.org/officeDocument/2006/relationships/ctrlProp" Target="../ctrlProps/ctrlProp80.xml"/><Relationship Id="rId7" Type="http://schemas.openxmlformats.org/officeDocument/2006/relationships/ctrlProp" Target="../ctrlProps/ctrlProp11.xml"/><Relationship Id="rId71" Type="http://schemas.openxmlformats.org/officeDocument/2006/relationships/ctrlProp" Target="../ctrlProps/ctrlProp75.xml"/><Relationship Id="rId92" Type="http://schemas.openxmlformats.org/officeDocument/2006/relationships/ctrlProp" Target="../ctrlProps/ctrlProp96.xml"/><Relationship Id="rId2" Type="http://schemas.openxmlformats.org/officeDocument/2006/relationships/printerSettings" Target="../printerSettings/printerSettings5.bin"/><Relationship Id="rId29" Type="http://schemas.openxmlformats.org/officeDocument/2006/relationships/ctrlProp" Target="../ctrlProps/ctrlProp33.xml"/><Relationship Id="rId24" Type="http://schemas.openxmlformats.org/officeDocument/2006/relationships/ctrlProp" Target="../ctrlProps/ctrlProp28.xml"/><Relationship Id="rId40" Type="http://schemas.openxmlformats.org/officeDocument/2006/relationships/ctrlProp" Target="../ctrlProps/ctrlProp44.xml"/><Relationship Id="rId45" Type="http://schemas.openxmlformats.org/officeDocument/2006/relationships/ctrlProp" Target="../ctrlProps/ctrlProp49.xml"/><Relationship Id="rId66" Type="http://schemas.openxmlformats.org/officeDocument/2006/relationships/ctrlProp" Target="../ctrlProps/ctrlProp70.xml"/><Relationship Id="rId87" Type="http://schemas.openxmlformats.org/officeDocument/2006/relationships/ctrlProp" Target="../ctrlProps/ctrlProp91.xml"/><Relationship Id="rId61" Type="http://schemas.openxmlformats.org/officeDocument/2006/relationships/ctrlProp" Target="../ctrlProps/ctrlProp65.xml"/><Relationship Id="rId82" Type="http://schemas.openxmlformats.org/officeDocument/2006/relationships/ctrlProp" Target="../ctrlProps/ctrlProp86.xml"/><Relationship Id="rId19" Type="http://schemas.openxmlformats.org/officeDocument/2006/relationships/ctrlProp" Target="../ctrlProps/ctrlProp23.xml"/><Relationship Id="rId14" Type="http://schemas.openxmlformats.org/officeDocument/2006/relationships/ctrlProp" Target="../ctrlProps/ctrlProp18.xml"/><Relationship Id="rId30" Type="http://schemas.openxmlformats.org/officeDocument/2006/relationships/ctrlProp" Target="../ctrlProps/ctrlProp34.xml"/><Relationship Id="rId35" Type="http://schemas.openxmlformats.org/officeDocument/2006/relationships/ctrlProp" Target="../ctrlProps/ctrlProp39.xml"/><Relationship Id="rId56" Type="http://schemas.openxmlformats.org/officeDocument/2006/relationships/ctrlProp" Target="../ctrlProps/ctrlProp60.xml"/><Relationship Id="rId77" Type="http://schemas.openxmlformats.org/officeDocument/2006/relationships/ctrlProp" Target="../ctrlProps/ctrlProp8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2"/>
  <sheetViews>
    <sheetView showGridLines="0" zoomScaleNormal="100" workbookViewId="0">
      <selection activeCell="E10" sqref="E10:H10"/>
    </sheetView>
  </sheetViews>
  <sheetFormatPr defaultColWidth="9" defaultRowHeight="13.2"/>
  <cols>
    <col min="1" max="1" width="5" style="7" customWidth="1"/>
    <col min="2" max="2" width="5.3984375" style="7" customWidth="1"/>
    <col min="3" max="3" width="5.8984375" style="7" customWidth="1"/>
    <col min="4" max="4" width="7.3984375" style="7" customWidth="1"/>
    <col min="5" max="5" width="5.8984375" style="7" customWidth="1"/>
    <col min="6" max="7" width="7.3984375" style="7" customWidth="1"/>
    <col min="8" max="10" width="7.59765625" style="7" customWidth="1"/>
    <col min="11" max="12" width="8.3984375" style="7" customWidth="1"/>
    <col min="13" max="13" width="6.59765625" style="7" customWidth="1"/>
    <col min="14" max="14" width="15.09765625" style="7" customWidth="1"/>
    <col min="15" max="16384" width="9" style="7"/>
  </cols>
  <sheetData>
    <row r="1" spans="1:14" ht="24.6">
      <c r="A1" s="691" t="s">
        <v>361</v>
      </c>
      <c r="B1" s="691"/>
      <c r="C1" s="691"/>
      <c r="D1" s="691"/>
      <c r="E1" s="691"/>
      <c r="F1" s="691"/>
      <c r="G1" s="691"/>
      <c r="H1" s="691"/>
      <c r="I1" s="691"/>
      <c r="J1" s="691"/>
      <c r="K1" s="691"/>
      <c r="L1" s="691"/>
      <c r="M1" s="691"/>
      <c r="N1" s="691"/>
    </row>
    <row r="2" spans="1:14" ht="24.6">
      <c r="A2" s="691" t="s">
        <v>362</v>
      </c>
      <c r="B2" s="691"/>
      <c r="C2" s="691"/>
      <c r="D2" s="691"/>
      <c r="E2" s="691"/>
      <c r="F2" s="691"/>
      <c r="G2" s="691"/>
      <c r="H2" s="691"/>
      <c r="I2" s="691"/>
      <c r="J2" s="691"/>
      <c r="K2" s="691"/>
      <c r="L2" s="691"/>
      <c r="M2" s="691"/>
      <c r="N2" s="691"/>
    </row>
    <row r="3" spans="1:14" ht="16.5" customHeight="1">
      <c r="A3" s="80"/>
      <c r="B3" s="80"/>
      <c r="C3" s="80"/>
      <c r="D3" s="80"/>
      <c r="E3" s="80"/>
      <c r="F3" s="80"/>
      <c r="G3" s="80"/>
      <c r="H3" s="80"/>
      <c r="I3" s="80"/>
      <c r="J3" s="80"/>
      <c r="K3" s="80"/>
      <c r="L3" s="80"/>
      <c r="M3" s="80"/>
      <c r="N3" s="80"/>
    </row>
    <row r="4" spans="1:14" ht="16.5" customHeight="1">
      <c r="A4" s="81" t="s">
        <v>363</v>
      </c>
      <c r="B4" s="81"/>
      <c r="C4" s="692"/>
      <c r="D4" s="693"/>
      <c r="E4" s="693"/>
      <c r="F4" s="693"/>
      <c r="G4" s="693"/>
      <c r="H4" s="694"/>
      <c r="J4" s="81"/>
      <c r="K4" s="82" t="s">
        <v>364</v>
      </c>
      <c r="L4" s="695"/>
      <c r="M4" s="696"/>
      <c r="N4" s="697"/>
    </row>
    <row r="5" spans="1:14" ht="16.5" customHeight="1">
      <c r="A5" s="81" t="s">
        <v>365</v>
      </c>
      <c r="B5" s="81"/>
      <c r="C5" s="692"/>
      <c r="D5" s="693"/>
      <c r="E5" s="693"/>
      <c r="F5" s="693"/>
      <c r="G5" s="693"/>
      <c r="H5" s="694"/>
      <c r="J5" s="81"/>
      <c r="K5" s="82" t="s">
        <v>366</v>
      </c>
      <c r="L5" s="695">
        <f>Sheet1!P7</f>
        <v>0</v>
      </c>
      <c r="M5" s="696"/>
      <c r="N5" s="697"/>
    </row>
    <row r="6" spans="1:14" ht="16.5" customHeight="1">
      <c r="A6" s="81" t="s">
        <v>367</v>
      </c>
      <c r="B6" s="81"/>
      <c r="C6" s="81"/>
      <c r="D6" s="81"/>
      <c r="E6" s="703" t="s">
        <v>10</v>
      </c>
      <c r="F6" s="703"/>
      <c r="G6" s="703"/>
      <c r="H6" s="703"/>
      <c r="J6" s="81"/>
      <c r="K6" s="82" t="s">
        <v>368</v>
      </c>
      <c r="L6" s="692"/>
      <c r="M6" s="693"/>
      <c r="N6" s="694"/>
    </row>
    <row r="7" spans="1:14" ht="16.5" customHeight="1">
      <c r="A7" s="81" t="s">
        <v>369</v>
      </c>
      <c r="B7" s="81"/>
      <c r="C7" s="81"/>
      <c r="D7" s="81"/>
      <c r="E7" s="692" t="s">
        <v>370</v>
      </c>
      <c r="F7" s="693"/>
      <c r="G7" s="693"/>
      <c r="H7" s="694"/>
      <c r="J7" s="81"/>
      <c r="K7" s="82" t="s">
        <v>371</v>
      </c>
      <c r="L7" s="692" t="s">
        <v>746</v>
      </c>
      <c r="M7" s="693"/>
      <c r="N7" s="694"/>
    </row>
    <row r="8" spans="1:14" ht="16.5" customHeight="1">
      <c r="A8" s="81" t="s">
        <v>372</v>
      </c>
      <c r="B8" s="81"/>
      <c r="C8" s="81"/>
      <c r="D8" s="81"/>
      <c r="E8" s="704" t="str">
        <f>Sheet1!K12</f>
        <v/>
      </c>
      <c r="F8" s="705"/>
      <c r="G8" s="705"/>
      <c r="H8" s="706"/>
      <c r="J8" s="81"/>
      <c r="K8" s="82" t="s">
        <v>373</v>
      </c>
      <c r="L8" s="692" t="str">
        <f>Sheet1!R14</f>
        <v/>
      </c>
      <c r="M8" s="693"/>
      <c r="N8" s="694"/>
    </row>
    <row r="9" spans="1:14" ht="11.25" customHeight="1">
      <c r="A9" s="81"/>
      <c r="B9" s="81"/>
      <c r="C9" s="81"/>
      <c r="D9" s="81"/>
      <c r="E9" s="83"/>
      <c r="F9" s="84"/>
      <c r="G9" s="84"/>
      <c r="H9" s="84"/>
      <c r="J9" s="81"/>
      <c r="K9" s="82"/>
      <c r="L9" s="84"/>
      <c r="M9" s="84"/>
      <c r="N9" s="84"/>
    </row>
    <row r="10" spans="1:14" ht="16.5" customHeight="1">
      <c r="A10" s="85" t="s">
        <v>526</v>
      </c>
      <c r="E10" s="707"/>
      <c r="F10" s="708"/>
      <c r="G10" s="708"/>
      <c r="H10" s="709"/>
      <c r="I10" s="86" t="s">
        <v>525</v>
      </c>
    </row>
    <row r="11" spans="1:14" ht="11.25" customHeight="1">
      <c r="C11" s="81"/>
      <c r="D11" s="81"/>
      <c r="E11" s="81"/>
      <c r="F11" s="81"/>
      <c r="G11" s="81"/>
      <c r="H11" s="81"/>
      <c r="I11" s="81"/>
    </row>
    <row r="12" spans="1:14" ht="16.5" customHeight="1" thickBot="1">
      <c r="A12" s="81" t="s">
        <v>375</v>
      </c>
      <c r="B12" s="81"/>
      <c r="C12" s="81"/>
      <c r="D12" s="81"/>
      <c r="E12" s="710" t="s">
        <v>376</v>
      </c>
      <c r="F12" s="711"/>
      <c r="G12" s="710" t="s">
        <v>371</v>
      </c>
      <c r="H12" s="711"/>
      <c r="I12" s="710" t="s">
        <v>14</v>
      </c>
      <c r="J12" s="711"/>
      <c r="K12" s="710" t="s">
        <v>374</v>
      </c>
      <c r="L12" s="712"/>
      <c r="M12" s="712"/>
      <c r="N12" s="711"/>
    </row>
    <row r="13" spans="1:14" ht="16.5" customHeight="1" thickTop="1">
      <c r="A13" s="81"/>
      <c r="B13" s="81"/>
      <c r="C13" s="81"/>
      <c r="D13" s="87" t="s">
        <v>377</v>
      </c>
      <c r="E13" s="698" t="s">
        <v>798</v>
      </c>
      <c r="F13" s="699"/>
      <c r="G13" s="698" t="s">
        <v>799</v>
      </c>
      <c r="H13" s="699"/>
      <c r="I13" s="700"/>
      <c r="J13" s="701"/>
      <c r="K13" s="698" t="s">
        <v>800</v>
      </c>
      <c r="L13" s="702"/>
      <c r="M13" s="702"/>
      <c r="N13" s="699"/>
    </row>
    <row r="14" spans="1:14" ht="16.5" customHeight="1">
      <c r="D14" s="87" t="s">
        <v>378</v>
      </c>
      <c r="E14" s="715"/>
      <c r="F14" s="716"/>
      <c r="G14" s="715"/>
      <c r="H14" s="716"/>
      <c r="I14" s="717"/>
      <c r="J14" s="718"/>
      <c r="K14" s="715"/>
      <c r="L14" s="719"/>
      <c r="M14" s="719"/>
      <c r="N14" s="716"/>
    </row>
    <row r="15" spans="1:14" ht="36" customHeight="1">
      <c r="A15" s="720" t="s">
        <v>702</v>
      </c>
      <c r="B15" s="720"/>
      <c r="C15" s="720"/>
      <c r="D15" s="720"/>
      <c r="E15" s="720"/>
      <c r="F15" s="720"/>
      <c r="G15" s="720"/>
      <c r="H15" s="720"/>
      <c r="I15" s="720"/>
      <c r="J15" s="720"/>
      <c r="K15" s="720"/>
      <c r="L15" s="720"/>
      <c r="M15" s="720"/>
      <c r="N15" s="720"/>
    </row>
    <row r="16" spans="1:14" ht="16.5" customHeight="1">
      <c r="A16" s="85" t="s">
        <v>379</v>
      </c>
      <c r="B16" s="85"/>
      <c r="C16" s="88"/>
      <c r="D16" s="7" t="s">
        <v>703</v>
      </c>
      <c r="G16" s="89"/>
      <c r="H16" s="90"/>
      <c r="I16" s="91"/>
      <c r="J16" s="89"/>
      <c r="N16" s="87" t="s">
        <v>380</v>
      </c>
    </row>
    <row r="17" spans="1:14" s="93" customFormat="1" ht="15.75" customHeight="1">
      <c r="A17" s="85" t="s">
        <v>704</v>
      </c>
      <c r="B17" s="92"/>
      <c r="D17" s="90" t="s">
        <v>595</v>
      </c>
      <c r="F17" s="90" t="s">
        <v>705</v>
      </c>
      <c r="G17" s="94"/>
      <c r="H17" s="95"/>
      <c r="I17" s="96"/>
      <c r="J17" s="96"/>
      <c r="K17" s="96"/>
      <c r="L17" s="96"/>
      <c r="M17" s="96"/>
      <c r="N17" s="96"/>
    </row>
    <row r="18" spans="1:14" ht="13.5" customHeight="1">
      <c r="A18" s="92"/>
      <c r="B18" s="92"/>
      <c r="C18" s="93"/>
      <c r="D18" s="94"/>
      <c r="E18" s="93"/>
      <c r="F18" s="93"/>
      <c r="G18" s="94"/>
      <c r="H18" s="95"/>
      <c r="I18" s="96"/>
      <c r="J18" s="96"/>
      <c r="K18" s="96"/>
      <c r="L18" s="96"/>
      <c r="M18" s="96"/>
    </row>
    <row r="19" spans="1:14" ht="21" customHeight="1">
      <c r="A19" s="721" t="s">
        <v>381</v>
      </c>
      <c r="B19" s="721"/>
      <c r="C19" s="721"/>
      <c r="D19" s="721"/>
      <c r="E19" s="721"/>
      <c r="F19" s="721"/>
      <c r="G19" s="721"/>
      <c r="H19" s="721"/>
      <c r="I19" s="721"/>
      <c r="J19" s="721"/>
      <c r="K19" s="721"/>
      <c r="L19" s="721"/>
      <c r="M19" s="721"/>
      <c r="N19" s="721"/>
    </row>
    <row r="20" spans="1:14" ht="15" customHeight="1">
      <c r="A20" s="713" t="s">
        <v>524</v>
      </c>
      <c r="B20" s="713"/>
      <c r="C20" s="713"/>
      <c r="D20" s="713"/>
      <c r="E20" s="713"/>
      <c r="F20" s="713"/>
      <c r="G20" s="713"/>
      <c r="H20" s="713"/>
      <c r="I20" s="713"/>
      <c r="J20" s="713"/>
      <c r="K20" s="713"/>
      <c r="L20" s="713"/>
      <c r="M20" s="713"/>
      <c r="N20" s="713"/>
    </row>
    <row r="21" spans="1:14" ht="15" customHeight="1">
      <c r="A21" s="81"/>
      <c r="B21" s="81"/>
      <c r="C21" s="81"/>
      <c r="D21" s="81"/>
      <c r="E21" s="81"/>
      <c r="F21" s="81"/>
      <c r="G21" s="81"/>
      <c r="H21" s="81"/>
      <c r="I21" s="81"/>
      <c r="J21" s="81"/>
      <c r="K21" s="81"/>
      <c r="L21" s="81"/>
      <c r="M21" s="81"/>
      <c r="N21" s="97" t="s">
        <v>382</v>
      </c>
    </row>
    <row r="22" spans="1:14" ht="15.75" customHeight="1">
      <c r="A22" s="81" t="s">
        <v>706</v>
      </c>
      <c r="B22" s="81"/>
      <c r="C22" s="81"/>
      <c r="D22" s="81"/>
      <c r="E22" s="81"/>
      <c r="F22" s="81"/>
      <c r="G22" s="81"/>
      <c r="H22" s="81"/>
      <c r="I22" s="81"/>
      <c r="J22" s="81"/>
      <c r="K22" s="81"/>
      <c r="L22" s="81"/>
      <c r="M22" s="81"/>
      <c r="N22" s="98" t="str">
        <f>Sheet1!Q454</f>
        <v/>
      </c>
    </row>
    <row r="23" spans="1:14" ht="15.75" customHeight="1">
      <c r="A23" s="81"/>
      <c r="B23" s="81"/>
      <c r="C23" s="88" t="s">
        <v>522</v>
      </c>
      <c r="D23" s="81"/>
      <c r="E23" s="81"/>
      <c r="F23" s="81"/>
      <c r="G23" s="81"/>
      <c r="H23" s="81"/>
      <c r="I23" s="81"/>
      <c r="J23" s="81"/>
      <c r="K23" s="81"/>
      <c r="L23" s="81"/>
      <c r="M23" s="81"/>
    </row>
    <row r="24" spans="1:14" ht="15.75" customHeight="1">
      <c r="A24" s="81"/>
      <c r="B24" s="81"/>
      <c r="C24" s="99" t="s">
        <v>521</v>
      </c>
      <c r="D24" s="81"/>
      <c r="E24" s="81"/>
      <c r="F24" s="81"/>
      <c r="G24" s="81"/>
      <c r="H24" s="81"/>
      <c r="I24" s="81"/>
      <c r="J24" s="81"/>
      <c r="K24" s="81"/>
      <c r="L24" s="81"/>
      <c r="M24" s="81"/>
    </row>
    <row r="25" spans="1:14" ht="15.75" customHeight="1">
      <c r="C25" s="100" t="s">
        <v>385</v>
      </c>
      <c r="D25" s="88"/>
      <c r="E25" s="88"/>
      <c r="F25" s="101"/>
      <c r="G25" s="101" t="s">
        <v>349</v>
      </c>
      <c r="H25" s="102">
        <f>Sheet1!Q451</f>
        <v>0</v>
      </c>
      <c r="I25" s="101" t="s">
        <v>350</v>
      </c>
      <c r="J25" s="102">
        <f>Sheet1!Q452</f>
        <v>0</v>
      </c>
      <c r="K25" s="101" t="s">
        <v>351</v>
      </c>
      <c r="L25" s="102">
        <f>Sheet1!Q453</f>
        <v>0</v>
      </c>
      <c r="M25" s="103"/>
    </row>
    <row r="26" spans="1:14" ht="15.75" customHeight="1">
      <c r="A26" s="81" t="s">
        <v>707</v>
      </c>
      <c r="B26" s="81"/>
      <c r="C26" s="81"/>
      <c r="D26" s="81"/>
      <c r="E26" s="81"/>
      <c r="F26" s="81"/>
      <c r="G26" s="81"/>
      <c r="H26" s="81"/>
      <c r="I26" s="81"/>
      <c r="J26" s="81"/>
      <c r="K26" s="81"/>
      <c r="L26" s="81"/>
      <c r="M26" s="81"/>
      <c r="N26" s="98"/>
    </row>
    <row r="27" spans="1:14" ht="15.75" customHeight="1">
      <c r="A27" s="81" t="s">
        <v>708</v>
      </c>
      <c r="B27" s="81"/>
      <c r="C27" s="81"/>
      <c r="D27" s="81"/>
      <c r="E27" s="81"/>
      <c r="F27" s="81"/>
      <c r="G27" s="81"/>
      <c r="H27" s="81"/>
      <c r="I27" s="81"/>
      <c r="J27" s="81"/>
      <c r="K27" s="81"/>
      <c r="L27" s="81"/>
      <c r="M27" s="81"/>
      <c r="N27" s="98"/>
    </row>
    <row r="28" spans="1:14" ht="15.75" customHeight="1">
      <c r="A28" s="81" t="s">
        <v>709</v>
      </c>
      <c r="B28" s="81"/>
      <c r="C28" s="81"/>
      <c r="D28" s="81"/>
      <c r="E28" s="81"/>
      <c r="F28" s="101"/>
      <c r="G28" s="104"/>
      <c r="H28" s="101"/>
      <c r="I28" s="104"/>
      <c r="J28" s="81"/>
      <c r="K28" s="81"/>
      <c r="L28" s="81"/>
      <c r="M28" s="81"/>
      <c r="N28" s="98"/>
    </row>
    <row r="29" spans="1:14" ht="15.75" customHeight="1">
      <c r="A29" s="81"/>
      <c r="B29" s="81"/>
      <c r="C29" s="88" t="s">
        <v>383</v>
      </c>
      <c r="D29" s="81"/>
      <c r="E29" s="81"/>
      <c r="F29" s="101" t="s">
        <v>275</v>
      </c>
      <c r="G29" s="102" t="str">
        <f>Sheet1!T463</f>
        <v/>
      </c>
      <c r="H29" s="101" t="s">
        <v>276</v>
      </c>
      <c r="I29" s="102" t="str">
        <f>Sheet1!T464</f>
        <v/>
      </c>
      <c r="J29" s="81"/>
      <c r="K29" s="81"/>
      <c r="L29" s="81"/>
      <c r="M29" s="81"/>
      <c r="N29" s="11"/>
    </row>
    <row r="30" spans="1:14" ht="15.75" customHeight="1">
      <c r="A30" s="81"/>
      <c r="B30" s="81"/>
      <c r="C30" s="88" t="s">
        <v>523</v>
      </c>
      <c r="D30" s="81"/>
      <c r="E30" s="81"/>
      <c r="F30" s="81"/>
      <c r="G30" s="81"/>
      <c r="H30" s="81"/>
      <c r="I30" s="81"/>
      <c r="J30" s="81"/>
      <c r="K30" s="81"/>
      <c r="L30" s="81"/>
      <c r="M30" s="81"/>
      <c r="N30" s="98" t="str">
        <f>IF(OR(Sheet1!P240="",Sheet1!V240=""),"",IF(AND(Sheet1!P240="Pass",Sheet1!V240="Pass"),"PASS","FAIL"))</f>
        <v/>
      </c>
    </row>
    <row r="31" spans="1:14" ht="15.75" customHeight="1">
      <c r="A31" s="81"/>
      <c r="B31" s="81"/>
      <c r="C31" s="88" t="s">
        <v>384</v>
      </c>
      <c r="D31" s="81"/>
      <c r="E31" s="81"/>
      <c r="F31" s="81"/>
      <c r="G31" s="81"/>
      <c r="H31" s="81"/>
      <c r="I31" s="81"/>
      <c r="J31" s="81"/>
      <c r="K31" s="81"/>
      <c r="L31" s="81"/>
      <c r="M31" s="81"/>
      <c r="N31" s="98"/>
    </row>
    <row r="32" spans="1:14" ht="15.75" customHeight="1">
      <c r="A32" s="81" t="s">
        <v>710</v>
      </c>
      <c r="B32" s="81"/>
      <c r="C32" s="81"/>
      <c r="D32" s="81"/>
      <c r="E32" s="81"/>
      <c r="F32" s="81"/>
      <c r="G32" s="81"/>
      <c r="H32" s="81"/>
      <c r="I32" s="81"/>
      <c r="J32" s="81"/>
      <c r="K32" s="81"/>
      <c r="L32" s="81"/>
      <c r="M32" s="81"/>
      <c r="N32" s="98"/>
    </row>
    <row r="33" spans="1:14" ht="15.75" customHeight="1">
      <c r="A33" s="81"/>
      <c r="B33" s="81"/>
      <c r="C33" s="88" t="s">
        <v>520</v>
      </c>
      <c r="D33" s="88"/>
      <c r="E33" s="88"/>
      <c r="F33" s="81"/>
      <c r="G33" s="81"/>
      <c r="H33" s="81"/>
      <c r="I33" s="81"/>
      <c r="J33" s="81"/>
      <c r="K33" s="81"/>
      <c r="L33" s="109" t="e">
        <f>MGD</f>
        <v>#N/A</v>
      </c>
      <c r="M33" s="88" t="s">
        <v>331</v>
      </c>
    </row>
    <row r="34" spans="1:14" ht="15.75" customHeight="1">
      <c r="A34" s="81" t="s">
        <v>711</v>
      </c>
      <c r="B34" s="81"/>
      <c r="C34" s="81"/>
      <c r="D34" s="81"/>
      <c r="E34" s="81"/>
      <c r="F34" s="81"/>
      <c r="G34" s="81"/>
      <c r="H34" s="81"/>
      <c r="I34" s="81"/>
      <c r="J34" s="81"/>
      <c r="K34" s="81"/>
      <c r="L34" s="81"/>
      <c r="M34" s="81"/>
      <c r="N34" s="98"/>
    </row>
    <row r="35" spans="1:14" ht="15.75" customHeight="1">
      <c r="A35" s="81" t="s">
        <v>712</v>
      </c>
      <c r="B35" s="81"/>
      <c r="C35" s="81"/>
      <c r="D35" s="81"/>
      <c r="E35" s="81"/>
      <c r="F35" s="81"/>
      <c r="G35" s="81"/>
      <c r="H35" s="81"/>
      <c r="I35" s="81"/>
      <c r="J35" s="81"/>
      <c r="K35" s="81"/>
      <c r="L35" s="81"/>
      <c r="M35" s="81"/>
      <c r="N35" s="98" t="str">
        <f>Sheet1!X221</f>
        <v/>
      </c>
    </row>
    <row r="36" spans="1:14" ht="15.75" customHeight="1">
      <c r="A36" s="81" t="s">
        <v>713</v>
      </c>
      <c r="B36" s="81"/>
      <c r="C36" s="81"/>
      <c r="D36" s="81"/>
      <c r="E36" s="81"/>
      <c r="F36" s="81"/>
      <c r="G36" s="81"/>
      <c r="H36" s="81"/>
      <c r="I36" s="81"/>
      <c r="J36" s="81"/>
      <c r="K36" s="81"/>
      <c r="L36" s="81"/>
      <c r="M36" s="81"/>
      <c r="N36" s="98"/>
    </row>
    <row r="37" spans="1:14" ht="15.75" customHeight="1">
      <c r="A37" s="81" t="s">
        <v>714</v>
      </c>
      <c r="B37" s="81"/>
      <c r="C37" s="81"/>
      <c r="D37" s="81"/>
      <c r="E37" s="81"/>
      <c r="F37" s="81"/>
      <c r="G37" s="81"/>
      <c r="H37" s="81"/>
      <c r="I37" s="81"/>
      <c r="J37" s="81"/>
      <c r="K37" s="81"/>
      <c r="L37" s="81"/>
      <c r="M37" s="81"/>
      <c r="N37" s="98"/>
    </row>
    <row r="38" spans="1:14" ht="15.75" customHeight="1">
      <c r="A38" s="81" t="s">
        <v>715</v>
      </c>
      <c r="B38" s="81"/>
      <c r="C38" s="81"/>
      <c r="D38" s="81"/>
      <c r="E38" s="81"/>
      <c r="F38" s="81"/>
      <c r="G38" s="81"/>
      <c r="H38" s="81"/>
      <c r="I38" s="81"/>
      <c r="J38" s="81"/>
      <c r="K38" s="81"/>
      <c r="L38" s="81"/>
      <c r="M38" s="81"/>
      <c r="N38" s="98"/>
    </row>
    <row r="39" spans="1:14" ht="15.75" customHeight="1">
      <c r="A39" s="81" t="s">
        <v>716</v>
      </c>
      <c r="B39" s="81"/>
      <c r="C39" s="81"/>
      <c r="D39" s="81"/>
      <c r="E39" s="81"/>
      <c r="F39" s="81"/>
      <c r="G39" s="81"/>
      <c r="H39" s="81"/>
      <c r="I39" s="81"/>
      <c r="J39" s="81"/>
      <c r="K39" s="81"/>
      <c r="L39" s="81"/>
      <c r="M39" s="81"/>
      <c r="N39" s="98"/>
    </row>
    <row r="40" spans="1:14" ht="15.75" customHeight="1">
      <c r="A40" s="81" t="s">
        <v>717</v>
      </c>
      <c r="B40" s="81"/>
      <c r="C40" s="81"/>
      <c r="D40" s="81"/>
      <c r="E40" s="81"/>
      <c r="F40" s="81"/>
      <c r="G40" s="81"/>
      <c r="H40" s="81"/>
      <c r="I40" s="81"/>
      <c r="J40" s="81"/>
      <c r="K40" s="81"/>
      <c r="L40" s="81"/>
      <c r="M40" s="81"/>
      <c r="N40" s="98"/>
    </row>
    <row r="41" spans="1:14" ht="15.75" customHeight="1">
      <c r="A41" s="81" t="s">
        <v>718</v>
      </c>
      <c r="B41" s="81"/>
      <c r="C41" s="81"/>
      <c r="D41" s="81"/>
      <c r="E41" s="81"/>
      <c r="F41" s="81"/>
      <c r="G41" s="81"/>
      <c r="H41" s="81"/>
      <c r="I41" s="81"/>
      <c r="J41" s="81"/>
      <c r="K41" s="81"/>
      <c r="L41" s="81"/>
      <c r="M41" s="81"/>
      <c r="N41" s="98"/>
    </row>
    <row r="42" spans="1:14" ht="15.75" customHeight="1">
      <c r="A42" s="81" t="s">
        <v>719</v>
      </c>
      <c r="B42" s="81"/>
      <c r="C42" s="81"/>
      <c r="D42" s="81"/>
      <c r="E42" s="81"/>
      <c r="F42" s="81"/>
      <c r="G42" s="81"/>
      <c r="H42" s="81"/>
      <c r="I42" s="81"/>
      <c r="J42" s="81"/>
      <c r="K42" s="81"/>
      <c r="L42" s="81"/>
      <c r="M42" s="81"/>
      <c r="N42" s="98"/>
    </row>
    <row r="43" spans="1:14" ht="15.75" customHeight="1">
      <c r="A43" s="81" t="s">
        <v>720</v>
      </c>
      <c r="B43" s="81"/>
      <c r="C43" s="81"/>
      <c r="D43" s="81"/>
      <c r="E43" s="81"/>
      <c r="F43" s="81"/>
      <c r="G43" s="81"/>
      <c r="H43" s="81"/>
      <c r="I43" s="81"/>
      <c r="J43" s="81"/>
      <c r="K43" s="81"/>
      <c r="L43" s="81"/>
      <c r="M43" s="81"/>
      <c r="N43" s="98"/>
    </row>
    <row r="44" spans="1:14" ht="15.75" customHeight="1">
      <c r="A44" s="110" t="s">
        <v>782</v>
      </c>
      <c r="B44" s="81"/>
      <c r="C44" s="81"/>
      <c r="D44" s="81"/>
      <c r="E44" s="81"/>
      <c r="F44" s="81"/>
      <c r="G44" s="81"/>
      <c r="H44" s="81"/>
      <c r="I44" s="81"/>
      <c r="J44" s="81"/>
      <c r="K44" s="81"/>
      <c r="L44" s="81"/>
      <c r="M44" s="81"/>
      <c r="N44" s="98"/>
    </row>
    <row r="45" spans="1:14" ht="15.75" customHeight="1">
      <c r="A45" s="81" t="s">
        <v>721</v>
      </c>
      <c r="B45" s="81"/>
      <c r="C45" s="81"/>
      <c r="D45" s="81"/>
      <c r="E45" s="81"/>
      <c r="F45" s="81"/>
      <c r="G45" s="81"/>
      <c r="H45" s="81"/>
      <c r="I45" s="81"/>
      <c r="J45" s="81"/>
      <c r="K45" s="81"/>
      <c r="L45" s="81"/>
      <c r="M45" s="81"/>
      <c r="N45" s="98"/>
    </row>
    <row r="46" spans="1:14" ht="15.75" customHeight="1">
      <c r="A46" s="81" t="s">
        <v>722</v>
      </c>
      <c r="B46" s="81"/>
      <c r="C46" s="81"/>
      <c r="D46" s="81"/>
      <c r="E46" s="81"/>
      <c r="F46" s="81"/>
      <c r="G46" s="81"/>
      <c r="H46" s="81"/>
      <c r="I46" s="81"/>
      <c r="J46" s="81"/>
      <c r="K46" s="81"/>
      <c r="L46" s="81"/>
      <c r="M46" s="81"/>
      <c r="N46" s="98"/>
    </row>
    <row r="47" spans="1:14" ht="15.75" customHeight="1">
      <c r="A47" s="81"/>
      <c r="B47" s="81"/>
      <c r="C47" s="88" t="s">
        <v>723</v>
      </c>
      <c r="D47" s="81"/>
      <c r="E47" s="81"/>
      <c r="F47" s="81"/>
      <c r="G47" s="81"/>
      <c r="H47" s="81"/>
      <c r="I47" s="81"/>
      <c r="J47" s="81"/>
      <c r="K47" s="81"/>
      <c r="L47" s="81"/>
      <c r="M47" s="81"/>
    </row>
    <row r="48" spans="1:14" ht="15.75" customHeight="1">
      <c r="C48" s="100" t="s">
        <v>385</v>
      </c>
      <c r="D48" s="88"/>
      <c r="E48" s="88"/>
      <c r="F48" s="101"/>
      <c r="G48" s="101" t="s">
        <v>349</v>
      </c>
      <c r="H48" s="102">
        <f>Sheet1!S451</f>
        <v>0</v>
      </c>
      <c r="I48" s="101" t="s">
        <v>350</v>
      </c>
      <c r="J48" s="102">
        <f>Sheet1!S452</f>
        <v>0</v>
      </c>
      <c r="K48" s="101" t="s">
        <v>351</v>
      </c>
      <c r="L48" s="102">
        <f>Sheet1!S453</f>
        <v>0</v>
      </c>
      <c r="M48" s="103"/>
    </row>
    <row r="49" spans="1:14" ht="15.75" customHeight="1">
      <c r="A49" s="81" t="s">
        <v>724</v>
      </c>
      <c r="B49" s="81"/>
      <c r="C49" s="81"/>
      <c r="D49" s="81"/>
      <c r="E49" s="81"/>
      <c r="F49" s="81"/>
      <c r="G49" s="81"/>
      <c r="H49" s="81"/>
      <c r="I49" s="81"/>
      <c r="J49" s="81"/>
      <c r="K49" s="81"/>
      <c r="L49" s="81"/>
      <c r="M49" s="81"/>
      <c r="N49" s="98"/>
    </row>
    <row r="50" spans="1:14" ht="15.75" customHeight="1">
      <c r="A50" s="81" t="s">
        <v>725</v>
      </c>
      <c r="B50" s="81"/>
      <c r="C50" s="81"/>
      <c r="D50" s="81"/>
      <c r="E50" s="81"/>
      <c r="F50" s="81"/>
      <c r="G50" s="81"/>
      <c r="H50" s="81"/>
      <c r="I50" s="81"/>
      <c r="J50" s="81"/>
      <c r="K50" s="81"/>
      <c r="L50" s="81"/>
      <c r="M50" s="81"/>
      <c r="N50" s="98"/>
    </row>
    <row r="51" spans="1:14" ht="15.75" customHeight="1">
      <c r="A51" s="81"/>
      <c r="B51" s="81"/>
      <c r="C51" s="81"/>
      <c r="D51" s="81"/>
      <c r="E51" s="81"/>
      <c r="F51" s="81"/>
      <c r="G51" s="81"/>
      <c r="H51" s="81"/>
      <c r="I51" s="81"/>
      <c r="J51" s="81"/>
      <c r="K51" s="81"/>
      <c r="L51" s="81"/>
      <c r="M51" s="81"/>
    </row>
    <row r="52" spans="1:14" ht="15.75" customHeight="1">
      <c r="A52" s="714" t="s">
        <v>519</v>
      </c>
      <c r="B52" s="714"/>
      <c r="C52" s="714"/>
      <c r="D52" s="714"/>
      <c r="E52" s="714"/>
      <c r="F52" s="714"/>
      <c r="G52" s="714"/>
      <c r="H52" s="714"/>
      <c r="I52" s="714"/>
      <c r="J52" s="714"/>
      <c r="K52" s="714"/>
      <c r="L52" s="714"/>
      <c r="M52" s="714"/>
      <c r="N52" s="714"/>
    </row>
  </sheetData>
  <customSheetViews>
    <customSheetView guid="{F38AF2A4-EC1D-460A-B405-E4A69D902BA6}" showPageBreaks="1" showGridLines="0" printArea="1">
      <selection activeCell="L7" sqref="L7:N7"/>
      <pageMargins left="0.5" right="0.5" top="0.5" bottom="0.5" header="0.5" footer="0.25"/>
      <printOptions horizontalCentered="1"/>
      <pageSetup scale="80" orientation="portrait" r:id="rId1"/>
      <headerFooter alignWithMargins="0">
        <oddFooter>&amp;C&amp;8&amp;Z&amp;F</oddFooter>
      </headerFooter>
    </customSheetView>
  </customSheetViews>
  <mergeCells count="29">
    <mergeCell ref="A20:N20"/>
    <mergeCell ref="A52:N52"/>
    <mergeCell ref="E14:F14"/>
    <mergeCell ref="G14:H14"/>
    <mergeCell ref="I14:J14"/>
    <mergeCell ref="K14:N14"/>
    <mergeCell ref="A15:N15"/>
    <mergeCell ref="A19:N19"/>
    <mergeCell ref="E13:F13"/>
    <mergeCell ref="G13:H13"/>
    <mergeCell ref="I13:J13"/>
    <mergeCell ref="K13:N13"/>
    <mergeCell ref="E6:H6"/>
    <mergeCell ref="L6:N6"/>
    <mergeCell ref="E7:H7"/>
    <mergeCell ref="L7:N7"/>
    <mergeCell ref="E8:H8"/>
    <mergeCell ref="L8:N8"/>
    <mergeCell ref="E10:H10"/>
    <mergeCell ref="E12:F12"/>
    <mergeCell ref="G12:H12"/>
    <mergeCell ref="I12:J12"/>
    <mergeCell ref="K12:N12"/>
    <mergeCell ref="A1:N1"/>
    <mergeCell ref="A2:N2"/>
    <mergeCell ref="C4:H4"/>
    <mergeCell ref="L4:N4"/>
    <mergeCell ref="C5:H5"/>
    <mergeCell ref="L5:N5"/>
  </mergeCells>
  <conditionalFormatting sqref="N22">
    <cfRule type="cellIs" dxfId="162" priority="2" stopIfTrue="1" operator="equal">
      <formula>"Fail"</formula>
    </cfRule>
  </conditionalFormatting>
  <conditionalFormatting sqref="N25:N46">
    <cfRule type="cellIs" dxfId="161" priority="3" stopIfTrue="1" operator="equal">
      <formula>"Fail"</formula>
    </cfRule>
  </conditionalFormatting>
  <conditionalFormatting sqref="N48:N50">
    <cfRule type="cellIs" dxfId="160" priority="1" stopIfTrue="1" operator="equal">
      <formula>"Fail"</formula>
    </cfRule>
  </conditionalFormatting>
  <dataValidations count="9">
    <dataValidation type="list" allowBlank="1" sqref="N43:N46 N49" xr:uid="{00000000-0002-0000-0000-000000000000}">
      <formula1>NA</formula1>
    </dataValidation>
    <dataValidation type="list" allowBlank="1" showInputMessage="1" showErrorMessage="1" sqref="N50 N36:N38 N27:N29 N31:N33" xr:uid="{00000000-0002-0000-0000-000001000000}">
      <formula1>NA</formula1>
    </dataValidation>
    <dataValidation type="list" allowBlank="1" sqref="L7:N7" xr:uid="{00000000-0002-0000-0000-000002000000}">
      <formula1>Model</formula1>
    </dataValidation>
    <dataValidation type="list" allowBlank="1" showInputMessage="1" sqref="J48 J25 L25 L48" xr:uid="{00000000-0002-0000-0000-000003000000}">
      <formula1>SpeckMassLst</formula1>
    </dataValidation>
    <dataValidation type="list" allowBlank="1" showInputMessage="1" sqref="H25 H48" xr:uid="{00000000-0002-0000-0000-000004000000}">
      <formula1>FiberLst</formula1>
    </dataValidation>
    <dataValidation type="list" allowBlank="1" showInputMessage="1" showErrorMessage="1" sqref="N26 N36:N42 N28:N29 N31:N34" xr:uid="{00000000-0002-0000-0000-000005000000}">
      <formula1>PF</formula1>
    </dataValidation>
    <dataValidation allowBlank="1" showInputMessage="1" sqref="L33" xr:uid="{00000000-0002-0000-0000-000006000000}"/>
    <dataValidation type="list" allowBlank="1" showInputMessage="1" sqref="N22 N35" xr:uid="{00000000-0002-0000-0000-000007000000}">
      <formula1>PF</formula1>
    </dataValidation>
    <dataValidation type="list" allowBlank="1" showInputMessage="1" sqref="N34:N35 N30" xr:uid="{00000000-0002-0000-0000-000008000000}">
      <formula1>NA</formula1>
    </dataValidation>
  </dataValidations>
  <printOptions horizontalCentered="1"/>
  <pageMargins left="0.5" right="0.5" top="0.5" bottom="0.5" header="0.5" footer="0.25"/>
  <pageSetup scale="80" orientation="portrait" r:id="rId2"/>
  <headerFooter alignWithMargins="0">
    <oddFooter>&amp;C&amp;8&amp;Z&amp;F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14337" r:id="rId5" name="Check Box 1">
              <controlPr defaultSize="0" autoFill="0" autoLine="0" autoPict="0">
                <anchor moveWithCells="1">
                  <from>
                    <xdr:col>8</xdr:col>
                    <xdr:colOff>0</xdr:colOff>
                    <xdr:row>12</xdr:row>
                    <xdr:rowOff>0</xdr:rowOff>
                  </from>
                  <to>
                    <xdr:col>8</xdr:col>
                    <xdr:colOff>541020</xdr:colOff>
                    <xdr:row>13</xdr:row>
                    <xdr:rowOff>7620</xdr:rowOff>
                  </to>
                </anchor>
              </controlPr>
            </control>
          </mc:Choice>
        </mc:AlternateContent>
        <mc:AlternateContent xmlns:mc="http://schemas.openxmlformats.org/markup-compatibility/2006">
          <mc:Choice Requires="x14">
            <control shapeId="14338" r:id="rId6" name="Check Box 2">
              <controlPr defaultSize="0" autoFill="0" autoLine="0" autoPict="0">
                <anchor moveWithCells="1">
                  <from>
                    <xdr:col>8</xdr:col>
                    <xdr:colOff>525780</xdr:colOff>
                    <xdr:row>12</xdr:row>
                    <xdr:rowOff>0</xdr:rowOff>
                  </from>
                  <to>
                    <xdr:col>9</xdr:col>
                    <xdr:colOff>487680</xdr:colOff>
                    <xdr:row>13</xdr:row>
                    <xdr:rowOff>7620</xdr:rowOff>
                  </to>
                </anchor>
              </controlPr>
            </control>
          </mc:Choice>
        </mc:AlternateContent>
        <mc:AlternateContent xmlns:mc="http://schemas.openxmlformats.org/markup-compatibility/2006">
          <mc:Choice Requires="x14">
            <control shapeId="14339" r:id="rId7" name="Check Box 3">
              <controlPr defaultSize="0" autoFill="0" autoLine="0" autoPict="0">
                <anchor moveWithCells="1">
                  <from>
                    <xdr:col>8</xdr:col>
                    <xdr:colOff>0</xdr:colOff>
                    <xdr:row>13</xdr:row>
                    <xdr:rowOff>0</xdr:rowOff>
                  </from>
                  <to>
                    <xdr:col>8</xdr:col>
                    <xdr:colOff>541020</xdr:colOff>
                    <xdr:row>14</xdr:row>
                    <xdr:rowOff>7620</xdr:rowOff>
                  </to>
                </anchor>
              </controlPr>
            </control>
          </mc:Choice>
        </mc:AlternateContent>
        <mc:AlternateContent xmlns:mc="http://schemas.openxmlformats.org/markup-compatibility/2006">
          <mc:Choice Requires="x14">
            <control shapeId="14340" r:id="rId8" name="Check Box 4">
              <controlPr defaultSize="0" autoFill="0" autoLine="0" autoPict="0">
                <anchor moveWithCells="1">
                  <from>
                    <xdr:col>8</xdr:col>
                    <xdr:colOff>525780</xdr:colOff>
                    <xdr:row>13</xdr:row>
                    <xdr:rowOff>0</xdr:rowOff>
                  </from>
                  <to>
                    <xdr:col>9</xdr:col>
                    <xdr:colOff>487680</xdr:colOff>
                    <xdr:row>14</xdr:row>
                    <xdr:rowOff>7620</xdr:rowOff>
                  </to>
                </anchor>
              </controlPr>
            </control>
          </mc:Choice>
        </mc:AlternateContent>
        <mc:AlternateContent xmlns:mc="http://schemas.openxmlformats.org/markup-compatibility/2006">
          <mc:Choice Requires="x14">
            <control shapeId="14341" r:id="rId9" name="Check Box 5">
              <controlPr defaultSize="0" autoFill="0" autoLine="0" autoPict="0">
                <anchor moveWithCells="1">
                  <from>
                    <xdr:col>2</xdr:col>
                    <xdr:colOff>251460</xdr:colOff>
                    <xdr:row>15</xdr:row>
                    <xdr:rowOff>7620</xdr:rowOff>
                  </from>
                  <to>
                    <xdr:col>3</xdr:col>
                    <xdr:colOff>106680</xdr:colOff>
                    <xdr:row>16</xdr:row>
                    <xdr:rowOff>7620</xdr:rowOff>
                  </to>
                </anchor>
              </controlPr>
            </control>
          </mc:Choice>
        </mc:AlternateContent>
        <mc:AlternateContent xmlns:mc="http://schemas.openxmlformats.org/markup-compatibility/2006">
          <mc:Choice Requires="x14">
            <control shapeId="14342" r:id="rId10" name="Check Box 6">
              <controlPr defaultSize="0" autoFill="0" autoLine="0" autoPict="0">
                <anchor moveWithCells="1">
                  <from>
                    <xdr:col>13</xdr:col>
                    <xdr:colOff>114300</xdr:colOff>
                    <xdr:row>15</xdr:row>
                    <xdr:rowOff>7620</xdr:rowOff>
                  </from>
                  <to>
                    <xdr:col>13</xdr:col>
                    <xdr:colOff>419100</xdr:colOff>
                    <xdr:row>16</xdr:row>
                    <xdr:rowOff>7620</xdr:rowOff>
                  </to>
                </anchor>
              </controlPr>
            </control>
          </mc:Choice>
        </mc:AlternateContent>
        <mc:AlternateContent xmlns:mc="http://schemas.openxmlformats.org/markup-compatibility/2006">
          <mc:Choice Requires="x14">
            <control shapeId="14343" r:id="rId11" name="Check Box 7">
              <controlPr defaultSize="0" autoFill="0" autoLine="0" autoPict="0">
                <anchor moveWithCells="1">
                  <from>
                    <xdr:col>2</xdr:col>
                    <xdr:colOff>251460</xdr:colOff>
                    <xdr:row>16</xdr:row>
                    <xdr:rowOff>7620</xdr:rowOff>
                  </from>
                  <to>
                    <xdr:col>3</xdr:col>
                    <xdr:colOff>106680</xdr:colOff>
                    <xdr:row>17</xdr:row>
                    <xdr:rowOff>0</xdr:rowOff>
                  </to>
                </anchor>
              </controlPr>
            </control>
          </mc:Choice>
        </mc:AlternateContent>
        <mc:AlternateContent xmlns:mc="http://schemas.openxmlformats.org/markup-compatibility/2006">
          <mc:Choice Requires="x14">
            <control shapeId="14344" r:id="rId12" name="Check Box 8">
              <controlPr defaultSize="0" autoFill="0" autoLine="0" autoPict="0">
                <anchor moveWithCells="1">
                  <from>
                    <xdr:col>4</xdr:col>
                    <xdr:colOff>251460</xdr:colOff>
                    <xdr:row>16</xdr:row>
                    <xdr:rowOff>0</xdr:rowOff>
                  </from>
                  <to>
                    <xdr:col>5</xdr:col>
                    <xdr:colOff>106680</xdr:colOff>
                    <xdr:row>16</xdr:row>
                    <xdr:rowOff>190500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ECB8D-DE1C-4B1A-97C0-AD91A7143D8C}">
  <dimension ref="A1:K32"/>
  <sheetViews>
    <sheetView showGridLines="0" workbookViewId="0">
      <selection activeCell="B12" sqref="B12"/>
    </sheetView>
  </sheetViews>
  <sheetFormatPr defaultRowHeight="13.2"/>
  <cols>
    <col min="1" max="1" width="4" style="5" customWidth="1"/>
    <col min="2" max="2" width="19.59765625" style="5" customWidth="1"/>
    <col min="3" max="4" width="8.796875" style="5" customWidth="1"/>
    <col min="5" max="5" width="9.19921875" style="5" customWidth="1"/>
    <col min="6" max="6" width="3.3984375" style="5" customWidth="1"/>
    <col min="7" max="7" width="14.19921875" style="5" customWidth="1"/>
    <col min="8" max="8" width="8.796875" style="5" customWidth="1"/>
    <col min="9" max="9" width="9.69921875" style="5" customWidth="1"/>
    <col min="10" max="10" width="8.59765625" style="5" customWidth="1"/>
    <col min="11" max="11" width="8.796875" style="5" customWidth="1"/>
    <col min="12" max="16384" width="8.796875" style="5"/>
  </cols>
  <sheetData>
    <row r="1" spans="1:11" ht="27" customHeight="1">
      <c r="A1" s="724" t="s">
        <v>361</v>
      </c>
      <c r="B1" s="724"/>
      <c r="C1" s="724"/>
      <c r="D1" s="724"/>
      <c r="E1" s="724"/>
      <c r="F1" s="724"/>
      <c r="G1" s="724"/>
      <c r="H1" s="724"/>
      <c r="I1" s="724"/>
      <c r="J1" s="724"/>
      <c r="K1" s="724"/>
    </row>
    <row r="2" spans="1:11" ht="18" customHeight="1">
      <c r="A2" s="23" t="s">
        <v>386</v>
      </c>
      <c r="B2" s="22"/>
      <c r="C2" s="22"/>
      <c r="D2" s="22"/>
      <c r="E2" s="22"/>
      <c r="F2" s="22"/>
      <c r="G2" s="22"/>
      <c r="H2" s="22"/>
      <c r="I2" s="22"/>
      <c r="J2" s="22"/>
      <c r="K2" s="22"/>
    </row>
    <row r="3" spans="1:11" ht="15.75" customHeight="1"/>
    <row r="4" spans="1:11" ht="24" customHeight="1">
      <c r="A4" s="9" t="s">
        <v>387</v>
      </c>
      <c r="B4" s="21"/>
      <c r="C4" s="8"/>
      <c r="D4" s="8"/>
      <c r="E4" s="8"/>
      <c r="F4" s="8"/>
      <c r="G4" s="8"/>
      <c r="H4" s="8"/>
      <c r="I4" s="8"/>
      <c r="J4" s="8"/>
      <c r="K4" s="8"/>
    </row>
    <row r="5" spans="1:11" ht="42" customHeight="1">
      <c r="A5" s="725" t="s">
        <v>531</v>
      </c>
      <c r="B5" s="725"/>
      <c r="C5" s="725"/>
      <c r="D5" s="725"/>
      <c r="E5" s="725"/>
      <c r="F5" s="725"/>
      <c r="G5" s="725"/>
      <c r="H5" s="725"/>
      <c r="I5" s="725"/>
      <c r="J5" s="725"/>
      <c r="K5" s="725"/>
    </row>
    <row r="6" spans="1:11" ht="15" customHeight="1">
      <c r="A6" s="20" t="s">
        <v>530</v>
      </c>
      <c r="B6" s="19"/>
      <c r="C6" s="19"/>
      <c r="D6" s="19"/>
      <c r="E6" s="19"/>
      <c r="F6" s="19"/>
      <c r="G6" s="19"/>
      <c r="H6" s="19"/>
      <c r="I6" s="18"/>
      <c r="J6" s="17"/>
      <c r="K6" s="17"/>
    </row>
    <row r="7" spans="1:11" ht="15" customHeight="1">
      <c r="A7" s="16" t="s">
        <v>529</v>
      </c>
      <c r="B7" s="15"/>
      <c r="C7" s="15"/>
      <c r="D7" s="15"/>
      <c r="E7" s="15"/>
      <c r="F7" s="15"/>
      <c r="G7" s="15"/>
      <c r="H7" s="15"/>
      <c r="I7" s="15"/>
      <c r="J7" s="15"/>
      <c r="K7" s="15"/>
    </row>
    <row r="8" spans="1:11" ht="15" customHeight="1">
      <c r="J8" s="726"/>
      <c r="K8" s="726"/>
    </row>
    <row r="9" spans="1:11" ht="15" customHeight="1">
      <c r="H9" s="24" t="s">
        <v>388</v>
      </c>
      <c r="I9" s="14"/>
      <c r="J9" s="727" t="s">
        <v>382</v>
      </c>
      <c r="K9" s="727"/>
    </row>
    <row r="10" spans="1:11" ht="15.75" customHeight="1">
      <c r="A10" s="13" t="s">
        <v>389</v>
      </c>
      <c r="B10" s="6" t="s">
        <v>390</v>
      </c>
      <c r="G10" s="25"/>
      <c r="H10" s="796"/>
      <c r="I10" s="796" t="s">
        <v>801</v>
      </c>
      <c r="J10" s="722"/>
      <c r="K10" s="723"/>
    </row>
    <row r="11" spans="1:11" ht="15.75" customHeight="1">
      <c r="A11" s="12" t="s">
        <v>391</v>
      </c>
      <c r="B11" s="6" t="s">
        <v>393</v>
      </c>
      <c r="H11" s="797" t="s">
        <v>394</v>
      </c>
      <c r="J11" s="722"/>
      <c r="K11" s="723"/>
    </row>
    <row r="12" spans="1:11" ht="15.75" customHeight="1">
      <c r="A12" s="13" t="s">
        <v>392</v>
      </c>
      <c r="B12" s="6" t="s">
        <v>802</v>
      </c>
      <c r="H12" s="797" t="s">
        <v>394</v>
      </c>
      <c r="J12" s="722"/>
      <c r="K12" s="723"/>
    </row>
    <row r="13" spans="1:11" ht="15.75" customHeight="1">
      <c r="A13" s="12" t="s">
        <v>395</v>
      </c>
      <c r="B13" s="798" t="s">
        <v>803</v>
      </c>
      <c r="H13" s="101"/>
      <c r="I13" s="101" t="s">
        <v>783</v>
      </c>
      <c r="J13" s="722"/>
      <c r="K13" s="723"/>
    </row>
    <row r="14" spans="1:11" ht="15.75" customHeight="1">
      <c r="A14" s="6" t="s">
        <v>396</v>
      </c>
      <c r="B14" s="6" t="s">
        <v>726</v>
      </c>
      <c r="H14" s="797" t="s">
        <v>397</v>
      </c>
      <c r="J14" s="722"/>
      <c r="K14" s="723"/>
    </row>
    <row r="15" spans="1:11" ht="15.75" customHeight="1">
      <c r="A15" s="12" t="s">
        <v>398</v>
      </c>
      <c r="B15" s="6" t="s">
        <v>399</v>
      </c>
      <c r="H15" s="797" t="s">
        <v>400</v>
      </c>
      <c r="J15" s="722"/>
      <c r="K15" s="723"/>
    </row>
    <row r="16" spans="1:11" ht="15.75" customHeight="1">
      <c r="A16" s="12" t="s">
        <v>401</v>
      </c>
      <c r="B16" s="6" t="s">
        <v>727</v>
      </c>
      <c r="H16" s="797" t="s">
        <v>394</v>
      </c>
      <c r="J16" s="114"/>
      <c r="K16" s="115"/>
    </row>
    <row r="17" spans="1:11" ht="15.75" customHeight="1">
      <c r="A17" s="12" t="s">
        <v>403</v>
      </c>
      <c r="B17" s="6" t="s">
        <v>728</v>
      </c>
      <c r="H17" s="797" t="s">
        <v>402</v>
      </c>
      <c r="J17" s="722"/>
      <c r="K17" s="723"/>
    </row>
    <row r="18" spans="1:11" ht="15.75" customHeight="1">
      <c r="A18" s="12" t="s">
        <v>729</v>
      </c>
      <c r="B18" s="6" t="s">
        <v>528</v>
      </c>
      <c r="H18" s="799" t="s">
        <v>404</v>
      </c>
      <c r="I18" s="116"/>
      <c r="J18" s="722"/>
      <c r="K18" s="723"/>
    </row>
    <row r="19" spans="1:11" ht="15.75" customHeight="1">
      <c r="A19" s="12" t="s">
        <v>730</v>
      </c>
      <c r="B19" s="6" t="s">
        <v>731</v>
      </c>
      <c r="H19" s="799" t="s">
        <v>732</v>
      </c>
      <c r="I19" s="116"/>
      <c r="J19" s="722"/>
      <c r="K19" s="723"/>
    </row>
    <row r="20" spans="1:11" ht="15.75" customHeight="1">
      <c r="A20" s="808"/>
      <c r="B20" s="810" t="s">
        <v>805</v>
      </c>
      <c r="C20" s="808"/>
      <c r="D20" s="808"/>
      <c r="E20" s="808"/>
      <c r="F20" s="808"/>
      <c r="G20" s="808"/>
      <c r="H20" s="808"/>
      <c r="I20" s="808"/>
      <c r="J20" s="10"/>
      <c r="K20" s="10"/>
    </row>
    <row r="21" spans="1:11" s="801" customFormat="1" ht="15.75" customHeight="1">
      <c r="A21" s="800"/>
      <c r="B21" s="809" t="s">
        <v>804</v>
      </c>
      <c r="H21" s="802"/>
      <c r="I21" s="803"/>
      <c r="J21" s="804"/>
      <c r="K21" s="804"/>
    </row>
    <row r="22" spans="1:11" ht="24" customHeight="1">
      <c r="A22" s="728" t="s">
        <v>405</v>
      </c>
      <c r="B22" s="728"/>
      <c r="C22" s="728"/>
      <c r="D22" s="728"/>
      <c r="E22" s="728"/>
      <c r="F22" s="728"/>
      <c r="G22" s="728"/>
      <c r="H22" s="728"/>
      <c r="I22" s="728"/>
      <c r="J22" s="728"/>
      <c r="K22" s="728"/>
    </row>
    <row r="23" spans="1:11" ht="15" customHeight="1">
      <c r="A23" s="9"/>
      <c r="B23" s="8"/>
      <c r="C23" s="8"/>
      <c r="D23" s="8"/>
      <c r="E23" s="8"/>
      <c r="F23" s="8"/>
      <c r="G23" s="8"/>
      <c r="H23" s="8"/>
      <c r="I23" s="8"/>
      <c r="J23" s="8"/>
      <c r="K23" s="8"/>
    </row>
    <row r="24" spans="1:11" ht="273" customHeight="1">
      <c r="A24" s="729"/>
      <c r="B24" s="730"/>
      <c r="C24" s="730"/>
      <c r="D24" s="730"/>
      <c r="E24" s="730"/>
      <c r="F24" s="730"/>
      <c r="G24" s="730"/>
      <c r="H24" s="730"/>
      <c r="I24" s="730"/>
      <c r="J24" s="730"/>
      <c r="K24" s="731"/>
    </row>
    <row r="25" spans="1:11" ht="15" customHeight="1" thickBot="1">
      <c r="A25" s="732"/>
      <c r="B25" s="732"/>
      <c r="C25" s="732"/>
      <c r="D25" s="732"/>
      <c r="E25" s="732"/>
      <c r="F25" s="732"/>
      <c r="G25" s="732"/>
      <c r="H25" s="732"/>
      <c r="I25" s="732"/>
      <c r="J25" s="732"/>
      <c r="K25" s="732"/>
    </row>
    <row r="26" spans="1:11" ht="13.8" hidden="1" thickBot="1">
      <c r="A26" s="733"/>
      <c r="B26" s="733"/>
      <c r="C26" s="733"/>
      <c r="D26" s="733"/>
      <c r="E26" s="733"/>
      <c r="F26" s="733"/>
      <c r="G26" s="733"/>
      <c r="H26" s="733"/>
      <c r="I26" s="733"/>
      <c r="J26" s="733"/>
      <c r="K26" s="733"/>
    </row>
    <row r="27" spans="1:11" ht="13.8" hidden="1" thickBot="1">
      <c r="A27" s="733"/>
      <c r="B27" s="733"/>
      <c r="C27" s="733"/>
      <c r="D27" s="733"/>
      <c r="E27" s="733"/>
      <c r="F27" s="733"/>
      <c r="G27" s="733"/>
      <c r="H27" s="733"/>
      <c r="I27" s="733"/>
      <c r="J27" s="733"/>
      <c r="K27" s="733"/>
    </row>
    <row r="28" spans="1:11" ht="13.8" hidden="1" thickBot="1">
      <c r="A28" s="733"/>
      <c r="B28" s="733"/>
      <c r="C28" s="733"/>
      <c r="D28" s="733"/>
      <c r="E28" s="733"/>
      <c r="F28" s="733"/>
      <c r="G28" s="733"/>
      <c r="H28" s="733"/>
      <c r="I28" s="733"/>
      <c r="J28" s="733"/>
      <c r="K28" s="733"/>
    </row>
    <row r="29" spans="1:11" ht="13.8" hidden="1" thickBot="1">
      <c r="A29" s="733"/>
      <c r="B29" s="733"/>
      <c r="C29" s="733"/>
      <c r="D29" s="733"/>
      <c r="E29" s="733"/>
      <c r="F29" s="733"/>
      <c r="G29" s="733"/>
      <c r="H29" s="733"/>
      <c r="I29" s="733"/>
      <c r="J29" s="733"/>
      <c r="K29" s="733"/>
    </row>
    <row r="30" spans="1:11" ht="13.8" hidden="1" thickBot="1">
      <c r="A30" s="733"/>
      <c r="B30" s="733"/>
      <c r="C30" s="733"/>
      <c r="D30" s="733"/>
      <c r="E30" s="733"/>
      <c r="F30" s="733"/>
      <c r="G30" s="733"/>
      <c r="H30" s="733"/>
      <c r="I30" s="733"/>
      <c r="J30" s="733"/>
      <c r="K30" s="733"/>
    </row>
    <row r="31" spans="1:11" ht="13.8" hidden="1" thickBot="1">
      <c r="A31" s="733"/>
      <c r="B31" s="733"/>
      <c r="C31" s="733"/>
      <c r="D31" s="733"/>
      <c r="E31" s="733"/>
      <c r="F31" s="733"/>
      <c r="G31" s="733"/>
      <c r="H31" s="733"/>
      <c r="I31" s="733"/>
      <c r="J31" s="733"/>
      <c r="K31" s="733"/>
    </row>
    <row r="32" spans="1:11" ht="201.75" customHeight="1" thickBot="1">
      <c r="A32" s="805" t="s">
        <v>527</v>
      </c>
      <c r="B32" s="806"/>
      <c r="C32" s="806"/>
      <c r="D32" s="806"/>
      <c r="E32" s="806"/>
      <c r="F32" s="806"/>
      <c r="G32" s="806"/>
      <c r="H32" s="806"/>
      <c r="I32" s="806"/>
      <c r="J32" s="806"/>
      <c r="K32" s="807"/>
    </row>
  </sheetData>
  <mergeCells count="17">
    <mergeCell ref="J19:K19"/>
    <mergeCell ref="A22:K22"/>
    <mergeCell ref="A24:K24"/>
    <mergeCell ref="A25:K31"/>
    <mergeCell ref="A32:K32"/>
    <mergeCell ref="J12:K12"/>
    <mergeCell ref="J13:K13"/>
    <mergeCell ref="J14:K14"/>
    <mergeCell ref="J15:K15"/>
    <mergeCell ref="J17:K17"/>
    <mergeCell ref="J18:K18"/>
    <mergeCell ref="A1:K1"/>
    <mergeCell ref="A5:K5"/>
    <mergeCell ref="J8:K8"/>
    <mergeCell ref="J9:K9"/>
    <mergeCell ref="J10:K10"/>
    <mergeCell ref="J11:K11"/>
  </mergeCells>
  <conditionalFormatting sqref="J10:K19">
    <cfRule type="cellIs" dxfId="0" priority="1" stopIfTrue="1" operator="equal">
      <formula>"Fail"</formula>
    </cfRule>
  </conditionalFormatting>
  <dataValidations count="2">
    <dataValidation type="list" allowBlank="1" showInputMessage="1" showErrorMessage="1" sqref="J13:K19" xr:uid="{9463743A-7B30-4175-98AA-AB2BC41C278D}">
      <formula1>NA</formula1>
    </dataValidation>
    <dataValidation type="list" allowBlank="1" showInputMessage="1" showErrorMessage="1" sqref="J10:K12" xr:uid="{474BDBA0-19B0-4B3E-9CEB-18A3C2D633DC}">
      <formula1>PF</formula1>
    </dataValidation>
  </dataValidations>
  <printOptions horizontalCentered="1"/>
  <pageMargins left="0.5" right="0.5" top="0.5" bottom="0.5" header="0.5" footer="0.25"/>
  <pageSetup scale="80" orientation="portrait" horizontalDpi="4294967293" r:id="rId1"/>
  <headerFooter alignWithMargins="0">
    <oddFooter>&amp;C&amp;8&amp;Z&amp;F</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39"/>
  <sheetViews>
    <sheetView showGridLines="0" zoomScale="125" zoomScaleNormal="140" zoomScaleSheetLayoutView="100" workbookViewId="0">
      <selection activeCell="C5" sqref="C5"/>
    </sheetView>
  </sheetViews>
  <sheetFormatPr defaultRowHeight="13.2"/>
  <cols>
    <col min="1" max="1" width="13.5" style="5" customWidth="1"/>
    <col min="2" max="2" width="6.5" style="5" customWidth="1"/>
    <col min="3" max="3" width="36.19921875" style="5" customWidth="1"/>
    <col min="4" max="4" width="9.8984375" style="5" customWidth="1"/>
    <col min="5" max="5" width="15.5" style="5" customWidth="1"/>
    <col min="6" max="7" width="9" style="5"/>
    <col min="8" max="8" width="10.8984375" style="5" customWidth="1"/>
    <col min="9" max="256" width="9" style="5"/>
    <col min="257" max="257" width="13.5" style="5" customWidth="1"/>
    <col min="258" max="258" width="6.5" style="5" customWidth="1"/>
    <col min="259" max="259" width="36.19921875" style="5" customWidth="1"/>
    <col min="260" max="260" width="9.8984375" style="5" customWidth="1"/>
    <col min="261" max="261" width="15.5" style="5" customWidth="1"/>
    <col min="262" max="263" width="9" style="5"/>
    <col min="264" max="264" width="10.8984375" style="5" customWidth="1"/>
    <col min="265" max="512" width="9" style="5"/>
    <col min="513" max="513" width="13.5" style="5" customWidth="1"/>
    <col min="514" max="514" width="6.5" style="5" customWidth="1"/>
    <col min="515" max="515" width="36.19921875" style="5" customWidth="1"/>
    <col min="516" max="516" width="9.8984375" style="5" customWidth="1"/>
    <col min="517" max="517" width="15.5" style="5" customWidth="1"/>
    <col min="518" max="519" width="9" style="5"/>
    <col min="520" max="520" width="10.8984375" style="5" customWidth="1"/>
    <col min="521" max="768" width="9" style="5"/>
    <col min="769" max="769" width="13.5" style="5" customWidth="1"/>
    <col min="770" max="770" width="6.5" style="5" customWidth="1"/>
    <col min="771" max="771" width="36.19921875" style="5" customWidth="1"/>
    <col min="772" max="772" width="9.8984375" style="5" customWidth="1"/>
    <col min="773" max="773" width="15.5" style="5" customWidth="1"/>
    <col min="774" max="775" width="9" style="5"/>
    <col min="776" max="776" width="10.8984375" style="5" customWidth="1"/>
    <col min="777" max="1024" width="9" style="5"/>
    <col min="1025" max="1025" width="13.5" style="5" customWidth="1"/>
    <col min="1026" max="1026" width="6.5" style="5" customWidth="1"/>
    <col min="1027" max="1027" width="36.19921875" style="5" customWidth="1"/>
    <col min="1028" max="1028" width="9.8984375" style="5" customWidth="1"/>
    <col min="1029" max="1029" width="15.5" style="5" customWidth="1"/>
    <col min="1030" max="1031" width="9" style="5"/>
    <col min="1032" max="1032" width="10.8984375" style="5" customWidth="1"/>
    <col min="1033" max="1280" width="9" style="5"/>
    <col min="1281" max="1281" width="13.5" style="5" customWidth="1"/>
    <col min="1282" max="1282" width="6.5" style="5" customWidth="1"/>
    <col min="1283" max="1283" width="36.19921875" style="5" customWidth="1"/>
    <col min="1284" max="1284" width="9.8984375" style="5" customWidth="1"/>
    <col min="1285" max="1285" width="15.5" style="5" customWidth="1"/>
    <col min="1286" max="1287" width="9" style="5"/>
    <col min="1288" max="1288" width="10.8984375" style="5" customWidth="1"/>
    <col min="1289" max="1536" width="9" style="5"/>
    <col min="1537" max="1537" width="13.5" style="5" customWidth="1"/>
    <col min="1538" max="1538" width="6.5" style="5" customWidth="1"/>
    <col min="1539" max="1539" width="36.19921875" style="5" customWidth="1"/>
    <col min="1540" max="1540" width="9.8984375" style="5" customWidth="1"/>
    <col min="1541" max="1541" width="15.5" style="5" customWidth="1"/>
    <col min="1542" max="1543" width="9" style="5"/>
    <col min="1544" max="1544" width="10.8984375" style="5" customWidth="1"/>
    <col min="1545" max="1792" width="9" style="5"/>
    <col min="1793" max="1793" width="13.5" style="5" customWidth="1"/>
    <col min="1794" max="1794" width="6.5" style="5" customWidth="1"/>
    <col min="1795" max="1795" width="36.19921875" style="5" customWidth="1"/>
    <col min="1796" max="1796" width="9.8984375" style="5" customWidth="1"/>
    <col min="1797" max="1797" width="15.5" style="5" customWidth="1"/>
    <col min="1798" max="1799" width="9" style="5"/>
    <col min="1800" max="1800" width="10.8984375" style="5" customWidth="1"/>
    <col min="1801" max="2048" width="9" style="5"/>
    <col min="2049" max="2049" width="13.5" style="5" customWidth="1"/>
    <col min="2050" max="2050" width="6.5" style="5" customWidth="1"/>
    <col min="2051" max="2051" width="36.19921875" style="5" customWidth="1"/>
    <col min="2052" max="2052" width="9.8984375" style="5" customWidth="1"/>
    <col min="2053" max="2053" width="15.5" style="5" customWidth="1"/>
    <col min="2054" max="2055" width="9" style="5"/>
    <col min="2056" max="2056" width="10.8984375" style="5" customWidth="1"/>
    <col min="2057" max="2304" width="9" style="5"/>
    <col min="2305" max="2305" width="13.5" style="5" customWidth="1"/>
    <col min="2306" max="2306" width="6.5" style="5" customWidth="1"/>
    <col min="2307" max="2307" width="36.19921875" style="5" customWidth="1"/>
    <col min="2308" max="2308" width="9.8984375" style="5" customWidth="1"/>
    <col min="2309" max="2309" width="15.5" style="5" customWidth="1"/>
    <col min="2310" max="2311" width="9" style="5"/>
    <col min="2312" max="2312" width="10.8984375" style="5" customWidth="1"/>
    <col min="2313" max="2560" width="9" style="5"/>
    <col min="2561" max="2561" width="13.5" style="5" customWidth="1"/>
    <col min="2562" max="2562" width="6.5" style="5" customWidth="1"/>
    <col min="2563" max="2563" width="36.19921875" style="5" customWidth="1"/>
    <col min="2564" max="2564" width="9.8984375" style="5" customWidth="1"/>
    <col min="2565" max="2565" width="15.5" style="5" customWidth="1"/>
    <col min="2566" max="2567" width="9" style="5"/>
    <col min="2568" max="2568" width="10.8984375" style="5" customWidth="1"/>
    <col min="2569" max="2816" width="9" style="5"/>
    <col min="2817" max="2817" width="13.5" style="5" customWidth="1"/>
    <col min="2818" max="2818" width="6.5" style="5" customWidth="1"/>
    <col min="2819" max="2819" width="36.19921875" style="5" customWidth="1"/>
    <col min="2820" max="2820" width="9.8984375" style="5" customWidth="1"/>
    <col min="2821" max="2821" width="15.5" style="5" customWidth="1"/>
    <col min="2822" max="2823" width="9" style="5"/>
    <col min="2824" max="2824" width="10.8984375" style="5" customWidth="1"/>
    <col min="2825" max="3072" width="9" style="5"/>
    <col min="3073" max="3073" width="13.5" style="5" customWidth="1"/>
    <col min="3074" max="3074" width="6.5" style="5" customWidth="1"/>
    <col min="3075" max="3075" width="36.19921875" style="5" customWidth="1"/>
    <col min="3076" max="3076" width="9.8984375" style="5" customWidth="1"/>
    <col min="3077" max="3077" width="15.5" style="5" customWidth="1"/>
    <col min="3078" max="3079" width="9" style="5"/>
    <col min="3080" max="3080" width="10.8984375" style="5" customWidth="1"/>
    <col min="3081" max="3328" width="9" style="5"/>
    <col min="3329" max="3329" width="13.5" style="5" customWidth="1"/>
    <col min="3330" max="3330" width="6.5" style="5" customWidth="1"/>
    <col min="3331" max="3331" width="36.19921875" style="5" customWidth="1"/>
    <col min="3332" max="3332" width="9.8984375" style="5" customWidth="1"/>
    <col min="3333" max="3333" width="15.5" style="5" customWidth="1"/>
    <col min="3334" max="3335" width="9" style="5"/>
    <col min="3336" max="3336" width="10.8984375" style="5" customWidth="1"/>
    <col min="3337" max="3584" width="9" style="5"/>
    <col min="3585" max="3585" width="13.5" style="5" customWidth="1"/>
    <col min="3586" max="3586" width="6.5" style="5" customWidth="1"/>
    <col min="3587" max="3587" width="36.19921875" style="5" customWidth="1"/>
    <col min="3588" max="3588" width="9.8984375" style="5" customWidth="1"/>
    <col min="3589" max="3589" width="15.5" style="5" customWidth="1"/>
    <col min="3590" max="3591" width="9" style="5"/>
    <col min="3592" max="3592" width="10.8984375" style="5" customWidth="1"/>
    <col min="3593" max="3840" width="9" style="5"/>
    <col min="3841" max="3841" width="13.5" style="5" customWidth="1"/>
    <col min="3842" max="3842" width="6.5" style="5" customWidth="1"/>
    <col min="3843" max="3843" width="36.19921875" style="5" customWidth="1"/>
    <col min="3844" max="3844" width="9.8984375" style="5" customWidth="1"/>
    <col min="3845" max="3845" width="15.5" style="5" customWidth="1"/>
    <col min="3846" max="3847" width="9" style="5"/>
    <col min="3848" max="3848" width="10.8984375" style="5" customWidth="1"/>
    <col min="3849" max="4096" width="9" style="5"/>
    <col min="4097" max="4097" width="13.5" style="5" customWidth="1"/>
    <col min="4098" max="4098" width="6.5" style="5" customWidth="1"/>
    <col min="4099" max="4099" width="36.19921875" style="5" customWidth="1"/>
    <col min="4100" max="4100" width="9.8984375" style="5" customWidth="1"/>
    <col min="4101" max="4101" width="15.5" style="5" customWidth="1"/>
    <col min="4102" max="4103" width="9" style="5"/>
    <col min="4104" max="4104" width="10.8984375" style="5" customWidth="1"/>
    <col min="4105" max="4352" width="9" style="5"/>
    <col min="4353" max="4353" width="13.5" style="5" customWidth="1"/>
    <col min="4354" max="4354" width="6.5" style="5" customWidth="1"/>
    <col min="4355" max="4355" width="36.19921875" style="5" customWidth="1"/>
    <col min="4356" max="4356" width="9.8984375" style="5" customWidth="1"/>
    <col min="4357" max="4357" width="15.5" style="5" customWidth="1"/>
    <col min="4358" max="4359" width="9" style="5"/>
    <col min="4360" max="4360" width="10.8984375" style="5" customWidth="1"/>
    <col min="4361" max="4608" width="9" style="5"/>
    <col min="4609" max="4609" width="13.5" style="5" customWidth="1"/>
    <col min="4610" max="4610" width="6.5" style="5" customWidth="1"/>
    <col min="4611" max="4611" width="36.19921875" style="5" customWidth="1"/>
    <col min="4612" max="4612" width="9.8984375" style="5" customWidth="1"/>
    <col min="4613" max="4613" width="15.5" style="5" customWidth="1"/>
    <col min="4614" max="4615" width="9" style="5"/>
    <col min="4616" max="4616" width="10.8984375" style="5" customWidth="1"/>
    <col min="4617" max="4864" width="9" style="5"/>
    <col min="4865" max="4865" width="13.5" style="5" customWidth="1"/>
    <col min="4866" max="4866" width="6.5" style="5" customWidth="1"/>
    <col min="4867" max="4867" width="36.19921875" style="5" customWidth="1"/>
    <col min="4868" max="4868" width="9.8984375" style="5" customWidth="1"/>
    <col min="4869" max="4869" width="15.5" style="5" customWidth="1"/>
    <col min="4870" max="4871" width="9" style="5"/>
    <col min="4872" max="4872" width="10.8984375" style="5" customWidth="1"/>
    <col min="4873" max="5120" width="9" style="5"/>
    <col min="5121" max="5121" width="13.5" style="5" customWidth="1"/>
    <col min="5122" max="5122" width="6.5" style="5" customWidth="1"/>
    <col min="5123" max="5123" width="36.19921875" style="5" customWidth="1"/>
    <col min="5124" max="5124" width="9.8984375" style="5" customWidth="1"/>
    <col min="5125" max="5125" width="15.5" style="5" customWidth="1"/>
    <col min="5126" max="5127" width="9" style="5"/>
    <col min="5128" max="5128" width="10.8984375" style="5" customWidth="1"/>
    <col min="5129" max="5376" width="9" style="5"/>
    <col min="5377" max="5377" width="13.5" style="5" customWidth="1"/>
    <col min="5378" max="5378" width="6.5" style="5" customWidth="1"/>
    <col min="5379" max="5379" width="36.19921875" style="5" customWidth="1"/>
    <col min="5380" max="5380" width="9.8984375" style="5" customWidth="1"/>
    <col min="5381" max="5381" width="15.5" style="5" customWidth="1"/>
    <col min="5382" max="5383" width="9" style="5"/>
    <col min="5384" max="5384" width="10.8984375" style="5" customWidth="1"/>
    <col min="5385" max="5632" width="9" style="5"/>
    <col min="5633" max="5633" width="13.5" style="5" customWidth="1"/>
    <col min="5634" max="5634" width="6.5" style="5" customWidth="1"/>
    <col min="5635" max="5635" width="36.19921875" style="5" customWidth="1"/>
    <col min="5636" max="5636" width="9.8984375" style="5" customWidth="1"/>
    <col min="5637" max="5637" width="15.5" style="5" customWidth="1"/>
    <col min="5638" max="5639" width="9" style="5"/>
    <col min="5640" max="5640" width="10.8984375" style="5" customWidth="1"/>
    <col min="5641" max="5888" width="9" style="5"/>
    <col min="5889" max="5889" width="13.5" style="5" customWidth="1"/>
    <col min="5890" max="5890" width="6.5" style="5" customWidth="1"/>
    <col min="5891" max="5891" width="36.19921875" style="5" customWidth="1"/>
    <col min="5892" max="5892" width="9.8984375" style="5" customWidth="1"/>
    <col min="5893" max="5893" width="15.5" style="5" customWidth="1"/>
    <col min="5894" max="5895" width="9" style="5"/>
    <col min="5896" max="5896" width="10.8984375" style="5" customWidth="1"/>
    <col min="5897" max="6144" width="9" style="5"/>
    <col min="6145" max="6145" width="13.5" style="5" customWidth="1"/>
    <col min="6146" max="6146" width="6.5" style="5" customWidth="1"/>
    <col min="6147" max="6147" width="36.19921875" style="5" customWidth="1"/>
    <col min="6148" max="6148" width="9.8984375" style="5" customWidth="1"/>
    <col min="6149" max="6149" width="15.5" style="5" customWidth="1"/>
    <col min="6150" max="6151" width="9" style="5"/>
    <col min="6152" max="6152" width="10.8984375" style="5" customWidth="1"/>
    <col min="6153" max="6400" width="9" style="5"/>
    <col min="6401" max="6401" width="13.5" style="5" customWidth="1"/>
    <col min="6402" max="6402" width="6.5" style="5" customWidth="1"/>
    <col min="6403" max="6403" width="36.19921875" style="5" customWidth="1"/>
    <col min="6404" max="6404" width="9.8984375" style="5" customWidth="1"/>
    <col min="6405" max="6405" width="15.5" style="5" customWidth="1"/>
    <col min="6406" max="6407" width="9" style="5"/>
    <col min="6408" max="6408" width="10.8984375" style="5" customWidth="1"/>
    <col min="6409" max="6656" width="9" style="5"/>
    <col min="6657" max="6657" width="13.5" style="5" customWidth="1"/>
    <col min="6658" max="6658" width="6.5" style="5" customWidth="1"/>
    <col min="6659" max="6659" width="36.19921875" style="5" customWidth="1"/>
    <col min="6660" max="6660" width="9.8984375" style="5" customWidth="1"/>
    <col min="6661" max="6661" width="15.5" style="5" customWidth="1"/>
    <col min="6662" max="6663" width="9" style="5"/>
    <col min="6664" max="6664" width="10.8984375" style="5" customWidth="1"/>
    <col min="6665" max="6912" width="9" style="5"/>
    <col min="6913" max="6913" width="13.5" style="5" customWidth="1"/>
    <col min="6914" max="6914" width="6.5" style="5" customWidth="1"/>
    <col min="6915" max="6915" width="36.19921875" style="5" customWidth="1"/>
    <col min="6916" max="6916" width="9.8984375" style="5" customWidth="1"/>
    <col min="6917" max="6917" width="15.5" style="5" customWidth="1"/>
    <col min="6918" max="6919" width="9" style="5"/>
    <col min="6920" max="6920" width="10.8984375" style="5" customWidth="1"/>
    <col min="6921" max="7168" width="9" style="5"/>
    <col min="7169" max="7169" width="13.5" style="5" customWidth="1"/>
    <col min="7170" max="7170" width="6.5" style="5" customWidth="1"/>
    <col min="7171" max="7171" width="36.19921875" style="5" customWidth="1"/>
    <col min="7172" max="7172" width="9.8984375" style="5" customWidth="1"/>
    <col min="7173" max="7173" width="15.5" style="5" customWidth="1"/>
    <col min="7174" max="7175" width="9" style="5"/>
    <col min="7176" max="7176" width="10.8984375" style="5" customWidth="1"/>
    <col min="7177" max="7424" width="9" style="5"/>
    <col min="7425" max="7425" width="13.5" style="5" customWidth="1"/>
    <col min="7426" max="7426" width="6.5" style="5" customWidth="1"/>
    <col min="7427" max="7427" width="36.19921875" style="5" customWidth="1"/>
    <col min="7428" max="7428" width="9.8984375" style="5" customWidth="1"/>
    <col min="7429" max="7429" width="15.5" style="5" customWidth="1"/>
    <col min="7430" max="7431" width="9" style="5"/>
    <col min="7432" max="7432" width="10.8984375" style="5" customWidth="1"/>
    <col min="7433" max="7680" width="9" style="5"/>
    <col min="7681" max="7681" width="13.5" style="5" customWidth="1"/>
    <col min="7682" max="7682" width="6.5" style="5" customWidth="1"/>
    <col min="7683" max="7683" width="36.19921875" style="5" customWidth="1"/>
    <col min="7684" max="7684" width="9.8984375" style="5" customWidth="1"/>
    <col min="7685" max="7685" width="15.5" style="5" customWidth="1"/>
    <col min="7686" max="7687" width="9" style="5"/>
    <col min="7688" max="7688" width="10.8984375" style="5" customWidth="1"/>
    <col min="7689" max="7936" width="9" style="5"/>
    <col min="7937" max="7937" width="13.5" style="5" customWidth="1"/>
    <col min="7938" max="7938" width="6.5" style="5" customWidth="1"/>
    <col min="7939" max="7939" width="36.19921875" style="5" customWidth="1"/>
    <col min="7940" max="7940" width="9.8984375" style="5" customWidth="1"/>
    <col min="7941" max="7941" width="15.5" style="5" customWidth="1"/>
    <col min="7942" max="7943" width="9" style="5"/>
    <col min="7944" max="7944" width="10.8984375" style="5" customWidth="1"/>
    <col min="7945" max="8192" width="9" style="5"/>
    <col min="8193" max="8193" width="13.5" style="5" customWidth="1"/>
    <col min="8194" max="8194" width="6.5" style="5" customWidth="1"/>
    <col min="8195" max="8195" width="36.19921875" style="5" customWidth="1"/>
    <col min="8196" max="8196" width="9.8984375" style="5" customWidth="1"/>
    <col min="8197" max="8197" width="15.5" style="5" customWidth="1"/>
    <col min="8198" max="8199" width="9" style="5"/>
    <col min="8200" max="8200" width="10.8984375" style="5" customWidth="1"/>
    <col min="8201" max="8448" width="9" style="5"/>
    <col min="8449" max="8449" width="13.5" style="5" customWidth="1"/>
    <col min="8450" max="8450" width="6.5" style="5" customWidth="1"/>
    <col min="8451" max="8451" width="36.19921875" style="5" customWidth="1"/>
    <col min="8452" max="8452" width="9.8984375" style="5" customWidth="1"/>
    <col min="8453" max="8453" width="15.5" style="5" customWidth="1"/>
    <col min="8454" max="8455" width="9" style="5"/>
    <col min="8456" max="8456" width="10.8984375" style="5" customWidth="1"/>
    <col min="8457" max="8704" width="9" style="5"/>
    <col min="8705" max="8705" width="13.5" style="5" customWidth="1"/>
    <col min="8706" max="8706" width="6.5" style="5" customWidth="1"/>
    <col min="8707" max="8707" width="36.19921875" style="5" customWidth="1"/>
    <col min="8708" max="8708" width="9.8984375" style="5" customWidth="1"/>
    <col min="8709" max="8709" width="15.5" style="5" customWidth="1"/>
    <col min="8710" max="8711" width="9" style="5"/>
    <col min="8712" max="8712" width="10.8984375" style="5" customWidth="1"/>
    <col min="8713" max="8960" width="9" style="5"/>
    <col min="8961" max="8961" width="13.5" style="5" customWidth="1"/>
    <col min="8962" max="8962" width="6.5" style="5" customWidth="1"/>
    <col min="8963" max="8963" width="36.19921875" style="5" customWidth="1"/>
    <col min="8964" max="8964" width="9.8984375" style="5" customWidth="1"/>
    <col min="8965" max="8965" width="15.5" style="5" customWidth="1"/>
    <col min="8966" max="8967" width="9" style="5"/>
    <col min="8968" max="8968" width="10.8984375" style="5" customWidth="1"/>
    <col min="8969" max="9216" width="9" style="5"/>
    <col min="9217" max="9217" width="13.5" style="5" customWidth="1"/>
    <col min="9218" max="9218" width="6.5" style="5" customWidth="1"/>
    <col min="9219" max="9219" width="36.19921875" style="5" customWidth="1"/>
    <col min="9220" max="9220" width="9.8984375" style="5" customWidth="1"/>
    <col min="9221" max="9221" width="15.5" style="5" customWidth="1"/>
    <col min="9222" max="9223" width="9" style="5"/>
    <col min="9224" max="9224" width="10.8984375" style="5" customWidth="1"/>
    <col min="9225" max="9472" width="9" style="5"/>
    <col min="9473" max="9473" width="13.5" style="5" customWidth="1"/>
    <col min="9474" max="9474" width="6.5" style="5" customWidth="1"/>
    <col min="9475" max="9475" width="36.19921875" style="5" customWidth="1"/>
    <col min="9476" max="9476" width="9.8984375" style="5" customWidth="1"/>
    <col min="9477" max="9477" width="15.5" style="5" customWidth="1"/>
    <col min="9478" max="9479" width="9" style="5"/>
    <col min="9480" max="9480" width="10.8984375" style="5" customWidth="1"/>
    <col min="9481" max="9728" width="9" style="5"/>
    <col min="9729" max="9729" width="13.5" style="5" customWidth="1"/>
    <col min="9730" max="9730" width="6.5" style="5" customWidth="1"/>
    <col min="9731" max="9731" width="36.19921875" style="5" customWidth="1"/>
    <col min="9732" max="9732" width="9.8984375" style="5" customWidth="1"/>
    <col min="9733" max="9733" width="15.5" style="5" customWidth="1"/>
    <col min="9734" max="9735" width="9" style="5"/>
    <col min="9736" max="9736" width="10.8984375" style="5" customWidth="1"/>
    <col min="9737" max="9984" width="9" style="5"/>
    <col min="9985" max="9985" width="13.5" style="5" customWidth="1"/>
    <col min="9986" max="9986" width="6.5" style="5" customWidth="1"/>
    <col min="9987" max="9987" width="36.19921875" style="5" customWidth="1"/>
    <col min="9988" max="9988" width="9.8984375" style="5" customWidth="1"/>
    <col min="9989" max="9989" width="15.5" style="5" customWidth="1"/>
    <col min="9990" max="9991" width="9" style="5"/>
    <col min="9992" max="9992" width="10.8984375" style="5" customWidth="1"/>
    <col min="9993" max="10240" width="9" style="5"/>
    <col min="10241" max="10241" width="13.5" style="5" customWidth="1"/>
    <col min="10242" max="10242" width="6.5" style="5" customWidth="1"/>
    <col min="10243" max="10243" width="36.19921875" style="5" customWidth="1"/>
    <col min="10244" max="10244" width="9.8984375" style="5" customWidth="1"/>
    <col min="10245" max="10245" width="15.5" style="5" customWidth="1"/>
    <col min="10246" max="10247" width="9" style="5"/>
    <col min="10248" max="10248" width="10.8984375" style="5" customWidth="1"/>
    <col min="10249" max="10496" width="9" style="5"/>
    <col min="10497" max="10497" width="13.5" style="5" customWidth="1"/>
    <col min="10498" max="10498" width="6.5" style="5" customWidth="1"/>
    <col min="10499" max="10499" width="36.19921875" style="5" customWidth="1"/>
    <col min="10500" max="10500" width="9.8984375" style="5" customWidth="1"/>
    <col min="10501" max="10501" width="15.5" style="5" customWidth="1"/>
    <col min="10502" max="10503" width="9" style="5"/>
    <col min="10504" max="10504" width="10.8984375" style="5" customWidth="1"/>
    <col min="10505" max="10752" width="9" style="5"/>
    <col min="10753" max="10753" width="13.5" style="5" customWidth="1"/>
    <col min="10754" max="10754" width="6.5" style="5" customWidth="1"/>
    <col min="10755" max="10755" width="36.19921875" style="5" customWidth="1"/>
    <col min="10756" max="10756" width="9.8984375" style="5" customWidth="1"/>
    <col min="10757" max="10757" width="15.5" style="5" customWidth="1"/>
    <col min="10758" max="10759" width="9" style="5"/>
    <col min="10760" max="10760" width="10.8984375" style="5" customWidth="1"/>
    <col min="10761" max="11008" width="9" style="5"/>
    <col min="11009" max="11009" width="13.5" style="5" customWidth="1"/>
    <col min="11010" max="11010" width="6.5" style="5" customWidth="1"/>
    <col min="11011" max="11011" width="36.19921875" style="5" customWidth="1"/>
    <col min="11012" max="11012" width="9.8984375" style="5" customWidth="1"/>
    <col min="11013" max="11013" width="15.5" style="5" customWidth="1"/>
    <col min="11014" max="11015" width="9" style="5"/>
    <col min="11016" max="11016" width="10.8984375" style="5" customWidth="1"/>
    <col min="11017" max="11264" width="9" style="5"/>
    <col min="11265" max="11265" width="13.5" style="5" customWidth="1"/>
    <col min="11266" max="11266" width="6.5" style="5" customWidth="1"/>
    <col min="11267" max="11267" width="36.19921875" style="5" customWidth="1"/>
    <col min="11268" max="11268" width="9.8984375" style="5" customWidth="1"/>
    <col min="11269" max="11269" width="15.5" style="5" customWidth="1"/>
    <col min="11270" max="11271" width="9" style="5"/>
    <col min="11272" max="11272" width="10.8984375" style="5" customWidth="1"/>
    <col min="11273" max="11520" width="9" style="5"/>
    <col min="11521" max="11521" width="13.5" style="5" customWidth="1"/>
    <col min="11522" max="11522" width="6.5" style="5" customWidth="1"/>
    <col min="11523" max="11523" width="36.19921875" style="5" customWidth="1"/>
    <col min="11524" max="11524" width="9.8984375" style="5" customWidth="1"/>
    <col min="11525" max="11525" width="15.5" style="5" customWidth="1"/>
    <col min="11526" max="11527" width="9" style="5"/>
    <col min="11528" max="11528" width="10.8984375" style="5" customWidth="1"/>
    <col min="11529" max="11776" width="9" style="5"/>
    <col min="11777" max="11777" width="13.5" style="5" customWidth="1"/>
    <col min="11778" max="11778" width="6.5" style="5" customWidth="1"/>
    <col min="11779" max="11779" width="36.19921875" style="5" customWidth="1"/>
    <col min="11780" max="11780" width="9.8984375" style="5" customWidth="1"/>
    <col min="11781" max="11781" width="15.5" style="5" customWidth="1"/>
    <col min="11782" max="11783" width="9" style="5"/>
    <col min="11784" max="11784" width="10.8984375" style="5" customWidth="1"/>
    <col min="11785" max="12032" width="9" style="5"/>
    <col min="12033" max="12033" width="13.5" style="5" customWidth="1"/>
    <col min="12034" max="12034" width="6.5" style="5" customWidth="1"/>
    <col min="12035" max="12035" width="36.19921875" style="5" customWidth="1"/>
    <col min="12036" max="12036" width="9.8984375" style="5" customWidth="1"/>
    <col min="12037" max="12037" width="15.5" style="5" customWidth="1"/>
    <col min="12038" max="12039" width="9" style="5"/>
    <col min="12040" max="12040" width="10.8984375" style="5" customWidth="1"/>
    <col min="12041" max="12288" width="9" style="5"/>
    <col min="12289" max="12289" width="13.5" style="5" customWidth="1"/>
    <col min="12290" max="12290" width="6.5" style="5" customWidth="1"/>
    <col min="12291" max="12291" width="36.19921875" style="5" customWidth="1"/>
    <col min="12292" max="12292" width="9.8984375" style="5" customWidth="1"/>
    <col min="12293" max="12293" width="15.5" style="5" customWidth="1"/>
    <col min="12294" max="12295" width="9" style="5"/>
    <col min="12296" max="12296" width="10.8984375" style="5" customWidth="1"/>
    <col min="12297" max="12544" width="9" style="5"/>
    <col min="12545" max="12545" width="13.5" style="5" customWidth="1"/>
    <col min="12546" max="12546" width="6.5" style="5" customWidth="1"/>
    <col min="12547" max="12547" width="36.19921875" style="5" customWidth="1"/>
    <col min="12548" max="12548" width="9.8984375" style="5" customWidth="1"/>
    <col min="12549" max="12549" width="15.5" style="5" customWidth="1"/>
    <col min="12550" max="12551" width="9" style="5"/>
    <col min="12552" max="12552" width="10.8984375" style="5" customWidth="1"/>
    <col min="12553" max="12800" width="9" style="5"/>
    <col min="12801" max="12801" width="13.5" style="5" customWidth="1"/>
    <col min="12802" max="12802" width="6.5" style="5" customWidth="1"/>
    <col min="12803" max="12803" width="36.19921875" style="5" customWidth="1"/>
    <col min="12804" max="12804" width="9.8984375" style="5" customWidth="1"/>
    <col min="12805" max="12805" width="15.5" style="5" customWidth="1"/>
    <col min="12806" max="12807" width="9" style="5"/>
    <col min="12808" max="12808" width="10.8984375" style="5" customWidth="1"/>
    <col min="12809" max="13056" width="9" style="5"/>
    <col min="13057" max="13057" width="13.5" style="5" customWidth="1"/>
    <col min="13058" max="13058" width="6.5" style="5" customWidth="1"/>
    <col min="13059" max="13059" width="36.19921875" style="5" customWidth="1"/>
    <col min="13060" max="13060" width="9.8984375" style="5" customWidth="1"/>
    <col min="13061" max="13061" width="15.5" style="5" customWidth="1"/>
    <col min="13062" max="13063" width="9" style="5"/>
    <col min="13064" max="13064" width="10.8984375" style="5" customWidth="1"/>
    <col min="13065" max="13312" width="9" style="5"/>
    <col min="13313" max="13313" width="13.5" style="5" customWidth="1"/>
    <col min="13314" max="13314" width="6.5" style="5" customWidth="1"/>
    <col min="13315" max="13315" width="36.19921875" style="5" customWidth="1"/>
    <col min="13316" max="13316" width="9.8984375" style="5" customWidth="1"/>
    <col min="13317" max="13317" width="15.5" style="5" customWidth="1"/>
    <col min="13318" max="13319" width="9" style="5"/>
    <col min="13320" max="13320" width="10.8984375" style="5" customWidth="1"/>
    <col min="13321" max="13568" width="9" style="5"/>
    <col min="13569" max="13569" width="13.5" style="5" customWidth="1"/>
    <col min="13570" max="13570" width="6.5" style="5" customWidth="1"/>
    <col min="13571" max="13571" width="36.19921875" style="5" customWidth="1"/>
    <col min="13572" max="13572" width="9.8984375" style="5" customWidth="1"/>
    <col min="13573" max="13573" width="15.5" style="5" customWidth="1"/>
    <col min="13574" max="13575" width="9" style="5"/>
    <col min="13576" max="13576" width="10.8984375" style="5" customWidth="1"/>
    <col min="13577" max="13824" width="9" style="5"/>
    <col min="13825" max="13825" width="13.5" style="5" customWidth="1"/>
    <col min="13826" max="13826" width="6.5" style="5" customWidth="1"/>
    <col min="13827" max="13827" width="36.19921875" style="5" customWidth="1"/>
    <col min="13828" max="13828" width="9.8984375" style="5" customWidth="1"/>
    <col min="13829" max="13829" width="15.5" style="5" customWidth="1"/>
    <col min="13830" max="13831" width="9" style="5"/>
    <col min="13832" max="13832" width="10.8984375" style="5" customWidth="1"/>
    <col min="13833" max="14080" width="9" style="5"/>
    <col min="14081" max="14081" width="13.5" style="5" customWidth="1"/>
    <col min="14082" max="14082" width="6.5" style="5" customWidth="1"/>
    <col min="14083" max="14083" width="36.19921875" style="5" customWidth="1"/>
    <col min="14084" max="14084" width="9.8984375" style="5" customWidth="1"/>
    <col min="14085" max="14085" width="15.5" style="5" customWidth="1"/>
    <col min="14086" max="14087" width="9" style="5"/>
    <col min="14088" max="14088" width="10.8984375" style="5" customWidth="1"/>
    <col min="14089" max="14336" width="9" style="5"/>
    <col min="14337" max="14337" width="13.5" style="5" customWidth="1"/>
    <col min="14338" max="14338" width="6.5" style="5" customWidth="1"/>
    <col min="14339" max="14339" width="36.19921875" style="5" customWidth="1"/>
    <col min="14340" max="14340" width="9.8984375" style="5" customWidth="1"/>
    <col min="14341" max="14341" width="15.5" style="5" customWidth="1"/>
    <col min="14342" max="14343" width="9" style="5"/>
    <col min="14344" max="14344" width="10.8984375" style="5" customWidth="1"/>
    <col min="14345" max="14592" width="9" style="5"/>
    <col min="14593" max="14593" width="13.5" style="5" customWidth="1"/>
    <col min="14594" max="14594" width="6.5" style="5" customWidth="1"/>
    <col min="14595" max="14595" width="36.19921875" style="5" customWidth="1"/>
    <col min="14596" max="14596" width="9.8984375" style="5" customWidth="1"/>
    <col min="14597" max="14597" width="15.5" style="5" customWidth="1"/>
    <col min="14598" max="14599" width="9" style="5"/>
    <col min="14600" max="14600" width="10.8984375" style="5" customWidth="1"/>
    <col min="14601" max="14848" width="9" style="5"/>
    <col min="14849" max="14849" width="13.5" style="5" customWidth="1"/>
    <col min="14850" max="14850" width="6.5" style="5" customWidth="1"/>
    <col min="14851" max="14851" width="36.19921875" style="5" customWidth="1"/>
    <col min="14852" max="14852" width="9.8984375" style="5" customWidth="1"/>
    <col min="14853" max="14853" width="15.5" style="5" customWidth="1"/>
    <col min="14854" max="14855" width="9" style="5"/>
    <col min="14856" max="14856" width="10.8984375" style="5" customWidth="1"/>
    <col min="14857" max="15104" width="9" style="5"/>
    <col min="15105" max="15105" width="13.5" style="5" customWidth="1"/>
    <col min="15106" max="15106" width="6.5" style="5" customWidth="1"/>
    <col min="15107" max="15107" width="36.19921875" style="5" customWidth="1"/>
    <col min="15108" max="15108" width="9.8984375" style="5" customWidth="1"/>
    <col min="15109" max="15109" width="15.5" style="5" customWidth="1"/>
    <col min="15110" max="15111" width="9" style="5"/>
    <col min="15112" max="15112" width="10.8984375" style="5" customWidth="1"/>
    <col min="15113" max="15360" width="9" style="5"/>
    <col min="15361" max="15361" width="13.5" style="5" customWidth="1"/>
    <col min="15362" max="15362" width="6.5" style="5" customWidth="1"/>
    <col min="15363" max="15363" width="36.19921875" style="5" customWidth="1"/>
    <col min="15364" max="15364" width="9.8984375" style="5" customWidth="1"/>
    <col min="15365" max="15365" width="15.5" style="5" customWidth="1"/>
    <col min="15366" max="15367" width="9" style="5"/>
    <col min="15368" max="15368" width="10.8984375" style="5" customWidth="1"/>
    <col min="15369" max="15616" width="9" style="5"/>
    <col min="15617" max="15617" width="13.5" style="5" customWidth="1"/>
    <col min="15618" max="15618" width="6.5" style="5" customWidth="1"/>
    <col min="15619" max="15619" width="36.19921875" style="5" customWidth="1"/>
    <col min="15620" max="15620" width="9.8984375" style="5" customWidth="1"/>
    <col min="15621" max="15621" width="15.5" style="5" customWidth="1"/>
    <col min="15622" max="15623" width="9" style="5"/>
    <col min="15624" max="15624" width="10.8984375" style="5" customWidth="1"/>
    <col min="15625" max="15872" width="9" style="5"/>
    <col min="15873" max="15873" width="13.5" style="5" customWidth="1"/>
    <col min="15874" max="15874" width="6.5" style="5" customWidth="1"/>
    <col min="15875" max="15875" width="36.19921875" style="5" customWidth="1"/>
    <col min="15876" max="15876" width="9.8984375" style="5" customWidth="1"/>
    <col min="15877" max="15877" width="15.5" style="5" customWidth="1"/>
    <col min="15878" max="15879" width="9" style="5"/>
    <col min="15880" max="15880" width="10.8984375" style="5" customWidth="1"/>
    <col min="15881" max="16128" width="9" style="5"/>
    <col min="16129" max="16129" width="13.5" style="5" customWidth="1"/>
    <col min="16130" max="16130" width="6.5" style="5" customWidth="1"/>
    <col min="16131" max="16131" width="36.19921875" style="5" customWidth="1"/>
    <col min="16132" max="16132" width="9.8984375" style="5" customWidth="1"/>
    <col min="16133" max="16133" width="15.5" style="5" customWidth="1"/>
    <col min="16134" max="16135" width="9" style="5"/>
    <col min="16136" max="16136" width="10.8984375" style="5" customWidth="1"/>
    <col min="16137" max="16384" width="9" style="5"/>
  </cols>
  <sheetData>
    <row r="1" spans="1:5" ht="33" customHeight="1">
      <c r="A1" s="749" t="s">
        <v>615</v>
      </c>
      <c r="B1" s="750"/>
      <c r="C1" s="750"/>
      <c r="D1" s="750"/>
      <c r="E1" s="750"/>
    </row>
    <row r="2" spans="1:5" ht="18" customHeight="1">
      <c r="A2" s="26"/>
      <c r="B2" s="26"/>
      <c r="C2" s="26"/>
      <c r="D2" s="26"/>
      <c r="E2" s="26"/>
    </row>
    <row r="3" spans="1:5" ht="16.5" customHeight="1">
      <c r="A3" s="27" t="s">
        <v>616</v>
      </c>
      <c r="B3" s="751">
        <f>'QC Test Summary-Siemens'!C4</f>
        <v>0</v>
      </c>
      <c r="C3" s="751"/>
      <c r="D3" s="751"/>
      <c r="E3" s="751"/>
    </row>
    <row r="4" spans="1:5" ht="16.5" customHeight="1">
      <c r="A4" s="27" t="s">
        <v>617</v>
      </c>
      <c r="B4" s="752" t="str">
        <f>Sheet1!R17</f>
        <v/>
      </c>
      <c r="C4" s="752"/>
      <c r="D4" s="28" t="s">
        <v>36</v>
      </c>
      <c r="E4" s="29" t="str">
        <f>Sheet1!R18</f>
        <v/>
      </c>
    </row>
    <row r="5" spans="1:5" ht="16.5" customHeight="1">
      <c r="A5" s="27" t="s">
        <v>618</v>
      </c>
      <c r="B5" s="29" t="str">
        <f>Sheet1!V18</f>
        <v/>
      </c>
      <c r="C5" s="29"/>
      <c r="D5" s="28" t="s">
        <v>619</v>
      </c>
      <c r="E5" s="78" t="str">
        <f>Sheet1!V17</f>
        <v/>
      </c>
    </row>
    <row r="6" spans="1:5" ht="16.5" customHeight="1">
      <c r="A6" s="27" t="s">
        <v>620</v>
      </c>
      <c r="B6" s="752" t="str">
        <f>Sheet1!X7</f>
        <v>Eugene Mah</v>
      </c>
      <c r="C6" s="752"/>
      <c r="D6" s="28" t="s">
        <v>621</v>
      </c>
      <c r="E6" s="30" t="str">
        <f>Sheet1!R14</f>
        <v/>
      </c>
    </row>
    <row r="7" spans="1:5" ht="16.5" customHeight="1">
      <c r="A7" s="27" t="s">
        <v>622</v>
      </c>
      <c r="B7" s="752"/>
      <c r="C7" s="752"/>
      <c r="D7" s="28" t="s">
        <v>623</v>
      </c>
      <c r="E7" s="79">
        <f>Sheet1!P7</f>
        <v>0</v>
      </c>
    </row>
    <row r="8" spans="1:5" ht="21.75" customHeight="1" thickBot="1"/>
    <row r="9" spans="1:5" ht="35.25" customHeight="1" thickBot="1">
      <c r="A9" s="31" t="s">
        <v>624</v>
      </c>
      <c r="B9" s="32" t="s">
        <v>625</v>
      </c>
      <c r="C9" s="33" t="s">
        <v>626</v>
      </c>
      <c r="D9" s="32" t="s">
        <v>627</v>
      </c>
      <c r="E9" s="34" t="s">
        <v>737</v>
      </c>
    </row>
    <row r="10" spans="1:5" ht="33" customHeight="1" thickTop="1">
      <c r="A10" s="748" t="s">
        <v>628</v>
      </c>
      <c r="B10" s="35" t="s">
        <v>629</v>
      </c>
      <c r="C10" s="36" t="s">
        <v>630</v>
      </c>
      <c r="D10" s="37" t="s">
        <v>631</v>
      </c>
      <c r="E10" s="38"/>
    </row>
    <row r="11" spans="1:5" ht="25.5" customHeight="1" thickBot="1">
      <c r="A11" s="744"/>
      <c r="B11" s="39" t="s">
        <v>632</v>
      </c>
      <c r="C11" s="40" t="s">
        <v>633</v>
      </c>
      <c r="D11" s="41" t="s">
        <v>631</v>
      </c>
      <c r="E11" s="42"/>
    </row>
    <row r="12" spans="1:5" ht="33.75" customHeight="1">
      <c r="A12" s="739" t="s">
        <v>634</v>
      </c>
      <c r="B12" s="43" t="s">
        <v>635</v>
      </c>
      <c r="C12" s="44" t="s">
        <v>636</v>
      </c>
      <c r="D12" s="45" t="s">
        <v>637</v>
      </c>
      <c r="E12" s="46"/>
    </row>
    <row r="13" spans="1:5" ht="33.75" customHeight="1">
      <c r="A13" s="740"/>
      <c r="B13" s="47" t="s">
        <v>638</v>
      </c>
      <c r="C13" s="48" t="s">
        <v>639</v>
      </c>
      <c r="D13" s="49" t="s">
        <v>637</v>
      </c>
      <c r="E13" s="50"/>
    </row>
    <row r="14" spans="1:5" ht="34.5" customHeight="1" thickBot="1">
      <c r="A14" s="741"/>
      <c r="B14" s="51" t="s">
        <v>640</v>
      </c>
      <c r="C14" s="52" t="s">
        <v>641</v>
      </c>
      <c r="D14" s="41" t="s">
        <v>631</v>
      </c>
      <c r="E14" s="53"/>
    </row>
    <row r="15" spans="1:5" ht="40.799999999999997">
      <c r="A15" s="742" t="s">
        <v>642</v>
      </c>
      <c r="B15" s="54" t="s">
        <v>643</v>
      </c>
      <c r="C15" s="55" t="s">
        <v>644</v>
      </c>
      <c r="D15" s="45" t="s">
        <v>631</v>
      </c>
      <c r="E15" s="56"/>
    </row>
    <row r="16" spans="1:5" ht="54.75" customHeight="1" thickBot="1">
      <c r="A16" s="743"/>
      <c r="B16" s="39" t="s">
        <v>645</v>
      </c>
      <c r="C16" s="57" t="s">
        <v>694</v>
      </c>
      <c r="D16" s="41" t="s">
        <v>646</v>
      </c>
      <c r="E16" s="58"/>
    </row>
    <row r="17" spans="1:5" ht="33.75" customHeight="1">
      <c r="A17" s="734" t="s">
        <v>647</v>
      </c>
      <c r="B17" s="59" t="s">
        <v>648</v>
      </c>
      <c r="C17" s="44" t="s">
        <v>649</v>
      </c>
      <c r="D17" s="45" t="s">
        <v>631</v>
      </c>
      <c r="E17" s="60"/>
    </row>
    <row r="18" spans="1:5" ht="33.75" customHeight="1" thickBot="1">
      <c r="A18" s="744"/>
      <c r="B18" s="61" t="s">
        <v>650</v>
      </c>
      <c r="C18" s="62" t="s">
        <v>651</v>
      </c>
      <c r="D18" s="41" t="s">
        <v>631</v>
      </c>
      <c r="E18" s="42"/>
    </row>
    <row r="19" spans="1:5" ht="20.399999999999999">
      <c r="A19" s="745" t="s">
        <v>652</v>
      </c>
      <c r="B19" s="59" t="s">
        <v>653</v>
      </c>
      <c r="C19" s="44" t="s">
        <v>654</v>
      </c>
      <c r="D19" s="45" t="s">
        <v>631</v>
      </c>
      <c r="E19" s="60"/>
    </row>
    <row r="20" spans="1:5" ht="33.75" customHeight="1">
      <c r="A20" s="746"/>
      <c r="B20" s="63" t="s">
        <v>655</v>
      </c>
      <c r="C20" s="64" t="s">
        <v>656</v>
      </c>
      <c r="D20" s="37" t="s">
        <v>631</v>
      </c>
      <c r="E20" s="65"/>
    </row>
    <row r="21" spans="1:5" ht="54.75" customHeight="1" thickBot="1">
      <c r="A21" s="747"/>
      <c r="B21" s="61" t="s">
        <v>657</v>
      </c>
      <c r="C21" s="62" t="s">
        <v>658</v>
      </c>
      <c r="D21" s="41" t="s">
        <v>631</v>
      </c>
      <c r="E21" s="42"/>
    </row>
    <row r="22" spans="1:5" ht="33.75" customHeight="1">
      <c r="A22" s="734" t="s">
        <v>659</v>
      </c>
      <c r="B22" s="59" t="s">
        <v>660</v>
      </c>
      <c r="C22" s="44" t="s">
        <v>661</v>
      </c>
      <c r="D22" s="45" t="s">
        <v>631</v>
      </c>
      <c r="E22" s="60"/>
    </row>
    <row r="23" spans="1:5" ht="25.5" customHeight="1" thickBot="1">
      <c r="A23" s="744"/>
      <c r="B23" s="39" t="s">
        <v>662</v>
      </c>
      <c r="C23" s="52" t="s">
        <v>663</v>
      </c>
      <c r="D23" s="41" t="s">
        <v>631</v>
      </c>
      <c r="E23" s="58"/>
    </row>
    <row r="24" spans="1:5" ht="30.6">
      <c r="A24" s="745" t="s">
        <v>664</v>
      </c>
      <c r="B24" s="59" t="s">
        <v>665</v>
      </c>
      <c r="C24" s="44" t="s">
        <v>666</v>
      </c>
      <c r="D24" s="45" t="s">
        <v>631</v>
      </c>
      <c r="E24" s="60"/>
    </row>
    <row r="25" spans="1:5" ht="45.75" customHeight="1">
      <c r="A25" s="746"/>
      <c r="B25" s="63" t="s">
        <v>667</v>
      </c>
      <c r="C25" s="48" t="s">
        <v>668</v>
      </c>
      <c r="D25" s="37" t="s">
        <v>646</v>
      </c>
      <c r="E25" s="65"/>
    </row>
    <row r="26" spans="1:5" ht="46.5" customHeight="1">
      <c r="A26" s="746"/>
      <c r="B26" s="66" t="s">
        <v>669</v>
      </c>
      <c r="C26" s="48" t="s">
        <v>670</v>
      </c>
      <c r="D26" s="37" t="s">
        <v>631</v>
      </c>
      <c r="E26" s="65"/>
    </row>
    <row r="27" spans="1:5" ht="20.399999999999999">
      <c r="A27" s="746"/>
      <c r="B27" s="66" t="s">
        <v>671</v>
      </c>
      <c r="C27" s="48" t="s">
        <v>672</v>
      </c>
      <c r="D27" s="37" t="s">
        <v>631</v>
      </c>
      <c r="E27" s="65"/>
    </row>
    <row r="28" spans="1:5" ht="21" thickBot="1">
      <c r="A28" s="747"/>
      <c r="B28" s="67" t="s">
        <v>673</v>
      </c>
      <c r="C28" s="52" t="s">
        <v>674</v>
      </c>
      <c r="D28" s="41" t="s">
        <v>631</v>
      </c>
      <c r="E28" s="58"/>
    </row>
    <row r="29" spans="1:5" ht="20.399999999999999">
      <c r="A29" s="734" t="s">
        <v>675</v>
      </c>
      <c r="B29" s="68" t="s">
        <v>676</v>
      </c>
      <c r="C29" s="44" t="s">
        <v>677</v>
      </c>
      <c r="D29" s="45" t="s">
        <v>631</v>
      </c>
      <c r="E29" s="60"/>
    </row>
    <row r="30" spans="1:5" ht="54.75" customHeight="1">
      <c r="A30" s="735"/>
      <c r="B30" s="66" t="s">
        <v>678</v>
      </c>
      <c r="C30" s="48" t="s">
        <v>679</v>
      </c>
      <c r="D30" s="37" t="s">
        <v>631</v>
      </c>
      <c r="E30" s="65"/>
    </row>
    <row r="31" spans="1:5" ht="31.2" thickBot="1">
      <c r="A31" s="736"/>
      <c r="B31" s="67" t="s">
        <v>680</v>
      </c>
      <c r="C31" s="52" t="s">
        <v>681</v>
      </c>
      <c r="D31" s="41" t="s">
        <v>631</v>
      </c>
      <c r="E31" s="58"/>
    </row>
    <row r="32" spans="1:5" ht="46.5" customHeight="1">
      <c r="A32" s="734" t="s">
        <v>682</v>
      </c>
      <c r="B32" s="68" t="s">
        <v>683</v>
      </c>
      <c r="C32" s="44" t="s">
        <v>684</v>
      </c>
      <c r="D32" s="45" t="s">
        <v>637</v>
      </c>
      <c r="E32" s="60"/>
    </row>
    <row r="33" spans="1:5" ht="66.75" customHeight="1">
      <c r="A33" s="735"/>
      <c r="B33" s="66" t="s">
        <v>685</v>
      </c>
      <c r="C33" s="48" t="s">
        <v>738</v>
      </c>
      <c r="D33" s="49" t="s">
        <v>637</v>
      </c>
      <c r="E33" s="65"/>
    </row>
    <row r="34" spans="1:5" ht="21" thickBot="1">
      <c r="A34" s="736"/>
      <c r="B34" s="67" t="s">
        <v>686</v>
      </c>
      <c r="C34" s="52" t="s">
        <v>687</v>
      </c>
      <c r="D34" s="69" t="s">
        <v>637</v>
      </c>
      <c r="E34" s="58"/>
    </row>
    <row r="35" spans="1:5" ht="33.75" customHeight="1" thickBot="1">
      <c r="A35" s="70" t="s">
        <v>739</v>
      </c>
      <c r="B35" s="71">
        <v>11</v>
      </c>
      <c r="C35" s="72" t="s">
        <v>688</v>
      </c>
      <c r="D35" s="73" t="s">
        <v>637</v>
      </c>
      <c r="E35" s="74"/>
    </row>
    <row r="36" spans="1:5" ht="54.75" customHeight="1" thickBot="1">
      <c r="A36" s="70" t="s">
        <v>740</v>
      </c>
      <c r="B36" s="71">
        <v>12</v>
      </c>
      <c r="C36" s="72" t="s">
        <v>689</v>
      </c>
      <c r="D36" s="73" t="s">
        <v>637</v>
      </c>
      <c r="E36" s="74"/>
    </row>
    <row r="37" spans="1:5" ht="41.4" thickBot="1">
      <c r="A37" s="70" t="s">
        <v>741</v>
      </c>
      <c r="B37" s="71">
        <v>13</v>
      </c>
      <c r="C37" s="72" t="s">
        <v>690</v>
      </c>
      <c r="D37" s="73" t="s">
        <v>637</v>
      </c>
      <c r="E37" s="74"/>
    </row>
    <row r="38" spans="1:5" ht="46.5" customHeight="1" thickBot="1">
      <c r="A38" s="70" t="s">
        <v>742</v>
      </c>
      <c r="B38" s="71">
        <v>14</v>
      </c>
      <c r="C38" s="72" t="s">
        <v>691</v>
      </c>
      <c r="D38" s="73" t="s">
        <v>692</v>
      </c>
      <c r="E38" s="74"/>
    </row>
    <row r="39" spans="1:5" ht="46.5" customHeight="1" thickBot="1">
      <c r="A39" s="75" t="s">
        <v>743</v>
      </c>
      <c r="B39" s="76">
        <v>15</v>
      </c>
      <c r="C39" s="62" t="s">
        <v>693</v>
      </c>
      <c r="D39" s="41" t="s">
        <v>692</v>
      </c>
      <c r="E39" s="42"/>
    </row>
    <row r="40" spans="1:5">
      <c r="A40" s="737" t="s">
        <v>744</v>
      </c>
      <c r="B40" s="738"/>
      <c r="C40" s="738"/>
      <c r="D40" s="738"/>
      <c r="E40" s="738"/>
    </row>
    <row r="41" spans="1:5">
      <c r="A41" s="77"/>
      <c r="B41" s="77"/>
      <c r="C41" s="77"/>
      <c r="D41" s="77"/>
      <c r="E41" s="77"/>
    </row>
    <row r="42" spans="1:5">
      <c r="A42" s="77"/>
      <c r="B42" s="77"/>
      <c r="C42" s="77"/>
      <c r="D42" s="77"/>
      <c r="E42" s="77"/>
    </row>
    <row r="43" spans="1:5">
      <c r="A43" s="77"/>
      <c r="B43" s="77"/>
      <c r="C43" s="77"/>
      <c r="D43" s="77"/>
      <c r="E43" s="77"/>
    </row>
    <row r="44" spans="1:5">
      <c r="A44" s="77"/>
      <c r="B44" s="77"/>
      <c r="C44" s="77"/>
      <c r="D44" s="77"/>
      <c r="E44" s="77"/>
    </row>
    <row r="45" spans="1:5">
      <c r="A45" s="77"/>
      <c r="B45" s="77"/>
      <c r="C45" s="77"/>
      <c r="D45" s="77"/>
      <c r="E45" s="77"/>
    </row>
    <row r="46" spans="1:5">
      <c r="A46" s="77"/>
      <c r="B46" s="77"/>
      <c r="C46" s="77"/>
      <c r="D46" s="77"/>
      <c r="E46" s="77"/>
    </row>
    <row r="47" spans="1:5">
      <c r="A47" s="77"/>
      <c r="B47" s="77"/>
      <c r="C47" s="77"/>
      <c r="D47" s="77"/>
      <c r="E47" s="77"/>
    </row>
    <row r="48" spans="1:5">
      <c r="A48" s="77"/>
      <c r="B48" s="77"/>
      <c r="C48" s="77"/>
      <c r="D48" s="77"/>
      <c r="E48" s="77"/>
    </row>
    <row r="49" spans="1:5">
      <c r="A49" s="77"/>
      <c r="B49" s="77"/>
      <c r="C49" s="77"/>
      <c r="D49" s="77"/>
      <c r="E49" s="77"/>
    </row>
    <row r="50" spans="1:5">
      <c r="A50" s="77"/>
      <c r="B50" s="77"/>
      <c r="C50" s="77"/>
      <c r="D50" s="77"/>
      <c r="E50" s="77"/>
    </row>
    <row r="51" spans="1:5">
      <c r="A51" s="77"/>
      <c r="B51" s="77"/>
      <c r="C51" s="77"/>
      <c r="D51" s="77"/>
      <c r="E51" s="77"/>
    </row>
    <row r="52" spans="1:5">
      <c r="A52" s="77"/>
      <c r="B52" s="77"/>
      <c r="C52" s="77"/>
      <c r="D52" s="77"/>
      <c r="E52" s="77"/>
    </row>
    <row r="53" spans="1:5">
      <c r="A53" s="77"/>
      <c r="B53" s="77"/>
      <c r="C53" s="77"/>
      <c r="D53" s="77"/>
      <c r="E53" s="77"/>
    </row>
    <row r="54" spans="1:5">
      <c r="A54" s="77"/>
      <c r="B54" s="77"/>
      <c r="C54" s="77"/>
      <c r="D54" s="77"/>
      <c r="E54" s="77"/>
    </row>
    <row r="55" spans="1:5">
      <c r="A55" s="77"/>
      <c r="B55" s="77"/>
      <c r="C55" s="77"/>
      <c r="D55" s="77"/>
      <c r="E55" s="77"/>
    </row>
    <row r="56" spans="1:5">
      <c r="A56" s="77"/>
      <c r="B56" s="77"/>
      <c r="C56" s="77"/>
      <c r="D56" s="77"/>
      <c r="E56" s="77"/>
    </row>
    <row r="57" spans="1:5">
      <c r="A57" s="77"/>
      <c r="B57" s="77"/>
      <c r="C57" s="77"/>
      <c r="D57" s="77"/>
      <c r="E57" s="77"/>
    </row>
    <row r="58" spans="1:5">
      <c r="A58" s="77"/>
      <c r="B58" s="77"/>
      <c r="C58" s="77"/>
      <c r="D58" s="77"/>
      <c r="E58" s="77"/>
    </row>
    <row r="59" spans="1:5">
      <c r="A59" s="77"/>
      <c r="B59" s="77"/>
      <c r="C59" s="77"/>
      <c r="D59" s="77"/>
      <c r="E59" s="77"/>
    </row>
    <row r="60" spans="1:5">
      <c r="A60" s="77"/>
      <c r="B60" s="77"/>
      <c r="C60" s="77"/>
      <c r="D60" s="77"/>
      <c r="E60" s="77"/>
    </row>
    <row r="61" spans="1:5">
      <c r="A61" s="77"/>
      <c r="B61" s="77"/>
      <c r="C61" s="77"/>
      <c r="D61" s="77"/>
      <c r="E61" s="77"/>
    </row>
    <row r="62" spans="1:5">
      <c r="A62" s="77"/>
      <c r="B62" s="77"/>
      <c r="C62" s="77"/>
      <c r="D62" s="77"/>
      <c r="E62" s="77"/>
    </row>
    <row r="63" spans="1:5">
      <c r="A63" s="77"/>
      <c r="B63" s="77"/>
      <c r="C63" s="77"/>
      <c r="D63" s="77"/>
      <c r="E63" s="77"/>
    </row>
    <row r="64" spans="1:5">
      <c r="A64" s="77"/>
      <c r="B64" s="77"/>
      <c r="C64" s="77"/>
      <c r="D64" s="77"/>
      <c r="E64" s="77"/>
    </row>
    <row r="65" spans="1:5">
      <c r="A65" s="77"/>
      <c r="B65" s="77"/>
      <c r="C65" s="77"/>
      <c r="D65" s="77"/>
      <c r="E65" s="77"/>
    </row>
    <row r="66" spans="1:5">
      <c r="A66" s="77"/>
      <c r="B66" s="77"/>
      <c r="C66" s="77"/>
      <c r="D66" s="77"/>
      <c r="E66" s="77"/>
    </row>
    <row r="67" spans="1:5">
      <c r="A67" s="77"/>
      <c r="B67" s="77"/>
      <c r="C67" s="77"/>
      <c r="D67" s="77"/>
      <c r="E67" s="77"/>
    </row>
    <row r="68" spans="1:5">
      <c r="A68" s="77"/>
      <c r="B68" s="77"/>
      <c r="C68" s="77"/>
      <c r="D68" s="77"/>
      <c r="E68" s="77"/>
    </row>
    <row r="69" spans="1:5">
      <c r="A69" s="77"/>
      <c r="B69" s="77"/>
      <c r="C69" s="77"/>
      <c r="D69" s="77"/>
      <c r="E69" s="77"/>
    </row>
    <row r="70" spans="1:5">
      <c r="A70" s="77"/>
      <c r="B70" s="77"/>
      <c r="C70" s="77"/>
      <c r="D70" s="77"/>
      <c r="E70" s="77"/>
    </row>
    <row r="71" spans="1:5">
      <c r="A71" s="77"/>
      <c r="B71" s="77"/>
      <c r="C71" s="77"/>
      <c r="D71" s="77"/>
      <c r="E71" s="77"/>
    </row>
    <row r="72" spans="1:5">
      <c r="A72" s="77"/>
      <c r="B72" s="77"/>
      <c r="C72" s="77"/>
      <c r="D72" s="77"/>
      <c r="E72" s="77"/>
    </row>
    <row r="73" spans="1:5">
      <c r="A73" s="77"/>
      <c r="B73" s="77"/>
      <c r="C73" s="77"/>
      <c r="D73" s="77"/>
      <c r="E73" s="77"/>
    </row>
    <row r="74" spans="1:5">
      <c r="A74" s="77"/>
      <c r="B74" s="77"/>
      <c r="C74" s="77"/>
      <c r="D74" s="77"/>
      <c r="E74" s="77"/>
    </row>
    <row r="75" spans="1:5">
      <c r="A75" s="77"/>
      <c r="B75" s="77"/>
      <c r="C75" s="77"/>
      <c r="D75" s="77"/>
      <c r="E75" s="77"/>
    </row>
    <row r="76" spans="1:5">
      <c r="A76" s="77"/>
      <c r="B76" s="77"/>
      <c r="C76" s="77"/>
      <c r="D76" s="77"/>
      <c r="E76" s="77"/>
    </row>
    <row r="77" spans="1:5">
      <c r="A77" s="77"/>
      <c r="B77" s="77"/>
      <c r="C77" s="77"/>
      <c r="D77" s="77"/>
      <c r="E77" s="77"/>
    </row>
    <row r="78" spans="1:5">
      <c r="A78" s="77"/>
      <c r="B78" s="77"/>
      <c r="C78" s="77"/>
      <c r="D78" s="77"/>
      <c r="E78" s="77"/>
    </row>
    <row r="79" spans="1:5">
      <c r="A79" s="77"/>
      <c r="B79" s="77"/>
      <c r="C79" s="77"/>
      <c r="D79" s="77"/>
      <c r="E79" s="77"/>
    </row>
    <row r="80" spans="1:5">
      <c r="A80" s="77"/>
      <c r="B80" s="77"/>
      <c r="C80" s="77"/>
      <c r="D80" s="77"/>
      <c r="E80" s="77"/>
    </row>
    <row r="81" spans="1:5">
      <c r="A81" s="77"/>
      <c r="B81" s="77"/>
      <c r="C81" s="77"/>
      <c r="D81" s="77"/>
      <c r="E81" s="77"/>
    </row>
    <row r="82" spans="1:5">
      <c r="A82" s="77"/>
      <c r="B82" s="77"/>
      <c r="C82" s="77"/>
      <c r="D82" s="77"/>
      <c r="E82" s="77"/>
    </row>
    <row r="83" spans="1:5">
      <c r="A83" s="77"/>
      <c r="B83" s="77"/>
      <c r="C83" s="77"/>
      <c r="D83" s="77"/>
      <c r="E83" s="77"/>
    </row>
    <row r="84" spans="1:5">
      <c r="A84" s="77"/>
      <c r="B84" s="77"/>
      <c r="C84" s="77"/>
      <c r="D84" s="77"/>
      <c r="E84" s="77"/>
    </row>
    <row r="85" spans="1:5">
      <c r="A85" s="77"/>
      <c r="B85" s="77"/>
      <c r="C85" s="77"/>
      <c r="D85" s="77"/>
      <c r="E85" s="77"/>
    </row>
    <row r="86" spans="1:5">
      <c r="A86" s="77"/>
      <c r="B86" s="77"/>
      <c r="C86" s="77"/>
      <c r="D86" s="77"/>
      <c r="E86" s="77"/>
    </row>
    <row r="87" spans="1:5">
      <c r="A87" s="77"/>
      <c r="B87" s="77"/>
      <c r="C87" s="77"/>
      <c r="D87" s="77"/>
      <c r="E87" s="77"/>
    </row>
    <row r="88" spans="1:5">
      <c r="A88" s="77"/>
      <c r="B88" s="77"/>
      <c r="C88" s="77"/>
      <c r="D88" s="77"/>
      <c r="E88" s="77"/>
    </row>
    <row r="89" spans="1:5">
      <c r="A89" s="77"/>
      <c r="B89" s="77"/>
      <c r="C89" s="77"/>
      <c r="D89" s="77"/>
      <c r="E89" s="77"/>
    </row>
    <row r="90" spans="1:5">
      <c r="A90" s="77"/>
      <c r="B90" s="77"/>
      <c r="C90" s="77"/>
      <c r="D90" s="77"/>
      <c r="E90" s="77"/>
    </row>
    <row r="91" spans="1:5">
      <c r="A91" s="77"/>
      <c r="B91" s="77"/>
      <c r="C91" s="77"/>
      <c r="D91" s="77"/>
      <c r="E91" s="77"/>
    </row>
    <row r="92" spans="1:5">
      <c r="A92" s="77"/>
      <c r="B92" s="77"/>
      <c r="C92" s="77"/>
      <c r="D92" s="77"/>
      <c r="E92" s="77"/>
    </row>
    <row r="93" spans="1:5">
      <c r="A93" s="77"/>
      <c r="B93" s="77"/>
      <c r="C93" s="77"/>
      <c r="D93" s="77"/>
      <c r="E93" s="77"/>
    </row>
    <row r="94" spans="1:5">
      <c r="A94" s="77"/>
      <c r="B94" s="77"/>
      <c r="C94" s="77"/>
      <c r="D94" s="77"/>
      <c r="E94" s="77"/>
    </row>
    <row r="95" spans="1:5">
      <c r="A95" s="77"/>
      <c r="B95" s="77"/>
      <c r="C95" s="77"/>
      <c r="D95" s="77"/>
      <c r="E95" s="77"/>
    </row>
    <row r="96" spans="1:5">
      <c r="A96" s="77"/>
      <c r="B96" s="77"/>
      <c r="C96" s="77"/>
      <c r="D96" s="77"/>
      <c r="E96" s="77"/>
    </row>
    <row r="97" spans="1:5">
      <c r="A97" s="77"/>
      <c r="B97" s="77"/>
      <c r="C97" s="77"/>
      <c r="D97" s="77"/>
      <c r="E97" s="77"/>
    </row>
    <row r="98" spans="1:5">
      <c r="A98" s="77"/>
      <c r="B98" s="77"/>
      <c r="C98" s="77"/>
      <c r="D98" s="77"/>
      <c r="E98" s="77"/>
    </row>
    <row r="99" spans="1:5">
      <c r="A99" s="77"/>
      <c r="B99" s="77"/>
      <c r="C99" s="77"/>
      <c r="D99" s="77"/>
      <c r="E99" s="77"/>
    </row>
    <row r="100" spans="1:5">
      <c r="A100" s="77"/>
      <c r="B100" s="77"/>
      <c r="C100" s="77"/>
      <c r="D100" s="77"/>
      <c r="E100" s="77"/>
    </row>
    <row r="101" spans="1:5">
      <c r="A101" s="77"/>
      <c r="B101" s="77"/>
      <c r="C101" s="77"/>
      <c r="D101" s="77"/>
      <c r="E101" s="77"/>
    </row>
    <row r="102" spans="1:5">
      <c r="A102" s="77"/>
      <c r="B102" s="77"/>
      <c r="C102" s="77"/>
      <c r="D102" s="77"/>
      <c r="E102" s="77"/>
    </row>
    <row r="103" spans="1:5">
      <c r="A103" s="77"/>
      <c r="B103" s="77"/>
      <c r="C103" s="77"/>
      <c r="D103" s="77"/>
      <c r="E103" s="77"/>
    </row>
    <row r="104" spans="1:5">
      <c r="A104" s="77"/>
      <c r="B104" s="77"/>
      <c r="C104" s="77"/>
      <c r="D104" s="77"/>
      <c r="E104" s="77"/>
    </row>
    <row r="105" spans="1:5">
      <c r="A105" s="77"/>
      <c r="B105" s="77"/>
      <c r="C105" s="77"/>
      <c r="D105" s="77"/>
      <c r="E105" s="77"/>
    </row>
    <row r="106" spans="1:5">
      <c r="A106" s="77"/>
      <c r="B106" s="77"/>
      <c r="C106" s="77"/>
      <c r="D106" s="77"/>
      <c r="E106" s="77"/>
    </row>
    <row r="107" spans="1:5">
      <c r="A107" s="77"/>
      <c r="B107" s="77"/>
      <c r="C107" s="77"/>
      <c r="D107" s="77"/>
      <c r="E107" s="77"/>
    </row>
    <row r="108" spans="1:5">
      <c r="A108" s="77"/>
      <c r="B108" s="77"/>
      <c r="C108" s="77"/>
      <c r="D108" s="77"/>
      <c r="E108" s="77"/>
    </row>
    <row r="109" spans="1:5">
      <c r="A109" s="77"/>
      <c r="B109" s="77"/>
      <c r="C109" s="77"/>
      <c r="D109" s="77"/>
      <c r="E109" s="77"/>
    </row>
    <row r="110" spans="1:5">
      <c r="A110" s="77"/>
      <c r="B110" s="77"/>
      <c r="C110" s="77"/>
      <c r="D110" s="77"/>
      <c r="E110" s="77"/>
    </row>
    <row r="111" spans="1:5">
      <c r="A111" s="77"/>
      <c r="B111" s="77"/>
      <c r="C111" s="77"/>
      <c r="D111" s="77"/>
      <c r="E111" s="77"/>
    </row>
    <row r="112" spans="1:5">
      <c r="A112" s="77"/>
      <c r="B112" s="77"/>
      <c r="C112" s="77"/>
      <c r="D112" s="77"/>
      <c r="E112" s="77"/>
    </row>
    <row r="113" spans="1:5">
      <c r="A113" s="77"/>
      <c r="B113" s="77"/>
      <c r="C113" s="77"/>
      <c r="D113" s="77"/>
      <c r="E113" s="77"/>
    </row>
    <row r="114" spans="1:5">
      <c r="A114" s="77"/>
      <c r="B114" s="77"/>
      <c r="C114" s="77"/>
      <c r="D114" s="77"/>
      <c r="E114" s="77"/>
    </row>
    <row r="115" spans="1:5">
      <c r="A115" s="77"/>
      <c r="B115" s="77"/>
      <c r="C115" s="77"/>
      <c r="D115" s="77"/>
      <c r="E115" s="77"/>
    </row>
    <row r="116" spans="1:5">
      <c r="A116" s="77"/>
      <c r="B116" s="77"/>
      <c r="C116" s="77"/>
      <c r="D116" s="77"/>
      <c r="E116" s="77"/>
    </row>
    <row r="117" spans="1:5">
      <c r="A117" s="77"/>
      <c r="B117" s="77"/>
      <c r="C117" s="77"/>
      <c r="D117" s="77"/>
      <c r="E117" s="77"/>
    </row>
    <row r="118" spans="1:5">
      <c r="A118" s="77"/>
      <c r="B118" s="77"/>
      <c r="C118" s="77"/>
      <c r="D118" s="77"/>
      <c r="E118" s="77"/>
    </row>
    <row r="119" spans="1:5">
      <c r="A119" s="77"/>
      <c r="B119" s="77"/>
      <c r="C119" s="77"/>
      <c r="D119" s="77"/>
      <c r="E119" s="77"/>
    </row>
    <row r="120" spans="1:5">
      <c r="A120" s="77"/>
      <c r="B120" s="77"/>
      <c r="C120" s="77"/>
      <c r="D120" s="77"/>
      <c r="E120" s="77"/>
    </row>
    <row r="121" spans="1:5">
      <c r="A121" s="77"/>
      <c r="B121" s="77"/>
      <c r="C121" s="77"/>
      <c r="D121" s="77"/>
      <c r="E121" s="77"/>
    </row>
    <row r="122" spans="1:5">
      <c r="A122" s="77"/>
      <c r="B122" s="77"/>
      <c r="C122" s="77"/>
      <c r="D122" s="77"/>
      <c r="E122" s="77"/>
    </row>
    <row r="123" spans="1:5">
      <c r="A123" s="77"/>
      <c r="B123" s="77"/>
      <c r="C123" s="77"/>
      <c r="D123" s="77"/>
      <c r="E123" s="77"/>
    </row>
    <row r="124" spans="1:5">
      <c r="A124" s="77"/>
      <c r="B124" s="77"/>
      <c r="C124" s="77"/>
      <c r="D124" s="77"/>
      <c r="E124" s="77"/>
    </row>
    <row r="125" spans="1:5">
      <c r="A125" s="77"/>
      <c r="B125" s="77"/>
      <c r="C125" s="77"/>
      <c r="D125" s="77"/>
      <c r="E125" s="77"/>
    </row>
    <row r="126" spans="1:5">
      <c r="A126" s="77"/>
      <c r="B126" s="77"/>
      <c r="C126" s="77"/>
      <c r="D126" s="77"/>
      <c r="E126" s="77"/>
    </row>
    <row r="127" spans="1:5">
      <c r="A127" s="77"/>
      <c r="B127" s="77"/>
      <c r="C127" s="77"/>
      <c r="D127" s="77"/>
      <c r="E127" s="77"/>
    </row>
    <row r="128" spans="1:5">
      <c r="A128" s="77"/>
      <c r="B128" s="77"/>
      <c r="C128" s="77"/>
      <c r="D128" s="77"/>
      <c r="E128" s="77"/>
    </row>
    <row r="129" spans="1:5">
      <c r="A129" s="77"/>
      <c r="B129" s="77"/>
      <c r="C129" s="77"/>
      <c r="D129" s="77"/>
      <c r="E129" s="77"/>
    </row>
    <row r="130" spans="1:5">
      <c r="A130" s="77"/>
      <c r="B130" s="77"/>
      <c r="C130" s="77"/>
      <c r="D130" s="77"/>
      <c r="E130" s="77"/>
    </row>
    <row r="131" spans="1:5">
      <c r="A131" s="77"/>
      <c r="B131" s="77"/>
      <c r="C131" s="77"/>
      <c r="D131" s="77"/>
      <c r="E131" s="77"/>
    </row>
    <row r="132" spans="1:5">
      <c r="A132" s="77"/>
      <c r="B132" s="77"/>
      <c r="C132" s="77"/>
      <c r="D132" s="77"/>
      <c r="E132" s="77"/>
    </row>
    <row r="133" spans="1:5">
      <c r="A133" s="77"/>
      <c r="B133" s="77"/>
      <c r="C133" s="77"/>
      <c r="D133" s="77"/>
      <c r="E133" s="77"/>
    </row>
    <row r="134" spans="1:5">
      <c r="A134" s="77"/>
      <c r="B134" s="77"/>
      <c r="C134" s="77"/>
      <c r="D134" s="77"/>
      <c r="E134" s="77"/>
    </row>
    <row r="135" spans="1:5">
      <c r="A135" s="77"/>
      <c r="B135" s="77"/>
      <c r="C135" s="77"/>
      <c r="D135" s="77"/>
      <c r="E135" s="77"/>
    </row>
    <row r="136" spans="1:5">
      <c r="A136" s="77"/>
      <c r="B136" s="77"/>
      <c r="C136" s="77"/>
      <c r="D136" s="77"/>
      <c r="E136" s="77"/>
    </row>
    <row r="137" spans="1:5">
      <c r="A137" s="77"/>
      <c r="B137" s="77"/>
      <c r="C137" s="77"/>
      <c r="D137" s="77"/>
      <c r="E137" s="77"/>
    </row>
    <row r="138" spans="1:5">
      <c r="A138" s="77"/>
      <c r="B138" s="77"/>
      <c r="C138" s="77"/>
      <c r="D138" s="77"/>
      <c r="E138" s="77"/>
    </row>
    <row r="139" spans="1:5">
      <c r="A139" s="77"/>
      <c r="B139" s="77"/>
      <c r="C139" s="77"/>
      <c r="D139" s="77"/>
      <c r="E139" s="77"/>
    </row>
  </sheetData>
  <customSheetViews>
    <customSheetView guid="{F38AF2A4-EC1D-460A-B405-E4A69D902BA6}" scale="125" showPageBreaks="1" showGridLines="0" printArea="1">
      <selection activeCell="B3" sqref="B3:E3"/>
      <rowBreaks count="1" manualBreakCount="1">
        <brk id="23" max="4" man="1"/>
      </rowBreaks>
      <pageMargins left="0.5" right="0.64" top="0.75" bottom="0.5" header="0.25" footer="0.5"/>
      <printOptions horizontalCentered="1"/>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customSheetView>
  </customSheetViews>
  <mergeCells count="15">
    <mergeCell ref="A10:A11"/>
    <mergeCell ref="A1:E1"/>
    <mergeCell ref="B3:E3"/>
    <mergeCell ref="B4:C4"/>
    <mergeCell ref="B6:C6"/>
    <mergeCell ref="B7:C7"/>
    <mergeCell ref="A29:A31"/>
    <mergeCell ref="A32:A34"/>
    <mergeCell ref="A40:E40"/>
    <mergeCell ref="A12:A14"/>
    <mergeCell ref="A15:A16"/>
    <mergeCell ref="A17:A18"/>
    <mergeCell ref="A19:A21"/>
    <mergeCell ref="A22:A23"/>
    <mergeCell ref="A24:A28"/>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xr:uid="{00000000-0002-0000-0200-000000000000}"/>
  </dataValidations>
  <printOptions horizontalCentered="1"/>
  <pageMargins left="0.5" right="0.64" top="0.75" bottom="0.5" header="0.25" footer="0.5"/>
  <pageSetup fitToHeight="3" orientation="portrait" r:id="rId2"/>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3"/>
  <legacyDrawing r:id="rId4"/>
  <mc:AlternateContent xmlns:mc="http://schemas.openxmlformats.org/markup-compatibility/2006">
    <mc:Choice Requires="x14">
      <controls>
        <mc:AlternateContent xmlns:mc="http://schemas.openxmlformats.org/markup-compatibility/2006">
          <mc:Choice Requires="x14">
            <control shapeId="20481" r:id="rId5" name="Check Box 1">
              <controlPr defaultSize="0" autoFill="0" autoLine="0" autoPict="0">
                <anchor moveWithCells="1" sizeWithCells="1">
                  <from>
                    <xdr:col>4</xdr:col>
                    <xdr:colOff>0</xdr:colOff>
                    <xdr:row>9</xdr:row>
                    <xdr:rowOff>15240</xdr:rowOff>
                  </from>
                  <to>
                    <xdr:col>4</xdr:col>
                    <xdr:colOff>365760</xdr:colOff>
                    <xdr:row>9</xdr:row>
                    <xdr:rowOff>411480</xdr:rowOff>
                  </to>
                </anchor>
              </controlPr>
            </control>
          </mc:Choice>
        </mc:AlternateContent>
        <mc:AlternateContent xmlns:mc="http://schemas.openxmlformats.org/markup-compatibility/2006">
          <mc:Choice Requires="x14">
            <control shapeId="20482" r:id="rId6" name="Check Box 2">
              <controlPr defaultSize="0" autoFill="0" autoLine="0" autoPict="0">
                <anchor moveWithCells="1" sizeWithCells="1">
                  <from>
                    <xdr:col>4</xdr:col>
                    <xdr:colOff>335280</xdr:colOff>
                    <xdr:row>9</xdr:row>
                    <xdr:rowOff>15240</xdr:rowOff>
                  </from>
                  <to>
                    <xdr:col>4</xdr:col>
                    <xdr:colOff>693420</xdr:colOff>
                    <xdr:row>9</xdr:row>
                    <xdr:rowOff>411480</xdr:rowOff>
                  </to>
                </anchor>
              </controlPr>
            </control>
          </mc:Choice>
        </mc:AlternateContent>
        <mc:AlternateContent xmlns:mc="http://schemas.openxmlformats.org/markup-compatibility/2006">
          <mc:Choice Requires="x14">
            <control shapeId="20483" r:id="rId7" name="Check Box 3">
              <controlPr defaultSize="0" autoFill="0" autoLine="0" autoPict="0">
                <anchor moveWithCells="1" sizeWithCells="1">
                  <from>
                    <xdr:col>4</xdr:col>
                    <xdr:colOff>640080</xdr:colOff>
                    <xdr:row>9</xdr:row>
                    <xdr:rowOff>15240</xdr:rowOff>
                  </from>
                  <to>
                    <xdr:col>4</xdr:col>
                    <xdr:colOff>967740</xdr:colOff>
                    <xdr:row>9</xdr:row>
                    <xdr:rowOff>411480</xdr:rowOff>
                  </to>
                </anchor>
              </controlPr>
            </control>
          </mc:Choice>
        </mc:AlternateContent>
        <mc:AlternateContent xmlns:mc="http://schemas.openxmlformats.org/markup-compatibility/2006">
          <mc:Choice Requires="x14">
            <control shapeId="20484" r:id="rId8" name="Check Box 4">
              <controlPr defaultSize="0" autoFill="0" autoLine="0" autoPict="0">
                <anchor moveWithCells="1" sizeWithCells="1">
                  <from>
                    <xdr:col>4</xdr:col>
                    <xdr:colOff>0</xdr:colOff>
                    <xdr:row>10</xdr:row>
                    <xdr:rowOff>15240</xdr:rowOff>
                  </from>
                  <to>
                    <xdr:col>4</xdr:col>
                    <xdr:colOff>365760</xdr:colOff>
                    <xdr:row>11</xdr:row>
                    <xdr:rowOff>0</xdr:rowOff>
                  </to>
                </anchor>
              </controlPr>
            </control>
          </mc:Choice>
        </mc:AlternateContent>
        <mc:AlternateContent xmlns:mc="http://schemas.openxmlformats.org/markup-compatibility/2006">
          <mc:Choice Requires="x14">
            <control shapeId="20485" r:id="rId9" name="Check Box 5">
              <controlPr defaultSize="0" autoFill="0" autoLine="0" autoPict="0">
                <anchor moveWithCells="1" sizeWithCells="1">
                  <from>
                    <xdr:col>4</xdr:col>
                    <xdr:colOff>335280</xdr:colOff>
                    <xdr:row>10</xdr:row>
                    <xdr:rowOff>15240</xdr:rowOff>
                  </from>
                  <to>
                    <xdr:col>4</xdr:col>
                    <xdr:colOff>693420</xdr:colOff>
                    <xdr:row>11</xdr:row>
                    <xdr:rowOff>0</xdr:rowOff>
                  </to>
                </anchor>
              </controlPr>
            </control>
          </mc:Choice>
        </mc:AlternateContent>
        <mc:AlternateContent xmlns:mc="http://schemas.openxmlformats.org/markup-compatibility/2006">
          <mc:Choice Requires="x14">
            <control shapeId="20486" r:id="rId10" name="Check Box 6">
              <controlPr defaultSize="0" autoFill="0" autoLine="0" autoPict="0">
                <anchor moveWithCells="1" sizeWithCells="1">
                  <from>
                    <xdr:col>4</xdr:col>
                    <xdr:colOff>640080</xdr:colOff>
                    <xdr:row>10</xdr:row>
                    <xdr:rowOff>15240</xdr:rowOff>
                  </from>
                  <to>
                    <xdr:col>4</xdr:col>
                    <xdr:colOff>967740</xdr:colOff>
                    <xdr:row>11</xdr:row>
                    <xdr:rowOff>0</xdr:rowOff>
                  </to>
                </anchor>
              </controlPr>
            </control>
          </mc:Choice>
        </mc:AlternateContent>
        <mc:AlternateContent xmlns:mc="http://schemas.openxmlformats.org/markup-compatibility/2006">
          <mc:Choice Requires="x14">
            <control shapeId="20487" r:id="rId11" name="Check Box 7">
              <controlPr defaultSize="0" autoFill="0" autoLine="0" autoPict="0">
                <anchor moveWithCells="1" sizeWithCells="1">
                  <from>
                    <xdr:col>4</xdr:col>
                    <xdr:colOff>0</xdr:colOff>
                    <xdr:row>11</xdr:row>
                    <xdr:rowOff>15240</xdr:rowOff>
                  </from>
                  <to>
                    <xdr:col>4</xdr:col>
                    <xdr:colOff>365760</xdr:colOff>
                    <xdr:row>12</xdr:row>
                    <xdr:rowOff>0</xdr:rowOff>
                  </to>
                </anchor>
              </controlPr>
            </control>
          </mc:Choice>
        </mc:AlternateContent>
        <mc:AlternateContent xmlns:mc="http://schemas.openxmlformats.org/markup-compatibility/2006">
          <mc:Choice Requires="x14">
            <control shapeId="20488" r:id="rId12" name="Check Box 8">
              <controlPr defaultSize="0" autoFill="0" autoLine="0" autoPict="0">
                <anchor moveWithCells="1" sizeWithCells="1">
                  <from>
                    <xdr:col>4</xdr:col>
                    <xdr:colOff>335280</xdr:colOff>
                    <xdr:row>11</xdr:row>
                    <xdr:rowOff>15240</xdr:rowOff>
                  </from>
                  <to>
                    <xdr:col>4</xdr:col>
                    <xdr:colOff>693420</xdr:colOff>
                    <xdr:row>12</xdr:row>
                    <xdr:rowOff>0</xdr:rowOff>
                  </to>
                </anchor>
              </controlPr>
            </control>
          </mc:Choice>
        </mc:AlternateContent>
        <mc:AlternateContent xmlns:mc="http://schemas.openxmlformats.org/markup-compatibility/2006">
          <mc:Choice Requires="x14">
            <control shapeId="20489" r:id="rId13" name="Check Box 9">
              <controlPr defaultSize="0" autoFill="0" autoLine="0" autoPict="0">
                <anchor moveWithCells="1" sizeWithCells="1">
                  <from>
                    <xdr:col>4</xdr:col>
                    <xdr:colOff>640080</xdr:colOff>
                    <xdr:row>11</xdr:row>
                    <xdr:rowOff>15240</xdr:rowOff>
                  </from>
                  <to>
                    <xdr:col>4</xdr:col>
                    <xdr:colOff>967740</xdr:colOff>
                    <xdr:row>12</xdr:row>
                    <xdr:rowOff>0</xdr:rowOff>
                  </to>
                </anchor>
              </controlPr>
            </control>
          </mc:Choice>
        </mc:AlternateContent>
        <mc:AlternateContent xmlns:mc="http://schemas.openxmlformats.org/markup-compatibility/2006">
          <mc:Choice Requires="x14">
            <control shapeId="20490" r:id="rId14" name="Check Box 10">
              <controlPr defaultSize="0" autoFill="0" autoLine="0" autoPict="0">
                <anchor moveWithCells="1" sizeWithCells="1">
                  <from>
                    <xdr:col>4</xdr:col>
                    <xdr:colOff>0</xdr:colOff>
                    <xdr:row>12</xdr:row>
                    <xdr:rowOff>15240</xdr:rowOff>
                  </from>
                  <to>
                    <xdr:col>4</xdr:col>
                    <xdr:colOff>365760</xdr:colOff>
                    <xdr:row>13</xdr:row>
                    <xdr:rowOff>0</xdr:rowOff>
                  </to>
                </anchor>
              </controlPr>
            </control>
          </mc:Choice>
        </mc:AlternateContent>
        <mc:AlternateContent xmlns:mc="http://schemas.openxmlformats.org/markup-compatibility/2006">
          <mc:Choice Requires="x14">
            <control shapeId="20491" r:id="rId15" name="Check Box 11">
              <controlPr defaultSize="0" autoFill="0" autoLine="0" autoPict="0">
                <anchor moveWithCells="1" sizeWithCells="1">
                  <from>
                    <xdr:col>4</xdr:col>
                    <xdr:colOff>335280</xdr:colOff>
                    <xdr:row>12</xdr:row>
                    <xdr:rowOff>15240</xdr:rowOff>
                  </from>
                  <to>
                    <xdr:col>4</xdr:col>
                    <xdr:colOff>693420</xdr:colOff>
                    <xdr:row>13</xdr:row>
                    <xdr:rowOff>0</xdr:rowOff>
                  </to>
                </anchor>
              </controlPr>
            </control>
          </mc:Choice>
        </mc:AlternateContent>
        <mc:AlternateContent xmlns:mc="http://schemas.openxmlformats.org/markup-compatibility/2006">
          <mc:Choice Requires="x14">
            <control shapeId="20492" r:id="rId16" name="Check Box 12">
              <controlPr defaultSize="0" autoFill="0" autoLine="0" autoPict="0">
                <anchor moveWithCells="1" sizeWithCells="1">
                  <from>
                    <xdr:col>4</xdr:col>
                    <xdr:colOff>640080</xdr:colOff>
                    <xdr:row>12</xdr:row>
                    <xdr:rowOff>15240</xdr:rowOff>
                  </from>
                  <to>
                    <xdr:col>4</xdr:col>
                    <xdr:colOff>967740</xdr:colOff>
                    <xdr:row>13</xdr:row>
                    <xdr:rowOff>0</xdr:rowOff>
                  </to>
                </anchor>
              </controlPr>
            </control>
          </mc:Choice>
        </mc:AlternateContent>
        <mc:AlternateContent xmlns:mc="http://schemas.openxmlformats.org/markup-compatibility/2006">
          <mc:Choice Requires="x14">
            <control shapeId="20493" r:id="rId17" name="Check Box 13">
              <controlPr defaultSize="0" autoFill="0" autoLine="0" autoPict="0">
                <anchor moveWithCells="1" sizeWithCells="1">
                  <from>
                    <xdr:col>4</xdr:col>
                    <xdr:colOff>0</xdr:colOff>
                    <xdr:row>13</xdr:row>
                    <xdr:rowOff>15240</xdr:rowOff>
                  </from>
                  <to>
                    <xdr:col>4</xdr:col>
                    <xdr:colOff>365760</xdr:colOff>
                    <xdr:row>14</xdr:row>
                    <xdr:rowOff>0</xdr:rowOff>
                  </to>
                </anchor>
              </controlPr>
            </control>
          </mc:Choice>
        </mc:AlternateContent>
        <mc:AlternateContent xmlns:mc="http://schemas.openxmlformats.org/markup-compatibility/2006">
          <mc:Choice Requires="x14">
            <control shapeId="20494" r:id="rId18" name="Check Box 14">
              <controlPr defaultSize="0" autoFill="0" autoLine="0" autoPict="0">
                <anchor moveWithCells="1" sizeWithCells="1">
                  <from>
                    <xdr:col>4</xdr:col>
                    <xdr:colOff>335280</xdr:colOff>
                    <xdr:row>13</xdr:row>
                    <xdr:rowOff>15240</xdr:rowOff>
                  </from>
                  <to>
                    <xdr:col>4</xdr:col>
                    <xdr:colOff>693420</xdr:colOff>
                    <xdr:row>14</xdr:row>
                    <xdr:rowOff>0</xdr:rowOff>
                  </to>
                </anchor>
              </controlPr>
            </control>
          </mc:Choice>
        </mc:AlternateContent>
        <mc:AlternateContent xmlns:mc="http://schemas.openxmlformats.org/markup-compatibility/2006">
          <mc:Choice Requires="x14">
            <control shapeId="20495" r:id="rId19" name="Check Box 15">
              <controlPr defaultSize="0" autoFill="0" autoLine="0" autoPict="0">
                <anchor moveWithCells="1" sizeWithCells="1">
                  <from>
                    <xdr:col>4</xdr:col>
                    <xdr:colOff>640080</xdr:colOff>
                    <xdr:row>13</xdr:row>
                    <xdr:rowOff>15240</xdr:rowOff>
                  </from>
                  <to>
                    <xdr:col>4</xdr:col>
                    <xdr:colOff>967740</xdr:colOff>
                    <xdr:row>14</xdr:row>
                    <xdr:rowOff>0</xdr:rowOff>
                  </to>
                </anchor>
              </controlPr>
            </control>
          </mc:Choice>
        </mc:AlternateContent>
        <mc:AlternateContent xmlns:mc="http://schemas.openxmlformats.org/markup-compatibility/2006">
          <mc:Choice Requires="x14">
            <control shapeId="20496" r:id="rId20" name="Check Box 16">
              <controlPr defaultSize="0" autoFill="0" autoLine="0" autoPict="0">
                <anchor moveWithCells="1" sizeWithCells="1">
                  <from>
                    <xdr:col>4</xdr:col>
                    <xdr:colOff>0</xdr:colOff>
                    <xdr:row>14</xdr:row>
                    <xdr:rowOff>15240</xdr:rowOff>
                  </from>
                  <to>
                    <xdr:col>4</xdr:col>
                    <xdr:colOff>365760</xdr:colOff>
                    <xdr:row>15</xdr:row>
                    <xdr:rowOff>0</xdr:rowOff>
                  </to>
                </anchor>
              </controlPr>
            </control>
          </mc:Choice>
        </mc:AlternateContent>
        <mc:AlternateContent xmlns:mc="http://schemas.openxmlformats.org/markup-compatibility/2006">
          <mc:Choice Requires="x14">
            <control shapeId="20497" r:id="rId21" name="Check Box 17">
              <controlPr defaultSize="0" autoFill="0" autoLine="0" autoPict="0">
                <anchor moveWithCells="1" sizeWithCells="1">
                  <from>
                    <xdr:col>4</xdr:col>
                    <xdr:colOff>335280</xdr:colOff>
                    <xdr:row>14</xdr:row>
                    <xdr:rowOff>15240</xdr:rowOff>
                  </from>
                  <to>
                    <xdr:col>4</xdr:col>
                    <xdr:colOff>693420</xdr:colOff>
                    <xdr:row>15</xdr:row>
                    <xdr:rowOff>0</xdr:rowOff>
                  </to>
                </anchor>
              </controlPr>
            </control>
          </mc:Choice>
        </mc:AlternateContent>
        <mc:AlternateContent xmlns:mc="http://schemas.openxmlformats.org/markup-compatibility/2006">
          <mc:Choice Requires="x14">
            <control shapeId="20498" r:id="rId22" name="Check Box 18">
              <controlPr defaultSize="0" autoFill="0" autoLine="0" autoPict="0">
                <anchor moveWithCells="1" sizeWithCells="1">
                  <from>
                    <xdr:col>4</xdr:col>
                    <xdr:colOff>640080</xdr:colOff>
                    <xdr:row>14</xdr:row>
                    <xdr:rowOff>15240</xdr:rowOff>
                  </from>
                  <to>
                    <xdr:col>4</xdr:col>
                    <xdr:colOff>967740</xdr:colOff>
                    <xdr:row>15</xdr:row>
                    <xdr:rowOff>0</xdr:rowOff>
                  </to>
                </anchor>
              </controlPr>
            </control>
          </mc:Choice>
        </mc:AlternateContent>
        <mc:AlternateContent xmlns:mc="http://schemas.openxmlformats.org/markup-compatibility/2006">
          <mc:Choice Requires="x14">
            <control shapeId="20499" r:id="rId23" name="Check Box 19">
              <controlPr defaultSize="0" autoFill="0" autoLine="0" autoPict="0">
                <anchor moveWithCells="1" sizeWithCells="1">
                  <from>
                    <xdr:col>4</xdr:col>
                    <xdr:colOff>0</xdr:colOff>
                    <xdr:row>15</xdr:row>
                    <xdr:rowOff>15240</xdr:rowOff>
                  </from>
                  <to>
                    <xdr:col>4</xdr:col>
                    <xdr:colOff>365760</xdr:colOff>
                    <xdr:row>16</xdr:row>
                    <xdr:rowOff>0</xdr:rowOff>
                  </to>
                </anchor>
              </controlPr>
            </control>
          </mc:Choice>
        </mc:AlternateContent>
        <mc:AlternateContent xmlns:mc="http://schemas.openxmlformats.org/markup-compatibility/2006">
          <mc:Choice Requires="x14">
            <control shapeId="20500" r:id="rId24" name="Check Box 20">
              <controlPr defaultSize="0" autoFill="0" autoLine="0" autoPict="0">
                <anchor moveWithCells="1" sizeWithCells="1">
                  <from>
                    <xdr:col>4</xdr:col>
                    <xdr:colOff>335280</xdr:colOff>
                    <xdr:row>15</xdr:row>
                    <xdr:rowOff>15240</xdr:rowOff>
                  </from>
                  <to>
                    <xdr:col>4</xdr:col>
                    <xdr:colOff>693420</xdr:colOff>
                    <xdr:row>16</xdr:row>
                    <xdr:rowOff>0</xdr:rowOff>
                  </to>
                </anchor>
              </controlPr>
            </control>
          </mc:Choice>
        </mc:AlternateContent>
        <mc:AlternateContent xmlns:mc="http://schemas.openxmlformats.org/markup-compatibility/2006">
          <mc:Choice Requires="x14">
            <control shapeId="20501" r:id="rId25" name="Check Box 21">
              <controlPr defaultSize="0" autoFill="0" autoLine="0" autoPict="0">
                <anchor moveWithCells="1" sizeWithCells="1">
                  <from>
                    <xdr:col>4</xdr:col>
                    <xdr:colOff>640080</xdr:colOff>
                    <xdr:row>15</xdr:row>
                    <xdr:rowOff>15240</xdr:rowOff>
                  </from>
                  <to>
                    <xdr:col>4</xdr:col>
                    <xdr:colOff>967740</xdr:colOff>
                    <xdr:row>16</xdr:row>
                    <xdr:rowOff>0</xdr:rowOff>
                  </to>
                </anchor>
              </controlPr>
            </control>
          </mc:Choice>
        </mc:AlternateContent>
        <mc:AlternateContent xmlns:mc="http://schemas.openxmlformats.org/markup-compatibility/2006">
          <mc:Choice Requires="x14">
            <control shapeId="20502" r:id="rId26" name="Check Box 22">
              <controlPr defaultSize="0" autoFill="0" autoLine="0" autoPict="0">
                <anchor moveWithCells="1" sizeWithCells="1">
                  <from>
                    <xdr:col>4</xdr:col>
                    <xdr:colOff>0</xdr:colOff>
                    <xdr:row>16</xdr:row>
                    <xdr:rowOff>0</xdr:rowOff>
                  </from>
                  <to>
                    <xdr:col>4</xdr:col>
                    <xdr:colOff>365760</xdr:colOff>
                    <xdr:row>17</xdr:row>
                    <xdr:rowOff>0</xdr:rowOff>
                  </to>
                </anchor>
              </controlPr>
            </control>
          </mc:Choice>
        </mc:AlternateContent>
        <mc:AlternateContent xmlns:mc="http://schemas.openxmlformats.org/markup-compatibility/2006">
          <mc:Choice Requires="x14">
            <control shapeId="20503" r:id="rId27" name="Check Box 23">
              <controlPr defaultSize="0" autoFill="0" autoLine="0" autoPict="0">
                <anchor moveWithCells="1" sizeWithCells="1">
                  <from>
                    <xdr:col>4</xdr:col>
                    <xdr:colOff>335280</xdr:colOff>
                    <xdr:row>16</xdr:row>
                    <xdr:rowOff>0</xdr:rowOff>
                  </from>
                  <to>
                    <xdr:col>4</xdr:col>
                    <xdr:colOff>693420</xdr:colOff>
                    <xdr:row>17</xdr:row>
                    <xdr:rowOff>0</xdr:rowOff>
                  </to>
                </anchor>
              </controlPr>
            </control>
          </mc:Choice>
        </mc:AlternateContent>
        <mc:AlternateContent xmlns:mc="http://schemas.openxmlformats.org/markup-compatibility/2006">
          <mc:Choice Requires="x14">
            <control shapeId="20504" r:id="rId28" name="Check Box 24">
              <controlPr defaultSize="0" autoFill="0" autoLine="0" autoPict="0">
                <anchor moveWithCells="1" sizeWithCells="1">
                  <from>
                    <xdr:col>4</xdr:col>
                    <xdr:colOff>640080</xdr:colOff>
                    <xdr:row>16</xdr:row>
                    <xdr:rowOff>0</xdr:rowOff>
                  </from>
                  <to>
                    <xdr:col>4</xdr:col>
                    <xdr:colOff>967740</xdr:colOff>
                    <xdr:row>17</xdr:row>
                    <xdr:rowOff>0</xdr:rowOff>
                  </to>
                </anchor>
              </controlPr>
            </control>
          </mc:Choice>
        </mc:AlternateContent>
        <mc:AlternateContent xmlns:mc="http://schemas.openxmlformats.org/markup-compatibility/2006">
          <mc:Choice Requires="x14">
            <control shapeId="20505" r:id="rId29" name="Check Box 25">
              <controlPr defaultSize="0" autoFill="0" autoLine="0" autoPict="0">
                <anchor moveWithCells="1" sizeWithCells="1">
                  <from>
                    <xdr:col>4</xdr:col>
                    <xdr:colOff>0</xdr:colOff>
                    <xdr:row>17</xdr:row>
                    <xdr:rowOff>0</xdr:rowOff>
                  </from>
                  <to>
                    <xdr:col>4</xdr:col>
                    <xdr:colOff>365760</xdr:colOff>
                    <xdr:row>18</xdr:row>
                    <xdr:rowOff>0</xdr:rowOff>
                  </to>
                </anchor>
              </controlPr>
            </control>
          </mc:Choice>
        </mc:AlternateContent>
        <mc:AlternateContent xmlns:mc="http://schemas.openxmlformats.org/markup-compatibility/2006">
          <mc:Choice Requires="x14">
            <control shapeId="20506" r:id="rId30" name="Check Box 26">
              <controlPr defaultSize="0" autoFill="0" autoLine="0" autoPict="0">
                <anchor moveWithCells="1" sizeWithCells="1">
                  <from>
                    <xdr:col>4</xdr:col>
                    <xdr:colOff>335280</xdr:colOff>
                    <xdr:row>17</xdr:row>
                    <xdr:rowOff>0</xdr:rowOff>
                  </from>
                  <to>
                    <xdr:col>4</xdr:col>
                    <xdr:colOff>693420</xdr:colOff>
                    <xdr:row>18</xdr:row>
                    <xdr:rowOff>0</xdr:rowOff>
                  </to>
                </anchor>
              </controlPr>
            </control>
          </mc:Choice>
        </mc:AlternateContent>
        <mc:AlternateContent xmlns:mc="http://schemas.openxmlformats.org/markup-compatibility/2006">
          <mc:Choice Requires="x14">
            <control shapeId="20507" r:id="rId31" name="Check Box 27">
              <controlPr defaultSize="0" autoFill="0" autoLine="0" autoPict="0">
                <anchor moveWithCells="1" sizeWithCells="1">
                  <from>
                    <xdr:col>4</xdr:col>
                    <xdr:colOff>640080</xdr:colOff>
                    <xdr:row>17</xdr:row>
                    <xdr:rowOff>0</xdr:rowOff>
                  </from>
                  <to>
                    <xdr:col>4</xdr:col>
                    <xdr:colOff>967740</xdr:colOff>
                    <xdr:row>18</xdr:row>
                    <xdr:rowOff>0</xdr:rowOff>
                  </to>
                </anchor>
              </controlPr>
            </control>
          </mc:Choice>
        </mc:AlternateContent>
        <mc:AlternateContent xmlns:mc="http://schemas.openxmlformats.org/markup-compatibility/2006">
          <mc:Choice Requires="x14">
            <control shapeId="20508" r:id="rId32" name="Check Box 28">
              <controlPr defaultSize="0" autoFill="0" autoLine="0" autoPict="0">
                <anchor moveWithCells="1" sizeWithCells="1">
                  <from>
                    <xdr:col>4</xdr:col>
                    <xdr:colOff>0</xdr:colOff>
                    <xdr:row>18</xdr:row>
                    <xdr:rowOff>0</xdr:rowOff>
                  </from>
                  <to>
                    <xdr:col>4</xdr:col>
                    <xdr:colOff>365760</xdr:colOff>
                    <xdr:row>19</xdr:row>
                    <xdr:rowOff>0</xdr:rowOff>
                  </to>
                </anchor>
              </controlPr>
            </control>
          </mc:Choice>
        </mc:AlternateContent>
        <mc:AlternateContent xmlns:mc="http://schemas.openxmlformats.org/markup-compatibility/2006">
          <mc:Choice Requires="x14">
            <control shapeId="20509" r:id="rId33" name="Check Box 29">
              <controlPr defaultSize="0" autoFill="0" autoLine="0" autoPict="0">
                <anchor moveWithCells="1" sizeWithCells="1">
                  <from>
                    <xdr:col>4</xdr:col>
                    <xdr:colOff>335280</xdr:colOff>
                    <xdr:row>18</xdr:row>
                    <xdr:rowOff>0</xdr:rowOff>
                  </from>
                  <to>
                    <xdr:col>4</xdr:col>
                    <xdr:colOff>693420</xdr:colOff>
                    <xdr:row>19</xdr:row>
                    <xdr:rowOff>0</xdr:rowOff>
                  </to>
                </anchor>
              </controlPr>
            </control>
          </mc:Choice>
        </mc:AlternateContent>
        <mc:AlternateContent xmlns:mc="http://schemas.openxmlformats.org/markup-compatibility/2006">
          <mc:Choice Requires="x14">
            <control shapeId="20510" r:id="rId34" name="Check Box 30">
              <controlPr defaultSize="0" autoFill="0" autoLine="0" autoPict="0">
                <anchor moveWithCells="1" sizeWithCells="1">
                  <from>
                    <xdr:col>4</xdr:col>
                    <xdr:colOff>640080</xdr:colOff>
                    <xdr:row>18</xdr:row>
                    <xdr:rowOff>0</xdr:rowOff>
                  </from>
                  <to>
                    <xdr:col>4</xdr:col>
                    <xdr:colOff>967740</xdr:colOff>
                    <xdr:row>19</xdr:row>
                    <xdr:rowOff>0</xdr:rowOff>
                  </to>
                </anchor>
              </controlPr>
            </control>
          </mc:Choice>
        </mc:AlternateContent>
        <mc:AlternateContent xmlns:mc="http://schemas.openxmlformats.org/markup-compatibility/2006">
          <mc:Choice Requires="x14">
            <control shapeId="20511" r:id="rId35" name="Check Box 31">
              <controlPr defaultSize="0" autoFill="0" autoLine="0" autoPict="0">
                <anchor moveWithCells="1" sizeWithCells="1">
                  <from>
                    <xdr:col>4</xdr:col>
                    <xdr:colOff>0</xdr:colOff>
                    <xdr:row>19</xdr:row>
                    <xdr:rowOff>0</xdr:rowOff>
                  </from>
                  <to>
                    <xdr:col>4</xdr:col>
                    <xdr:colOff>365760</xdr:colOff>
                    <xdr:row>20</xdr:row>
                    <xdr:rowOff>0</xdr:rowOff>
                  </to>
                </anchor>
              </controlPr>
            </control>
          </mc:Choice>
        </mc:AlternateContent>
        <mc:AlternateContent xmlns:mc="http://schemas.openxmlformats.org/markup-compatibility/2006">
          <mc:Choice Requires="x14">
            <control shapeId="20512" r:id="rId36" name="Check Box 32">
              <controlPr defaultSize="0" autoFill="0" autoLine="0" autoPict="0">
                <anchor moveWithCells="1" sizeWithCells="1">
                  <from>
                    <xdr:col>4</xdr:col>
                    <xdr:colOff>335280</xdr:colOff>
                    <xdr:row>19</xdr:row>
                    <xdr:rowOff>0</xdr:rowOff>
                  </from>
                  <to>
                    <xdr:col>4</xdr:col>
                    <xdr:colOff>693420</xdr:colOff>
                    <xdr:row>20</xdr:row>
                    <xdr:rowOff>0</xdr:rowOff>
                  </to>
                </anchor>
              </controlPr>
            </control>
          </mc:Choice>
        </mc:AlternateContent>
        <mc:AlternateContent xmlns:mc="http://schemas.openxmlformats.org/markup-compatibility/2006">
          <mc:Choice Requires="x14">
            <control shapeId="20513" r:id="rId37" name="Check Box 33">
              <controlPr defaultSize="0" autoFill="0" autoLine="0" autoPict="0">
                <anchor moveWithCells="1" sizeWithCells="1">
                  <from>
                    <xdr:col>4</xdr:col>
                    <xdr:colOff>640080</xdr:colOff>
                    <xdr:row>19</xdr:row>
                    <xdr:rowOff>0</xdr:rowOff>
                  </from>
                  <to>
                    <xdr:col>4</xdr:col>
                    <xdr:colOff>967740</xdr:colOff>
                    <xdr:row>20</xdr:row>
                    <xdr:rowOff>0</xdr:rowOff>
                  </to>
                </anchor>
              </controlPr>
            </control>
          </mc:Choice>
        </mc:AlternateContent>
        <mc:AlternateContent xmlns:mc="http://schemas.openxmlformats.org/markup-compatibility/2006">
          <mc:Choice Requires="x14">
            <control shapeId="20514" r:id="rId38" name="Check Box 34">
              <controlPr defaultSize="0" autoFill="0" autoLine="0" autoPict="0">
                <anchor moveWithCells="1" sizeWithCells="1">
                  <from>
                    <xdr:col>4</xdr:col>
                    <xdr:colOff>0</xdr:colOff>
                    <xdr:row>20</xdr:row>
                    <xdr:rowOff>0</xdr:rowOff>
                  </from>
                  <to>
                    <xdr:col>4</xdr:col>
                    <xdr:colOff>365760</xdr:colOff>
                    <xdr:row>21</xdr:row>
                    <xdr:rowOff>0</xdr:rowOff>
                  </to>
                </anchor>
              </controlPr>
            </control>
          </mc:Choice>
        </mc:AlternateContent>
        <mc:AlternateContent xmlns:mc="http://schemas.openxmlformats.org/markup-compatibility/2006">
          <mc:Choice Requires="x14">
            <control shapeId="20515" r:id="rId39" name="Check Box 35">
              <controlPr defaultSize="0" autoFill="0" autoLine="0" autoPict="0">
                <anchor moveWithCells="1" sizeWithCells="1">
                  <from>
                    <xdr:col>4</xdr:col>
                    <xdr:colOff>335280</xdr:colOff>
                    <xdr:row>20</xdr:row>
                    <xdr:rowOff>0</xdr:rowOff>
                  </from>
                  <to>
                    <xdr:col>4</xdr:col>
                    <xdr:colOff>693420</xdr:colOff>
                    <xdr:row>21</xdr:row>
                    <xdr:rowOff>0</xdr:rowOff>
                  </to>
                </anchor>
              </controlPr>
            </control>
          </mc:Choice>
        </mc:AlternateContent>
        <mc:AlternateContent xmlns:mc="http://schemas.openxmlformats.org/markup-compatibility/2006">
          <mc:Choice Requires="x14">
            <control shapeId="20516" r:id="rId40" name="Check Box 36">
              <controlPr defaultSize="0" autoFill="0" autoLine="0" autoPict="0">
                <anchor moveWithCells="1" sizeWithCells="1">
                  <from>
                    <xdr:col>4</xdr:col>
                    <xdr:colOff>640080</xdr:colOff>
                    <xdr:row>20</xdr:row>
                    <xdr:rowOff>0</xdr:rowOff>
                  </from>
                  <to>
                    <xdr:col>4</xdr:col>
                    <xdr:colOff>967740</xdr:colOff>
                    <xdr:row>21</xdr:row>
                    <xdr:rowOff>0</xdr:rowOff>
                  </to>
                </anchor>
              </controlPr>
            </control>
          </mc:Choice>
        </mc:AlternateContent>
        <mc:AlternateContent xmlns:mc="http://schemas.openxmlformats.org/markup-compatibility/2006">
          <mc:Choice Requires="x14">
            <control shapeId="20517" r:id="rId41" name="Check Box 37">
              <controlPr defaultSize="0" autoFill="0" autoLine="0" autoPict="0">
                <anchor moveWithCells="1" sizeWithCells="1">
                  <from>
                    <xdr:col>4</xdr:col>
                    <xdr:colOff>0</xdr:colOff>
                    <xdr:row>21</xdr:row>
                    <xdr:rowOff>15240</xdr:rowOff>
                  </from>
                  <to>
                    <xdr:col>4</xdr:col>
                    <xdr:colOff>365760</xdr:colOff>
                    <xdr:row>22</xdr:row>
                    <xdr:rowOff>0</xdr:rowOff>
                  </to>
                </anchor>
              </controlPr>
            </control>
          </mc:Choice>
        </mc:AlternateContent>
        <mc:AlternateContent xmlns:mc="http://schemas.openxmlformats.org/markup-compatibility/2006">
          <mc:Choice Requires="x14">
            <control shapeId="20518" r:id="rId42" name="Check Box 38">
              <controlPr defaultSize="0" autoFill="0" autoLine="0" autoPict="0">
                <anchor moveWithCells="1" sizeWithCells="1">
                  <from>
                    <xdr:col>4</xdr:col>
                    <xdr:colOff>335280</xdr:colOff>
                    <xdr:row>21</xdr:row>
                    <xdr:rowOff>15240</xdr:rowOff>
                  </from>
                  <to>
                    <xdr:col>4</xdr:col>
                    <xdr:colOff>693420</xdr:colOff>
                    <xdr:row>22</xdr:row>
                    <xdr:rowOff>0</xdr:rowOff>
                  </to>
                </anchor>
              </controlPr>
            </control>
          </mc:Choice>
        </mc:AlternateContent>
        <mc:AlternateContent xmlns:mc="http://schemas.openxmlformats.org/markup-compatibility/2006">
          <mc:Choice Requires="x14">
            <control shapeId="20519" r:id="rId43" name="Check Box 39">
              <controlPr defaultSize="0" autoFill="0" autoLine="0" autoPict="0">
                <anchor moveWithCells="1" sizeWithCells="1">
                  <from>
                    <xdr:col>4</xdr:col>
                    <xdr:colOff>640080</xdr:colOff>
                    <xdr:row>21</xdr:row>
                    <xdr:rowOff>15240</xdr:rowOff>
                  </from>
                  <to>
                    <xdr:col>4</xdr:col>
                    <xdr:colOff>967740</xdr:colOff>
                    <xdr:row>22</xdr:row>
                    <xdr:rowOff>0</xdr:rowOff>
                  </to>
                </anchor>
              </controlPr>
            </control>
          </mc:Choice>
        </mc:AlternateContent>
        <mc:AlternateContent xmlns:mc="http://schemas.openxmlformats.org/markup-compatibility/2006">
          <mc:Choice Requires="x14">
            <control shapeId="20520" r:id="rId44" name="Check Box 40">
              <controlPr defaultSize="0" autoFill="0" autoLine="0" autoPict="0">
                <anchor moveWithCells="1" sizeWithCells="1">
                  <from>
                    <xdr:col>4</xdr:col>
                    <xdr:colOff>0</xdr:colOff>
                    <xdr:row>22</xdr:row>
                    <xdr:rowOff>0</xdr:rowOff>
                  </from>
                  <to>
                    <xdr:col>4</xdr:col>
                    <xdr:colOff>365760</xdr:colOff>
                    <xdr:row>23</xdr:row>
                    <xdr:rowOff>0</xdr:rowOff>
                  </to>
                </anchor>
              </controlPr>
            </control>
          </mc:Choice>
        </mc:AlternateContent>
        <mc:AlternateContent xmlns:mc="http://schemas.openxmlformats.org/markup-compatibility/2006">
          <mc:Choice Requires="x14">
            <control shapeId="20521" r:id="rId45" name="Check Box 41">
              <controlPr defaultSize="0" autoFill="0" autoLine="0" autoPict="0">
                <anchor moveWithCells="1" sizeWithCells="1">
                  <from>
                    <xdr:col>4</xdr:col>
                    <xdr:colOff>335280</xdr:colOff>
                    <xdr:row>22</xdr:row>
                    <xdr:rowOff>0</xdr:rowOff>
                  </from>
                  <to>
                    <xdr:col>4</xdr:col>
                    <xdr:colOff>693420</xdr:colOff>
                    <xdr:row>23</xdr:row>
                    <xdr:rowOff>0</xdr:rowOff>
                  </to>
                </anchor>
              </controlPr>
            </control>
          </mc:Choice>
        </mc:AlternateContent>
        <mc:AlternateContent xmlns:mc="http://schemas.openxmlformats.org/markup-compatibility/2006">
          <mc:Choice Requires="x14">
            <control shapeId="20522" r:id="rId46" name="Check Box 42">
              <controlPr defaultSize="0" autoFill="0" autoLine="0" autoPict="0">
                <anchor moveWithCells="1" sizeWithCells="1">
                  <from>
                    <xdr:col>4</xdr:col>
                    <xdr:colOff>640080</xdr:colOff>
                    <xdr:row>22</xdr:row>
                    <xdr:rowOff>0</xdr:rowOff>
                  </from>
                  <to>
                    <xdr:col>4</xdr:col>
                    <xdr:colOff>967740</xdr:colOff>
                    <xdr:row>23</xdr:row>
                    <xdr:rowOff>0</xdr:rowOff>
                  </to>
                </anchor>
              </controlPr>
            </control>
          </mc:Choice>
        </mc:AlternateContent>
        <mc:AlternateContent xmlns:mc="http://schemas.openxmlformats.org/markup-compatibility/2006">
          <mc:Choice Requires="x14">
            <control shapeId="20523" r:id="rId47" name="Check Box 43">
              <controlPr defaultSize="0" autoFill="0" autoLine="0" autoPict="0">
                <anchor moveWithCells="1" sizeWithCells="1">
                  <from>
                    <xdr:col>4</xdr:col>
                    <xdr:colOff>0</xdr:colOff>
                    <xdr:row>23</xdr:row>
                    <xdr:rowOff>0</xdr:rowOff>
                  </from>
                  <to>
                    <xdr:col>4</xdr:col>
                    <xdr:colOff>365760</xdr:colOff>
                    <xdr:row>24</xdr:row>
                    <xdr:rowOff>0</xdr:rowOff>
                  </to>
                </anchor>
              </controlPr>
            </control>
          </mc:Choice>
        </mc:AlternateContent>
        <mc:AlternateContent xmlns:mc="http://schemas.openxmlformats.org/markup-compatibility/2006">
          <mc:Choice Requires="x14">
            <control shapeId="20524" r:id="rId48" name="Check Box 44">
              <controlPr defaultSize="0" autoFill="0" autoLine="0" autoPict="0">
                <anchor moveWithCells="1" sizeWithCells="1">
                  <from>
                    <xdr:col>4</xdr:col>
                    <xdr:colOff>335280</xdr:colOff>
                    <xdr:row>23</xdr:row>
                    <xdr:rowOff>0</xdr:rowOff>
                  </from>
                  <to>
                    <xdr:col>4</xdr:col>
                    <xdr:colOff>693420</xdr:colOff>
                    <xdr:row>24</xdr:row>
                    <xdr:rowOff>0</xdr:rowOff>
                  </to>
                </anchor>
              </controlPr>
            </control>
          </mc:Choice>
        </mc:AlternateContent>
        <mc:AlternateContent xmlns:mc="http://schemas.openxmlformats.org/markup-compatibility/2006">
          <mc:Choice Requires="x14">
            <control shapeId="20525" r:id="rId49" name="Check Box 45">
              <controlPr defaultSize="0" autoFill="0" autoLine="0" autoPict="0">
                <anchor moveWithCells="1" sizeWithCells="1">
                  <from>
                    <xdr:col>4</xdr:col>
                    <xdr:colOff>640080</xdr:colOff>
                    <xdr:row>23</xdr:row>
                    <xdr:rowOff>0</xdr:rowOff>
                  </from>
                  <to>
                    <xdr:col>4</xdr:col>
                    <xdr:colOff>967740</xdr:colOff>
                    <xdr:row>24</xdr:row>
                    <xdr:rowOff>0</xdr:rowOff>
                  </to>
                </anchor>
              </controlPr>
            </control>
          </mc:Choice>
        </mc:AlternateContent>
        <mc:AlternateContent xmlns:mc="http://schemas.openxmlformats.org/markup-compatibility/2006">
          <mc:Choice Requires="x14">
            <control shapeId="20526" r:id="rId50" name="Check Box 46">
              <controlPr defaultSize="0" autoFill="0" autoLine="0" autoPict="0">
                <anchor moveWithCells="1" sizeWithCells="1">
                  <from>
                    <xdr:col>4</xdr:col>
                    <xdr:colOff>0</xdr:colOff>
                    <xdr:row>24</xdr:row>
                    <xdr:rowOff>0</xdr:rowOff>
                  </from>
                  <to>
                    <xdr:col>4</xdr:col>
                    <xdr:colOff>365760</xdr:colOff>
                    <xdr:row>25</xdr:row>
                    <xdr:rowOff>0</xdr:rowOff>
                  </to>
                </anchor>
              </controlPr>
            </control>
          </mc:Choice>
        </mc:AlternateContent>
        <mc:AlternateContent xmlns:mc="http://schemas.openxmlformats.org/markup-compatibility/2006">
          <mc:Choice Requires="x14">
            <control shapeId="20527" r:id="rId51" name="Check Box 47">
              <controlPr defaultSize="0" autoFill="0" autoLine="0" autoPict="0">
                <anchor moveWithCells="1" sizeWithCells="1">
                  <from>
                    <xdr:col>4</xdr:col>
                    <xdr:colOff>335280</xdr:colOff>
                    <xdr:row>24</xdr:row>
                    <xdr:rowOff>0</xdr:rowOff>
                  </from>
                  <to>
                    <xdr:col>4</xdr:col>
                    <xdr:colOff>693420</xdr:colOff>
                    <xdr:row>25</xdr:row>
                    <xdr:rowOff>0</xdr:rowOff>
                  </to>
                </anchor>
              </controlPr>
            </control>
          </mc:Choice>
        </mc:AlternateContent>
        <mc:AlternateContent xmlns:mc="http://schemas.openxmlformats.org/markup-compatibility/2006">
          <mc:Choice Requires="x14">
            <control shapeId="20528" r:id="rId52" name="Check Box 48">
              <controlPr defaultSize="0" autoFill="0" autoLine="0" autoPict="0">
                <anchor moveWithCells="1" sizeWithCells="1">
                  <from>
                    <xdr:col>4</xdr:col>
                    <xdr:colOff>640080</xdr:colOff>
                    <xdr:row>24</xdr:row>
                    <xdr:rowOff>0</xdr:rowOff>
                  </from>
                  <to>
                    <xdr:col>4</xdr:col>
                    <xdr:colOff>967740</xdr:colOff>
                    <xdr:row>25</xdr:row>
                    <xdr:rowOff>0</xdr:rowOff>
                  </to>
                </anchor>
              </controlPr>
            </control>
          </mc:Choice>
        </mc:AlternateContent>
        <mc:AlternateContent xmlns:mc="http://schemas.openxmlformats.org/markup-compatibility/2006">
          <mc:Choice Requires="x14">
            <control shapeId="20529" r:id="rId53" name="Check Box 49">
              <controlPr defaultSize="0" autoFill="0" autoLine="0" autoPict="0">
                <anchor moveWithCells="1" sizeWithCells="1">
                  <from>
                    <xdr:col>4</xdr:col>
                    <xdr:colOff>0</xdr:colOff>
                    <xdr:row>25</xdr:row>
                    <xdr:rowOff>0</xdr:rowOff>
                  </from>
                  <to>
                    <xdr:col>4</xdr:col>
                    <xdr:colOff>365760</xdr:colOff>
                    <xdr:row>26</xdr:row>
                    <xdr:rowOff>0</xdr:rowOff>
                  </to>
                </anchor>
              </controlPr>
            </control>
          </mc:Choice>
        </mc:AlternateContent>
        <mc:AlternateContent xmlns:mc="http://schemas.openxmlformats.org/markup-compatibility/2006">
          <mc:Choice Requires="x14">
            <control shapeId="20530" r:id="rId54" name="Check Box 50">
              <controlPr defaultSize="0" autoFill="0" autoLine="0" autoPict="0">
                <anchor moveWithCells="1" sizeWithCells="1">
                  <from>
                    <xdr:col>4</xdr:col>
                    <xdr:colOff>335280</xdr:colOff>
                    <xdr:row>25</xdr:row>
                    <xdr:rowOff>0</xdr:rowOff>
                  </from>
                  <to>
                    <xdr:col>4</xdr:col>
                    <xdr:colOff>693420</xdr:colOff>
                    <xdr:row>26</xdr:row>
                    <xdr:rowOff>0</xdr:rowOff>
                  </to>
                </anchor>
              </controlPr>
            </control>
          </mc:Choice>
        </mc:AlternateContent>
        <mc:AlternateContent xmlns:mc="http://schemas.openxmlformats.org/markup-compatibility/2006">
          <mc:Choice Requires="x14">
            <control shapeId="20531" r:id="rId55" name="Check Box 51">
              <controlPr defaultSize="0" autoFill="0" autoLine="0" autoPict="0">
                <anchor moveWithCells="1" sizeWithCells="1">
                  <from>
                    <xdr:col>4</xdr:col>
                    <xdr:colOff>640080</xdr:colOff>
                    <xdr:row>25</xdr:row>
                    <xdr:rowOff>0</xdr:rowOff>
                  </from>
                  <to>
                    <xdr:col>4</xdr:col>
                    <xdr:colOff>967740</xdr:colOff>
                    <xdr:row>26</xdr:row>
                    <xdr:rowOff>0</xdr:rowOff>
                  </to>
                </anchor>
              </controlPr>
            </control>
          </mc:Choice>
        </mc:AlternateContent>
        <mc:AlternateContent xmlns:mc="http://schemas.openxmlformats.org/markup-compatibility/2006">
          <mc:Choice Requires="x14">
            <control shapeId="20532" r:id="rId56" name="Check Box 52">
              <controlPr defaultSize="0" autoFill="0" autoLine="0" autoPict="0">
                <anchor moveWithCells="1" sizeWithCells="1">
                  <from>
                    <xdr:col>4</xdr:col>
                    <xdr:colOff>0</xdr:colOff>
                    <xdr:row>26</xdr:row>
                    <xdr:rowOff>0</xdr:rowOff>
                  </from>
                  <to>
                    <xdr:col>4</xdr:col>
                    <xdr:colOff>365760</xdr:colOff>
                    <xdr:row>27</xdr:row>
                    <xdr:rowOff>0</xdr:rowOff>
                  </to>
                </anchor>
              </controlPr>
            </control>
          </mc:Choice>
        </mc:AlternateContent>
        <mc:AlternateContent xmlns:mc="http://schemas.openxmlformats.org/markup-compatibility/2006">
          <mc:Choice Requires="x14">
            <control shapeId="20533" r:id="rId57" name="Check Box 53">
              <controlPr defaultSize="0" autoFill="0" autoLine="0" autoPict="0">
                <anchor moveWithCells="1" sizeWithCells="1">
                  <from>
                    <xdr:col>4</xdr:col>
                    <xdr:colOff>335280</xdr:colOff>
                    <xdr:row>26</xdr:row>
                    <xdr:rowOff>0</xdr:rowOff>
                  </from>
                  <to>
                    <xdr:col>4</xdr:col>
                    <xdr:colOff>693420</xdr:colOff>
                    <xdr:row>27</xdr:row>
                    <xdr:rowOff>0</xdr:rowOff>
                  </to>
                </anchor>
              </controlPr>
            </control>
          </mc:Choice>
        </mc:AlternateContent>
        <mc:AlternateContent xmlns:mc="http://schemas.openxmlformats.org/markup-compatibility/2006">
          <mc:Choice Requires="x14">
            <control shapeId="20534" r:id="rId58" name="Check Box 54">
              <controlPr defaultSize="0" autoFill="0" autoLine="0" autoPict="0">
                <anchor moveWithCells="1" sizeWithCells="1">
                  <from>
                    <xdr:col>4</xdr:col>
                    <xdr:colOff>640080</xdr:colOff>
                    <xdr:row>26</xdr:row>
                    <xdr:rowOff>0</xdr:rowOff>
                  </from>
                  <to>
                    <xdr:col>4</xdr:col>
                    <xdr:colOff>967740</xdr:colOff>
                    <xdr:row>27</xdr:row>
                    <xdr:rowOff>0</xdr:rowOff>
                  </to>
                </anchor>
              </controlPr>
            </control>
          </mc:Choice>
        </mc:AlternateContent>
        <mc:AlternateContent xmlns:mc="http://schemas.openxmlformats.org/markup-compatibility/2006">
          <mc:Choice Requires="x14">
            <control shapeId="20535" r:id="rId59" name="Check Box 55">
              <controlPr defaultSize="0" autoFill="0" autoLine="0" autoPict="0">
                <anchor moveWithCells="1" sizeWithCells="1">
                  <from>
                    <xdr:col>4</xdr:col>
                    <xdr:colOff>0</xdr:colOff>
                    <xdr:row>27</xdr:row>
                    <xdr:rowOff>0</xdr:rowOff>
                  </from>
                  <to>
                    <xdr:col>4</xdr:col>
                    <xdr:colOff>365760</xdr:colOff>
                    <xdr:row>28</xdr:row>
                    <xdr:rowOff>0</xdr:rowOff>
                  </to>
                </anchor>
              </controlPr>
            </control>
          </mc:Choice>
        </mc:AlternateContent>
        <mc:AlternateContent xmlns:mc="http://schemas.openxmlformats.org/markup-compatibility/2006">
          <mc:Choice Requires="x14">
            <control shapeId="20536" r:id="rId60" name="Check Box 56">
              <controlPr defaultSize="0" autoFill="0" autoLine="0" autoPict="0">
                <anchor moveWithCells="1" sizeWithCells="1">
                  <from>
                    <xdr:col>4</xdr:col>
                    <xdr:colOff>335280</xdr:colOff>
                    <xdr:row>27</xdr:row>
                    <xdr:rowOff>0</xdr:rowOff>
                  </from>
                  <to>
                    <xdr:col>4</xdr:col>
                    <xdr:colOff>693420</xdr:colOff>
                    <xdr:row>28</xdr:row>
                    <xdr:rowOff>0</xdr:rowOff>
                  </to>
                </anchor>
              </controlPr>
            </control>
          </mc:Choice>
        </mc:AlternateContent>
        <mc:AlternateContent xmlns:mc="http://schemas.openxmlformats.org/markup-compatibility/2006">
          <mc:Choice Requires="x14">
            <control shapeId="20537" r:id="rId61" name="Check Box 57">
              <controlPr defaultSize="0" autoFill="0" autoLine="0" autoPict="0">
                <anchor moveWithCells="1" sizeWithCells="1">
                  <from>
                    <xdr:col>4</xdr:col>
                    <xdr:colOff>640080</xdr:colOff>
                    <xdr:row>27</xdr:row>
                    <xdr:rowOff>0</xdr:rowOff>
                  </from>
                  <to>
                    <xdr:col>4</xdr:col>
                    <xdr:colOff>967740</xdr:colOff>
                    <xdr:row>28</xdr:row>
                    <xdr:rowOff>0</xdr:rowOff>
                  </to>
                </anchor>
              </controlPr>
            </control>
          </mc:Choice>
        </mc:AlternateContent>
        <mc:AlternateContent xmlns:mc="http://schemas.openxmlformats.org/markup-compatibility/2006">
          <mc:Choice Requires="x14">
            <control shapeId="20538" r:id="rId62" name="Check Box 58">
              <controlPr defaultSize="0" autoFill="0" autoLine="0" autoPict="0">
                <anchor moveWithCells="1" sizeWithCells="1">
                  <from>
                    <xdr:col>4</xdr:col>
                    <xdr:colOff>0</xdr:colOff>
                    <xdr:row>28</xdr:row>
                    <xdr:rowOff>0</xdr:rowOff>
                  </from>
                  <to>
                    <xdr:col>4</xdr:col>
                    <xdr:colOff>365760</xdr:colOff>
                    <xdr:row>29</xdr:row>
                    <xdr:rowOff>0</xdr:rowOff>
                  </to>
                </anchor>
              </controlPr>
            </control>
          </mc:Choice>
        </mc:AlternateContent>
        <mc:AlternateContent xmlns:mc="http://schemas.openxmlformats.org/markup-compatibility/2006">
          <mc:Choice Requires="x14">
            <control shapeId="20539" r:id="rId63" name="Check Box 59">
              <controlPr defaultSize="0" autoFill="0" autoLine="0" autoPict="0">
                <anchor moveWithCells="1" sizeWithCells="1">
                  <from>
                    <xdr:col>4</xdr:col>
                    <xdr:colOff>335280</xdr:colOff>
                    <xdr:row>28</xdr:row>
                    <xdr:rowOff>0</xdr:rowOff>
                  </from>
                  <to>
                    <xdr:col>4</xdr:col>
                    <xdr:colOff>693420</xdr:colOff>
                    <xdr:row>29</xdr:row>
                    <xdr:rowOff>0</xdr:rowOff>
                  </to>
                </anchor>
              </controlPr>
            </control>
          </mc:Choice>
        </mc:AlternateContent>
        <mc:AlternateContent xmlns:mc="http://schemas.openxmlformats.org/markup-compatibility/2006">
          <mc:Choice Requires="x14">
            <control shapeId="20540" r:id="rId64" name="Check Box 60">
              <controlPr defaultSize="0" autoFill="0" autoLine="0" autoPict="0">
                <anchor moveWithCells="1" sizeWithCells="1">
                  <from>
                    <xdr:col>4</xdr:col>
                    <xdr:colOff>640080</xdr:colOff>
                    <xdr:row>28</xdr:row>
                    <xdr:rowOff>0</xdr:rowOff>
                  </from>
                  <to>
                    <xdr:col>4</xdr:col>
                    <xdr:colOff>967740</xdr:colOff>
                    <xdr:row>29</xdr:row>
                    <xdr:rowOff>0</xdr:rowOff>
                  </to>
                </anchor>
              </controlPr>
            </control>
          </mc:Choice>
        </mc:AlternateContent>
        <mc:AlternateContent xmlns:mc="http://schemas.openxmlformats.org/markup-compatibility/2006">
          <mc:Choice Requires="x14">
            <control shapeId="20541" r:id="rId65" name="Check Box 61">
              <controlPr defaultSize="0" autoFill="0" autoLine="0" autoPict="0">
                <anchor moveWithCells="1" sizeWithCells="1">
                  <from>
                    <xdr:col>4</xdr:col>
                    <xdr:colOff>0</xdr:colOff>
                    <xdr:row>29</xdr:row>
                    <xdr:rowOff>0</xdr:rowOff>
                  </from>
                  <to>
                    <xdr:col>4</xdr:col>
                    <xdr:colOff>365760</xdr:colOff>
                    <xdr:row>30</xdr:row>
                    <xdr:rowOff>0</xdr:rowOff>
                  </to>
                </anchor>
              </controlPr>
            </control>
          </mc:Choice>
        </mc:AlternateContent>
        <mc:AlternateContent xmlns:mc="http://schemas.openxmlformats.org/markup-compatibility/2006">
          <mc:Choice Requires="x14">
            <control shapeId="20542" r:id="rId66" name="Check Box 62">
              <controlPr defaultSize="0" autoFill="0" autoLine="0" autoPict="0">
                <anchor moveWithCells="1" sizeWithCells="1">
                  <from>
                    <xdr:col>4</xdr:col>
                    <xdr:colOff>335280</xdr:colOff>
                    <xdr:row>29</xdr:row>
                    <xdr:rowOff>0</xdr:rowOff>
                  </from>
                  <to>
                    <xdr:col>4</xdr:col>
                    <xdr:colOff>693420</xdr:colOff>
                    <xdr:row>30</xdr:row>
                    <xdr:rowOff>0</xdr:rowOff>
                  </to>
                </anchor>
              </controlPr>
            </control>
          </mc:Choice>
        </mc:AlternateContent>
        <mc:AlternateContent xmlns:mc="http://schemas.openxmlformats.org/markup-compatibility/2006">
          <mc:Choice Requires="x14">
            <control shapeId="20543" r:id="rId67" name="Check Box 63">
              <controlPr defaultSize="0" autoFill="0" autoLine="0" autoPict="0">
                <anchor moveWithCells="1" sizeWithCells="1">
                  <from>
                    <xdr:col>4</xdr:col>
                    <xdr:colOff>640080</xdr:colOff>
                    <xdr:row>29</xdr:row>
                    <xdr:rowOff>0</xdr:rowOff>
                  </from>
                  <to>
                    <xdr:col>4</xdr:col>
                    <xdr:colOff>967740</xdr:colOff>
                    <xdr:row>30</xdr:row>
                    <xdr:rowOff>0</xdr:rowOff>
                  </to>
                </anchor>
              </controlPr>
            </control>
          </mc:Choice>
        </mc:AlternateContent>
        <mc:AlternateContent xmlns:mc="http://schemas.openxmlformats.org/markup-compatibility/2006">
          <mc:Choice Requires="x14">
            <control shapeId="20544" r:id="rId68" name="Check Box 64">
              <controlPr defaultSize="0" autoFill="0" autoLine="0" autoPict="0">
                <anchor moveWithCells="1" sizeWithCells="1">
                  <from>
                    <xdr:col>4</xdr:col>
                    <xdr:colOff>0</xdr:colOff>
                    <xdr:row>30</xdr:row>
                    <xdr:rowOff>0</xdr:rowOff>
                  </from>
                  <to>
                    <xdr:col>4</xdr:col>
                    <xdr:colOff>365760</xdr:colOff>
                    <xdr:row>31</xdr:row>
                    <xdr:rowOff>0</xdr:rowOff>
                  </to>
                </anchor>
              </controlPr>
            </control>
          </mc:Choice>
        </mc:AlternateContent>
        <mc:AlternateContent xmlns:mc="http://schemas.openxmlformats.org/markup-compatibility/2006">
          <mc:Choice Requires="x14">
            <control shapeId="20545" r:id="rId69" name="Check Box 65">
              <controlPr defaultSize="0" autoFill="0" autoLine="0" autoPict="0">
                <anchor moveWithCells="1" sizeWithCells="1">
                  <from>
                    <xdr:col>4</xdr:col>
                    <xdr:colOff>335280</xdr:colOff>
                    <xdr:row>30</xdr:row>
                    <xdr:rowOff>0</xdr:rowOff>
                  </from>
                  <to>
                    <xdr:col>4</xdr:col>
                    <xdr:colOff>693420</xdr:colOff>
                    <xdr:row>31</xdr:row>
                    <xdr:rowOff>0</xdr:rowOff>
                  </to>
                </anchor>
              </controlPr>
            </control>
          </mc:Choice>
        </mc:AlternateContent>
        <mc:AlternateContent xmlns:mc="http://schemas.openxmlformats.org/markup-compatibility/2006">
          <mc:Choice Requires="x14">
            <control shapeId="20546" r:id="rId70" name="Check Box 66">
              <controlPr defaultSize="0" autoFill="0" autoLine="0" autoPict="0">
                <anchor moveWithCells="1" sizeWithCells="1">
                  <from>
                    <xdr:col>4</xdr:col>
                    <xdr:colOff>640080</xdr:colOff>
                    <xdr:row>30</xdr:row>
                    <xdr:rowOff>0</xdr:rowOff>
                  </from>
                  <to>
                    <xdr:col>4</xdr:col>
                    <xdr:colOff>967740</xdr:colOff>
                    <xdr:row>31</xdr:row>
                    <xdr:rowOff>0</xdr:rowOff>
                  </to>
                </anchor>
              </controlPr>
            </control>
          </mc:Choice>
        </mc:AlternateContent>
        <mc:AlternateContent xmlns:mc="http://schemas.openxmlformats.org/markup-compatibility/2006">
          <mc:Choice Requires="x14">
            <control shapeId="20547" r:id="rId71" name="Check Box 67">
              <controlPr defaultSize="0" autoFill="0" autoLine="0" autoPict="0">
                <anchor moveWithCells="1" sizeWithCells="1">
                  <from>
                    <xdr:col>4</xdr:col>
                    <xdr:colOff>0</xdr:colOff>
                    <xdr:row>31</xdr:row>
                    <xdr:rowOff>0</xdr:rowOff>
                  </from>
                  <to>
                    <xdr:col>4</xdr:col>
                    <xdr:colOff>365760</xdr:colOff>
                    <xdr:row>32</xdr:row>
                    <xdr:rowOff>0</xdr:rowOff>
                  </to>
                </anchor>
              </controlPr>
            </control>
          </mc:Choice>
        </mc:AlternateContent>
        <mc:AlternateContent xmlns:mc="http://schemas.openxmlformats.org/markup-compatibility/2006">
          <mc:Choice Requires="x14">
            <control shapeId="20548" r:id="rId72" name="Check Box 68">
              <controlPr defaultSize="0" autoFill="0" autoLine="0" autoPict="0">
                <anchor moveWithCells="1" sizeWithCells="1">
                  <from>
                    <xdr:col>4</xdr:col>
                    <xdr:colOff>335280</xdr:colOff>
                    <xdr:row>31</xdr:row>
                    <xdr:rowOff>0</xdr:rowOff>
                  </from>
                  <to>
                    <xdr:col>4</xdr:col>
                    <xdr:colOff>693420</xdr:colOff>
                    <xdr:row>32</xdr:row>
                    <xdr:rowOff>0</xdr:rowOff>
                  </to>
                </anchor>
              </controlPr>
            </control>
          </mc:Choice>
        </mc:AlternateContent>
        <mc:AlternateContent xmlns:mc="http://schemas.openxmlformats.org/markup-compatibility/2006">
          <mc:Choice Requires="x14">
            <control shapeId="20549" r:id="rId73" name="Check Box 69">
              <controlPr defaultSize="0" autoFill="0" autoLine="0" autoPict="0">
                <anchor moveWithCells="1" sizeWithCells="1">
                  <from>
                    <xdr:col>4</xdr:col>
                    <xdr:colOff>640080</xdr:colOff>
                    <xdr:row>31</xdr:row>
                    <xdr:rowOff>0</xdr:rowOff>
                  </from>
                  <to>
                    <xdr:col>4</xdr:col>
                    <xdr:colOff>967740</xdr:colOff>
                    <xdr:row>32</xdr:row>
                    <xdr:rowOff>0</xdr:rowOff>
                  </to>
                </anchor>
              </controlPr>
            </control>
          </mc:Choice>
        </mc:AlternateContent>
        <mc:AlternateContent xmlns:mc="http://schemas.openxmlformats.org/markup-compatibility/2006">
          <mc:Choice Requires="x14">
            <control shapeId="20550" r:id="rId74" name="Check Box 70">
              <controlPr defaultSize="0" autoFill="0" autoLine="0" autoPict="0">
                <anchor moveWithCells="1" sizeWithCells="1">
                  <from>
                    <xdr:col>4</xdr:col>
                    <xdr:colOff>0</xdr:colOff>
                    <xdr:row>32</xdr:row>
                    <xdr:rowOff>0</xdr:rowOff>
                  </from>
                  <to>
                    <xdr:col>4</xdr:col>
                    <xdr:colOff>365760</xdr:colOff>
                    <xdr:row>33</xdr:row>
                    <xdr:rowOff>0</xdr:rowOff>
                  </to>
                </anchor>
              </controlPr>
            </control>
          </mc:Choice>
        </mc:AlternateContent>
        <mc:AlternateContent xmlns:mc="http://schemas.openxmlformats.org/markup-compatibility/2006">
          <mc:Choice Requires="x14">
            <control shapeId="20551" r:id="rId75" name="Check Box 71">
              <controlPr defaultSize="0" autoFill="0" autoLine="0" autoPict="0">
                <anchor moveWithCells="1" sizeWithCells="1">
                  <from>
                    <xdr:col>4</xdr:col>
                    <xdr:colOff>335280</xdr:colOff>
                    <xdr:row>32</xdr:row>
                    <xdr:rowOff>0</xdr:rowOff>
                  </from>
                  <to>
                    <xdr:col>4</xdr:col>
                    <xdr:colOff>693420</xdr:colOff>
                    <xdr:row>33</xdr:row>
                    <xdr:rowOff>0</xdr:rowOff>
                  </to>
                </anchor>
              </controlPr>
            </control>
          </mc:Choice>
        </mc:AlternateContent>
        <mc:AlternateContent xmlns:mc="http://schemas.openxmlformats.org/markup-compatibility/2006">
          <mc:Choice Requires="x14">
            <control shapeId="20552" r:id="rId76" name="Check Box 72">
              <controlPr defaultSize="0" autoFill="0" autoLine="0" autoPict="0">
                <anchor moveWithCells="1" sizeWithCells="1">
                  <from>
                    <xdr:col>4</xdr:col>
                    <xdr:colOff>640080</xdr:colOff>
                    <xdr:row>32</xdr:row>
                    <xdr:rowOff>0</xdr:rowOff>
                  </from>
                  <to>
                    <xdr:col>4</xdr:col>
                    <xdr:colOff>967740</xdr:colOff>
                    <xdr:row>33</xdr:row>
                    <xdr:rowOff>0</xdr:rowOff>
                  </to>
                </anchor>
              </controlPr>
            </control>
          </mc:Choice>
        </mc:AlternateContent>
        <mc:AlternateContent xmlns:mc="http://schemas.openxmlformats.org/markup-compatibility/2006">
          <mc:Choice Requires="x14">
            <control shapeId="20553" r:id="rId77" name="Check Box 73">
              <controlPr defaultSize="0" autoFill="0" autoLine="0" autoPict="0">
                <anchor moveWithCells="1" sizeWithCells="1">
                  <from>
                    <xdr:col>4</xdr:col>
                    <xdr:colOff>0</xdr:colOff>
                    <xdr:row>33</xdr:row>
                    <xdr:rowOff>0</xdr:rowOff>
                  </from>
                  <to>
                    <xdr:col>4</xdr:col>
                    <xdr:colOff>365760</xdr:colOff>
                    <xdr:row>34</xdr:row>
                    <xdr:rowOff>0</xdr:rowOff>
                  </to>
                </anchor>
              </controlPr>
            </control>
          </mc:Choice>
        </mc:AlternateContent>
        <mc:AlternateContent xmlns:mc="http://schemas.openxmlformats.org/markup-compatibility/2006">
          <mc:Choice Requires="x14">
            <control shapeId="20554" r:id="rId78" name="Check Box 74">
              <controlPr defaultSize="0" autoFill="0" autoLine="0" autoPict="0">
                <anchor moveWithCells="1" sizeWithCells="1">
                  <from>
                    <xdr:col>4</xdr:col>
                    <xdr:colOff>335280</xdr:colOff>
                    <xdr:row>33</xdr:row>
                    <xdr:rowOff>0</xdr:rowOff>
                  </from>
                  <to>
                    <xdr:col>4</xdr:col>
                    <xdr:colOff>693420</xdr:colOff>
                    <xdr:row>34</xdr:row>
                    <xdr:rowOff>0</xdr:rowOff>
                  </to>
                </anchor>
              </controlPr>
            </control>
          </mc:Choice>
        </mc:AlternateContent>
        <mc:AlternateContent xmlns:mc="http://schemas.openxmlformats.org/markup-compatibility/2006">
          <mc:Choice Requires="x14">
            <control shapeId="20555" r:id="rId79" name="Check Box 75">
              <controlPr defaultSize="0" autoFill="0" autoLine="0" autoPict="0">
                <anchor moveWithCells="1" sizeWithCells="1">
                  <from>
                    <xdr:col>4</xdr:col>
                    <xdr:colOff>640080</xdr:colOff>
                    <xdr:row>33</xdr:row>
                    <xdr:rowOff>0</xdr:rowOff>
                  </from>
                  <to>
                    <xdr:col>4</xdr:col>
                    <xdr:colOff>967740</xdr:colOff>
                    <xdr:row>34</xdr:row>
                    <xdr:rowOff>0</xdr:rowOff>
                  </to>
                </anchor>
              </controlPr>
            </control>
          </mc:Choice>
        </mc:AlternateContent>
        <mc:AlternateContent xmlns:mc="http://schemas.openxmlformats.org/markup-compatibility/2006">
          <mc:Choice Requires="x14">
            <control shapeId="20556" r:id="rId80" name="Check Box 76">
              <controlPr defaultSize="0" autoFill="0" autoLine="0" autoPict="0">
                <anchor moveWithCells="1" sizeWithCells="1">
                  <from>
                    <xdr:col>4</xdr:col>
                    <xdr:colOff>0</xdr:colOff>
                    <xdr:row>34</xdr:row>
                    <xdr:rowOff>0</xdr:rowOff>
                  </from>
                  <to>
                    <xdr:col>4</xdr:col>
                    <xdr:colOff>365760</xdr:colOff>
                    <xdr:row>35</xdr:row>
                    <xdr:rowOff>0</xdr:rowOff>
                  </to>
                </anchor>
              </controlPr>
            </control>
          </mc:Choice>
        </mc:AlternateContent>
        <mc:AlternateContent xmlns:mc="http://schemas.openxmlformats.org/markup-compatibility/2006">
          <mc:Choice Requires="x14">
            <control shapeId="20557" r:id="rId81" name="Check Box 77">
              <controlPr defaultSize="0" autoFill="0" autoLine="0" autoPict="0">
                <anchor moveWithCells="1" sizeWithCells="1">
                  <from>
                    <xdr:col>4</xdr:col>
                    <xdr:colOff>335280</xdr:colOff>
                    <xdr:row>34</xdr:row>
                    <xdr:rowOff>0</xdr:rowOff>
                  </from>
                  <to>
                    <xdr:col>4</xdr:col>
                    <xdr:colOff>693420</xdr:colOff>
                    <xdr:row>35</xdr:row>
                    <xdr:rowOff>0</xdr:rowOff>
                  </to>
                </anchor>
              </controlPr>
            </control>
          </mc:Choice>
        </mc:AlternateContent>
        <mc:AlternateContent xmlns:mc="http://schemas.openxmlformats.org/markup-compatibility/2006">
          <mc:Choice Requires="x14">
            <control shapeId="20558" r:id="rId82" name="Check Box 78">
              <controlPr defaultSize="0" autoFill="0" autoLine="0" autoPict="0">
                <anchor moveWithCells="1" sizeWithCells="1">
                  <from>
                    <xdr:col>4</xdr:col>
                    <xdr:colOff>640080</xdr:colOff>
                    <xdr:row>34</xdr:row>
                    <xdr:rowOff>0</xdr:rowOff>
                  </from>
                  <to>
                    <xdr:col>4</xdr:col>
                    <xdr:colOff>967740</xdr:colOff>
                    <xdr:row>35</xdr:row>
                    <xdr:rowOff>0</xdr:rowOff>
                  </to>
                </anchor>
              </controlPr>
            </control>
          </mc:Choice>
        </mc:AlternateContent>
        <mc:AlternateContent xmlns:mc="http://schemas.openxmlformats.org/markup-compatibility/2006">
          <mc:Choice Requires="x14">
            <control shapeId="20559" r:id="rId83" name="Check Box 79">
              <controlPr defaultSize="0" autoFill="0" autoLine="0" autoPict="0">
                <anchor moveWithCells="1" sizeWithCells="1">
                  <from>
                    <xdr:col>4</xdr:col>
                    <xdr:colOff>0</xdr:colOff>
                    <xdr:row>35</xdr:row>
                    <xdr:rowOff>0</xdr:rowOff>
                  </from>
                  <to>
                    <xdr:col>4</xdr:col>
                    <xdr:colOff>365760</xdr:colOff>
                    <xdr:row>36</xdr:row>
                    <xdr:rowOff>0</xdr:rowOff>
                  </to>
                </anchor>
              </controlPr>
            </control>
          </mc:Choice>
        </mc:AlternateContent>
        <mc:AlternateContent xmlns:mc="http://schemas.openxmlformats.org/markup-compatibility/2006">
          <mc:Choice Requires="x14">
            <control shapeId="20560" r:id="rId84" name="Check Box 80">
              <controlPr defaultSize="0" autoFill="0" autoLine="0" autoPict="0">
                <anchor moveWithCells="1" sizeWithCells="1">
                  <from>
                    <xdr:col>4</xdr:col>
                    <xdr:colOff>335280</xdr:colOff>
                    <xdr:row>35</xdr:row>
                    <xdr:rowOff>0</xdr:rowOff>
                  </from>
                  <to>
                    <xdr:col>4</xdr:col>
                    <xdr:colOff>693420</xdr:colOff>
                    <xdr:row>36</xdr:row>
                    <xdr:rowOff>0</xdr:rowOff>
                  </to>
                </anchor>
              </controlPr>
            </control>
          </mc:Choice>
        </mc:AlternateContent>
        <mc:AlternateContent xmlns:mc="http://schemas.openxmlformats.org/markup-compatibility/2006">
          <mc:Choice Requires="x14">
            <control shapeId="20561" r:id="rId85" name="Check Box 81">
              <controlPr defaultSize="0" autoFill="0" autoLine="0" autoPict="0">
                <anchor moveWithCells="1" sizeWithCells="1">
                  <from>
                    <xdr:col>4</xdr:col>
                    <xdr:colOff>640080</xdr:colOff>
                    <xdr:row>35</xdr:row>
                    <xdr:rowOff>0</xdr:rowOff>
                  </from>
                  <to>
                    <xdr:col>4</xdr:col>
                    <xdr:colOff>967740</xdr:colOff>
                    <xdr:row>36</xdr:row>
                    <xdr:rowOff>0</xdr:rowOff>
                  </to>
                </anchor>
              </controlPr>
            </control>
          </mc:Choice>
        </mc:AlternateContent>
        <mc:AlternateContent xmlns:mc="http://schemas.openxmlformats.org/markup-compatibility/2006">
          <mc:Choice Requires="x14">
            <control shapeId="20562" r:id="rId86" name="Check Box 82">
              <controlPr defaultSize="0" autoFill="0" autoLine="0" autoPict="0">
                <anchor moveWithCells="1" sizeWithCells="1">
                  <from>
                    <xdr:col>4</xdr:col>
                    <xdr:colOff>0</xdr:colOff>
                    <xdr:row>36</xdr:row>
                    <xdr:rowOff>0</xdr:rowOff>
                  </from>
                  <to>
                    <xdr:col>4</xdr:col>
                    <xdr:colOff>365760</xdr:colOff>
                    <xdr:row>37</xdr:row>
                    <xdr:rowOff>0</xdr:rowOff>
                  </to>
                </anchor>
              </controlPr>
            </control>
          </mc:Choice>
        </mc:AlternateContent>
        <mc:AlternateContent xmlns:mc="http://schemas.openxmlformats.org/markup-compatibility/2006">
          <mc:Choice Requires="x14">
            <control shapeId="20563" r:id="rId87" name="Check Box 83">
              <controlPr defaultSize="0" autoFill="0" autoLine="0" autoPict="0">
                <anchor moveWithCells="1" sizeWithCells="1">
                  <from>
                    <xdr:col>4</xdr:col>
                    <xdr:colOff>335280</xdr:colOff>
                    <xdr:row>36</xdr:row>
                    <xdr:rowOff>0</xdr:rowOff>
                  </from>
                  <to>
                    <xdr:col>4</xdr:col>
                    <xdr:colOff>693420</xdr:colOff>
                    <xdr:row>37</xdr:row>
                    <xdr:rowOff>0</xdr:rowOff>
                  </to>
                </anchor>
              </controlPr>
            </control>
          </mc:Choice>
        </mc:AlternateContent>
        <mc:AlternateContent xmlns:mc="http://schemas.openxmlformats.org/markup-compatibility/2006">
          <mc:Choice Requires="x14">
            <control shapeId="20564" r:id="rId88" name="Check Box 84">
              <controlPr defaultSize="0" autoFill="0" autoLine="0" autoPict="0">
                <anchor moveWithCells="1" sizeWithCells="1">
                  <from>
                    <xdr:col>4</xdr:col>
                    <xdr:colOff>640080</xdr:colOff>
                    <xdr:row>36</xdr:row>
                    <xdr:rowOff>0</xdr:rowOff>
                  </from>
                  <to>
                    <xdr:col>4</xdr:col>
                    <xdr:colOff>967740</xdr:colOff>
                    <xdr:row>37</xdr:row>
                    <xdr:rowOff>0</xdr:rowOff>
                  </to>
                </anchor>
              </controlPr>
            </control>
          </mc:Choice>
        </mc:AlternateContent>
        <mc:AlternateContent xmlns:mc="http://schemas.openxmlformats.org/markup-compatibility/2006">
          <mc:Choice Requires="x14">
            <control shapeId="20565" r:id="rId89" name="Check Box 85">
              <controlPr defaultSize="0" autoFill="0" autoLine="0" autoPict="0">
                <anchor moveWithCells="1" sizeWithCells="1">
                  <from>
                    <xdr:col>4</xdr:col>
                    <xdr:colOff>0</xdr:colOff>
                    <xdr:row>37</xdr:row>
                    <xdr:rowOff>0</xdr:rowOff>
                  </from>
                  <to>
                    <xdr:col>4</xdr:col>
                    <xdr:colOff>365760</xdr:colOff>
                    <xdr:row>38</xdr:row>
                    <xdr:rowOff>0</xdr:rowOff>
                  </to>
                </anchor>
              </controlPr>
            </control>
          </mc:Choice>
        </mc:AlternateContent>
        <mc:AlternateContent xmlns:mc="http://schemas.openxmlformats.org/markup-compatibility/2006">
          <mc:Choice Requires="x14">
            <control shapeId="20566" r:id="rId90" name="Check Box 86">
              <controlPr defaultSize="0" autoFill="0" autoLine="0" autoPict="0">
                <anchor moveWithCells="1" sizeWithCells="1">
                  <from>
                    <xdr:col>4</xdr:col>
                    <xdr:colOff>335280</xdr:colOff>
                    <xdr:row>37</xdr:row>
                    <xdr:rowOff>0</xdr:rowOff>
                  </from>
                  <to>
                    <xdr:col>4</xdr:col>
                    <xdr:colOff>693420</xdr:colOff>
                    <xdr:row>38</xdr:row>
                    <xdr:rowOff>0</xdr:rowOff>
                  </to>
                </anchor>
              </controlPr>
            </control>
          </mc:Choice>
        </mc:AlternateContent>
        <mc:AlternateContent xmlns:mc="http://schemas.openxmlformats.org/markup-compatibility/2006">
          <mc:Choice Requires="x14">
            <control shapeId="20567" r:id="rId91" name="Check Box 87">
              <controlPr defaultSize="0" autoFill="0" autoLine="0" autoPict="0">
                <anchor moveWithCells="1" sizeWithCells="1">
                  <from>
                    <xdr:col>4</xdr:col>
                    <xdr:colOff>640080</xdr:colOff>
                    <xdr:row>37</xdr:row>
                    <xdr:rowOff>0</xdr:rowOff>
                  </from>
                  <to>
                    <xdr:col>4</xdr:col>
                    <xdr:colOff>967740</xdr:colOff>
                    <xdr:row>38</xdr:row>
                    <xdr:rowOff>0</xdr:rowOff>
                  </to>
                </anchor>
              </controlPr>
            </control>
          </mc:Choice>
        </mc:AlternateContent>
        <mc:AlternateContent xmlns:mc="http://schemas.openxmlformats.org/markup-compatibility/2006">
          <mc:Choice Requires="x14">
            <control shapeId="20568" r:id="rId92" name="Check Box 88">
              <controlPr defaultSize="0" autoFill="0" autoLine="0" autoPict="0">
                <anchor moveWithCells="1" sizeWithCells="1">
                  <from>
                    <xdr:col>4</xdr:col>
                    <xdr:colOff>0</xdr:colOff>
                    <xdr:row>38</xdr:row>
                    <xdr:rowOff>0</xdr:rowOff>
                  </from>
                  <to>
                    <xdr:col>4</xdr:col>
                    <xdr:colOff>365760</xdr:colOff>
                    <xdr:row>39</xdr:row>
                    <xdr:rowOff>0</xdr:rowOff>
                  </to>
                </anchor>
              </controlPr>
            </control>
          </mc:Choice>
        </mc:AlternateContent>
        <mc:AlternateContent xmlns:mc="http://schemas.openxmlformats.org/markup-compatibility/2006">
          <mc:Choice Requires="x14">
            <control shapeId="20569" r:id="rId93" name="Check Box 89">
              <controlPr defaultSize="0" autoFill="0" autoLine="0" autoPict="0">
                <anchor moveWithCells="1" sizeWithCells="1">
                  <from>
                    <xdr:col>4</xdr:col>
                    <xdr:colOff>335280</xdr:colOff>
                    <xdr:row>38</xdr:row>
                    <xdr:rowOff>0</xdr:rowOff>
                  </from>
                  <to>
                    <xdr:col>4</xdr:col>
                    <xdr:colOff>693420</xdr:colOff>
                    <xdr:row>39</xdr:row>
                    <xdr:rowOff>0</xdr:rowOff>
                  </to>
                </anchor>
              </controlPr>
            </control>
          </mc:Choice>
        </mc:AlternateContent>
        <mc:AlternateContent xmlns:mc="http://schemas.openxmlformats.org/markup-compatibility/2006">
          <mc:Choice Requires="x14">
            <control shapeId="20570" r:id="rId94" name="Check Box 90">
              <controlPr defaultSize="0" autoFill="0" autoLine="0" autoPict="0">
                <anchor moveWithCells="1" sizeWithCells="1">
                  <from>
                    <xdr:col>4</xdr:col>
                    <xdr:colOff>640080</xdr:colOff>
                    <xdr:row>38</xdr:row>
                    <xdr:rowOff>0</xdr:rowOff>
                  </from>
                  <to>
                    <xdr:col>4</xdr:col>
                    <xdr:colOff>967740</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G518"/>
  <sheetViews>
    <sheetView tabSelected="1" zoomScaleNormal="100" workbookViewId="0">
      <selection activeCell="O1" sqref="O1"/>
    </sheetView>
  </sheetViews>
  <sheetFormatPr defaultColWidth="9" defaultRowHeight="14.1" customHeight="1"/>
  <cols>
    <col min="1" max="1" width="2.3984375" style="130" customWidth="1"/>
    <col min="2" max="2" width="2.3984375" style="118" customWidth="1"/>
    <col min="3" max="13" width="10.59765625" style="118" customWidth="1"/>
    <col min="14" max="14" width="2.3984375" style="118" customWidth="1"/>
    <col min="15" max="25" width="12.59765625" style="118" customWidth="1"/>
    <col min="26" max="33" width="10.59765625" style="118" customWidth="1"/>
    <col min="34" max="16384" width="9" style="154"/>
  </cols>
  <sheetData>
    <row r="1" spans="1:30" ht="14.1" customHeight="1" thickTop="1">
      <c r="A1" s="146">
        <v>1</v>
      </c>
      <c r="B1" s="147"/>
      <c r="C1" s="148"/>
      <c r="D1" s="148"/>
      <c r="E1" s="148"/>
      <c r="F1" s="148"/>
      <c r="G1" s="148"/>
      <c r="H1" s="148"/>
      <c r="I1" s="148"/>
      <c r="J1" s="148"/>
      <c r="K1" s="148"/>
      <c r="L1" s="148"/>
      <c r="M1" s="149"/>
      <c r="O1" s="150" t="s">
        <v>797</v>
      </c>
      <c r="P1" s="151"/>
      <c r="Q1" s="151"/>
      <c r="R1" s="151"/>
      <c r="S1" s="151"/>
      <c r="T1" s="151"/>
      <c r="U1" s="151"/>
      <c r="V1" s="151"/>
      <c r="W1" s="151"/>
      <c r="X1" s="151"/>
      <c r="Y1" s="152"/>
      <c r="AA1" s="153" t="s">
        <v>0</v>
      </c>
    </row>
    <row r="2" spans="1:30" ht="14.1" customHeight="1">
      <c r="A2" s="146">
        <v>2</v>
      </c>
      <c r="B2" s="155"/>
      <c r="C2" s="156"/>
      <c r="D2" s="156"/>
      <c r="E2" s="156"/>
      <c r="F2" s="156"/>
      <c r="G2" s="156"/>
      <c r="H2" s="157" t="s">
        <v>1</v>
      </c>
      <c r="I2" s="156"/>
      <c r="J2" s="156"/>
      <c r="K2" s="156"/>
      <c r="L2" s="156"/>
      <c r="M2" s="158"/>
      <c r="O2" s="159"/>
      <c r="T2" s="160" t="s">
        <v>1</v>
      </c>
      <c r="Y2" s="161"/>
      <c r="AA2" s="162" t="s">
        <v>765</v>
      </c>
    </row>
    <row r="3" spans="1:30" ht="14.1" customHeight="1">
      <c r="A3" s="146">
        <v>3</v>
      </c>
      <c r="B3" s="155"/>
      <c r="C3" s="156"/>
      <c r="D3" s="156"/>
      <c r="E3" s="156"/>
      <c r="F3" s="156"/>
      <c r="G3" s="156"/>
      <c r="H3" s="157" t="s">
        <v>2</v>
      </c>
      <c r="I3" s="156"/>
      <c r="J3" s="156"/>
      <c r="K3" s="156"/>
      <c r="L3" s="156"/>
      <c r="M3" s="158"/>
      <c r="O3" s="159"/>
      <c r="T3" s="160" t="s">
        <v>2</v>
      </c>
      <c r="Y3" s="161"/>
      <c r="AA3" s="163" t="str">
        <f>IF(AB7="","",AB7)</f>
        <v>Page1,Page2,CollimArtifact,AECSNR,kVRepro,ExpLinHVL,Compg1</v>
      </c>
    </row>
    <row r="4" spans="1:30" ht="14.1" customHeight="1">
      <c r="A4" s="146">
        <v>4</v>
      </c>
      <c r="B4" s="155"/>
      <c r="C4" s="156"/>
      <c r="D4" s="156"/>
      <c r="E4" s="156"/>
      <c r="F4" s="156"/>
      <c r="G4" s="156"/>
      <c r="H4" s="156"/>
      <c r="I4" s="156"/>
      <c r="J4" s="156"/>
      <c r="K4" s="156"/>
      <c r="L4" s="156"/>
      <c r="M4" s="158"/>
      <c r="O4" s="159"/>
      <c r="T4" s="130"/>
      <c r="Y4" s="161"/>
      <c r="AA4" s="136" t="s">
        <v>3</v>
      </c>
      <c r="AB4" s="164" t="s">
        <v>765</v>
      </c>
    </row>
    <row r="5" spans="1:30" ht="14.1" customHeight="1">
      <c r="A5" s="146">
        <v>5</v>
      </c>
      <c r="B5" s="155"/>
      <c r="C5" s="156"/>
      <c r="D5" s="156"/>
      <c r="E5" s="156"/>
      <c r="F5" s="156"/>
      <c r="G5" s="156"/>
      <c r="H5" s="157" t="s">
        <v>4</v>
      </c>
      <c r="I5" s="156"/>
      <c r="J5" s="156"/>
      <c r="K5" s="156"/>
      <c r="L5" s="156"/>
      <c r="M5" s="158"/>
      <c r="O5" s="159"/>
      <c r="T5" s="160" t="s">
        <v>4</v>
      </c>
      <c r="Y5" s="161"/>
    </row>
    <row r="6" spans="1:30" ht="14.1" customHeight="1" thickBot="1">
      <c r="A6" s="146">
        <v>6</v>
      </c>
      <c r="B6" s="165"/>
      <c r="C6" s="166"/>
      <c r="D6" s="166"/>
      <c r="E6" s="166"/>
      <c r="F6" s="166"/>
      <c r="G6" s="166"/>
      <c r="H6" s="166"/>
      <c r="I6" s="166"/>
      <c r="J6" s="166"/>
      <c r="K6" s="166"/>
      <c r="L6" s="166"/>
      <c r="M6" s="167"/>
      <c r="O6" s="168"/>
      <c r="P6" s="169"/>
      <c r="Q6" s="169"/>
      <c r="R6" s="169"/>
      <c r="S6" s="169"/>
      <c r="T6" s="169"/>
      <c r="U6" s="169"/>
      <c r="V6" s="169"/>
      <c r="W6" s="169"/>
      <c r="X6" s="169"/>
      <c r="Y6" s="170"/>
      <c r="AA6" s="171" t="s">
        <v>5</v>
      </c>
      <c r="AB6" s="118" t="s">
        <v>6</v>
      </c>
      <c r="AD6" s="118" t="s">
        <v>7</v>
      </c>
    </row>
    <row r="7" spans="1:30" ht="14.1" customHeight="1" thickTop="1">
      <c r="A7" s="146">
        <v>7</v>
      </c>
      <c r="O7" s="118" t="s">
        <v>8</v>
      </c>
      <c r="P7" s="172"/>
      <c r="Q7" s="173"/>
      <c r="W7" s="118" t="s">
        <v>9</v>
      </c>
      <c r="X7" s="174" t="str">
        <f>IF(Y7&lt;&gt;"",Y7,IF(AB9="","",AB9))</f>
        <v>Eugene Mah</v>
      </c>
      <c r="Y7" s="175" t="s">
        <v>10</v>
      </c>
      <c r="AA7" s="136" t="s">
        <v>0</v>
      </c>
      <c r="AB7" s="176" t="s">
        <v>765</v>
      </c>
      <c r="AC7" s="177" t="str">
        <f t="shared" ref="AC7:AC19" si="0">IF(AB7&lt;&gt;AD7,"Change","")</f>
        <v/>
      </c>
      <c r="AD7" s="178" t="str">
        <f>IF(OR(AA2="",AA2=0),"",AA2)</f>
        <v>Page1,Page2,CollimArtifact,AECSNR,kVRepro,ExpLinHVL,Compg1</v>
      </c>
    </row>
    <row r="8" spans="1:30" ht="14.1" customHeight="1" thickBot="1">
      <c r="A8" s="146">
        <v>8</v>
      </c>
      <c r="G8" s="179"/>
      <c r="H8" s="179" t="s">
        <v>11</v>
      </c>
      <c r="O8" s="118" t="s">
        <v>12</v>
      </c>
      <c r="P8" s="180" t="str">
        <f>IF(AB8="","",AB8)</f>
        <v/>
      </c>
      <c r="Q8" s="181"/>
      <c r="T8" s="138" t="s">
        <v>11</v>
      </c>
      <c r="W8" s="169"/>
      <c r="X8" s="169"/>
      <c r="Y8" s="182"/>
      <c r="AA8" s="136" t="s">
        <v>13</v>
      </c>
      <c r="AB8" s="183"/>
      <c r="AC8" s="177" t="str">
        <f t="shared" si="0"/>
        <v/>
      </c>
      <c r="AD8" s="184" t="str">
        <f>IF(P7="","",P7)</f>
        <v/>
      </c>
    </row>
    <row r="9" spans="1:30" ht="14.1" customHeight="1" thickTop="1">
      <c r="A9" s="146">
        <v>9</v>
      </c>
      <c r="B9" s="185"/>
      <c r="C9" s="186"/>
      <c r="D9" s="187" t="s">
        <v>14</v>
      </c>
      <c r="E9" s="186"/>
      <c r="F9" s="186"/>
      <c r="G9" s="186"/>
      <c r="H9" s="186"/>
      <c r="I9" s="186"/>
      <c r="J9" s="186"/>
      <c r="K9" s="186"/>
      <c r="L9" s="186"/>
      <c r="M9" s="188"/>
      <c r="O9" s="189"/>
      <c r="P9" s="190" t="s">
        <v>14</v>
      </c>
      <c r="Q9" s="151"/>
      <c r="R9" s="151"/>
      <c r="S9" s="191" t="s">
        <v>15</v>
      </c>
      <c r="T9" s="151"/>
      <c r="U9" s="151"/>
      <c r="V9" s="151"/>
      <c r="W9" s="191" t="s">
        <v>15</v>
      </c>
      <c r="X9" s="151"/>
      <c r="Y9" s="152"/>
      <c r="AA9" s="136" t="s">
        <v>16</v>
      </c>
      <c r="AB9" s="192" t="s">
        <v>10</v>
      </c>
      <c r="AC9" s="177" t="str">
        <f t="shared" si="0"/>
        <v/>
      </c>
      <c r="AD9" s="193" t="str">
        <f>IF(X7="","",X7)</f>
        <v>Eugene Mah</v>
      </c>
    </row>
    <row r="10" spans="1:30" ht="14.1" customHeight="1">
      <c r="A10" s="146">
        <v>10</v>
      </c>
      <c r="B10" s="194"/>
      <c r="E10" s="136" t="s">
        <v>22</v>
      </c>
      <c r="F10" s="762" t="str">
        <f>IF(R10="","",R10)</f>
        <v/>
      </c>
      <c r="G10" s="762"/>
      <c r="J10" s="136" t="s">
        <v>23</v>
      </c>
      <c r="K10" s="756" t="str">
        <f>IF(V10="","",V10)</f>
        <v/>
      </c>
      <c r="L10" s="756"/>
      <c r="M10" s="197"/>
      <c r="O10" s="159"/>
      <c r="Q10" s="136" t="s">
        <v>22</v>
      </c>
      <c r="R10" s="174" t="str">
        <f>IF(S10&lt;&gt;"",S10,IF(AB10="","",AB10))</f>
        <v/>
      </c>
      <c r="S10" s="175"/>
      <c r="U10" s="136" t="s">
        <v>23</v>
      </c>
      <c r="V10" s="174" t="str">
        <f>IF(W10&lt;&gt;"",W10,IF(AB15="","",AB15))</f>
        <v/>
      </c>
      <c r="W10" s="175"/>
      <c r="Y10" s="161"/>
      <c r="AA10" s="136" t="s">
        <v>22</v>
      </c>
      <c r="AB10" s="192"/>
      <c r="AC10" s="177" t="str">
        <f t="shared" si="0"/>
        <v/>
      </c>
      <c r="AD10" s="193" t="str">
        <f>IF(R10="","",R10)</f>
        <v/>
      </c>
    </row>
    <row r="11" spans="1:30" ht="14.1" customHeight="1">
      <c r="A11" s="146">
        <v>11</v>
      </c>
      <c r="B11" s="194"/>
      <c r="E11" s="136" t="s">
        <v>25</v>
      </c>
      <c r="F11" s="763" t="str">
        <f>IF(R11="","",R11)</f>
        <v/>
      </c>
      <c r="G11" s="763"/>
      <c r="J11" s="136" t="s">
        <v>26</v>
      </c>
      <c r="K11" s="756" t="str">
        <f>IF(V11="","",V11)</f>
        <v/>
      </c>
      <c r="L11" s="756"/>
      <c r="M11" s="197"/>
      <c r="O11" s="159"/>
      <c r="Q11" s="136" t="s">
        <v>25</v>
      </c>
      <c r="R11" s="174" t="str">
        <f>IF(S11&lt;&gt;"",S11,IF(AB11="","",AB11))</f>
        <v/>
      </c>
      <c r="S11" s="175"/>
      <c r="U11" s="136" t="s">
        <v>26</v>
      </c>
      <c r="V11" s="174" t="str">
        <f>IF(W11&lt;&gt;"",W11,IF(AB16="","",AB16))</f>
        <v/>
      </c>
      <c r="W11" s="175"/>
      <c r="Y11" s="161"/>
      <c r="AA11" s="136" t="s">
        <v>25</v>
      </c>
      <c r="AB11" s="192"/>
      <c r="AC11" s="177" t="str">
        <f t="shared" si="0"/>
        <v/>
      </c>
      <c r="AD11" s="193" t="str">
        <f>IF(R11="","",R11)</f>
        <v/>
      </c>
    </row>
    <row r="12" spans="1:30" ht="14.1" customHeight="1">
      <c r="A12" s="146">
        <v>12</v>
      </c>
      <c r="B12" s="194"/>
      <c r="E12" s="136" t="s">
        <v>27</v>
      </c>
      <c r="F12" s="763" t="str">
        <f>IF(R12="","",R12)</f>
        <v/>
      </c>
      <c r="G12" s="763"/>
      <c r="J12" s="136" t="s">
        <v>28</v>
      </c>
      <c r="K12" s="761" t="str">
        <f>IF(V12="","",V12)</f>
        <v/>
      </c>
      <c r="L12" s="761"/>
      <c r="M12" s="197"/>
      <c r="O12" s="159"/>
      <c r="Q12" s="136" t="s">
        <v>27</v>
      </c>
      <c r="R12" s="174" t="str">
        <f>IF(S12&lt;&gt;"",S12,IF(AB12="","",AB12))</f>
        <v/>
      </c>
      <c r="S12" s="175"/>
      <c r="U12" s="136" t="s">
        <v>28</v>
      </c>
      <c r="V12" s="198" t="str">
        <f>IF(W12&lt;&gt;"",W12,IF(AB17="","",AB17))</f>
        <v/>
      </c>
      <c r="W12" s="199"/>
      <c r="Y12" s="161"/>
      <c r="AA12" s="136" t="s">
        <v>27</v>
      </c>
      <c r="AB12" s="192"/>
      <c r="AC12" s="177" t="str">
        <f t="shared" si="0"/>
        <v/>
      </c>
      <c r="AD12" s="193" t="str">
        <f>IF(R12="","",R12)</f>
        <v/>
      </c>
    </row>
    <row r="13" spans="1:30" ht="14.1" customHeight="1">
      <c r="A13" s="146">
        <v>13</v>
      </c>
      <c r="B13" s="194"/>
      <c r="E13" s="136" t="s">
        <v>29</v>
      </c>
      <c r="F13" s="763" t="str">
        <f>IF(R13="","",R13)</f>
        <v/>
      </c>
      <c r="G13" s="763"/>
      <c r="J13" s="136" t="s">
        <v>30</v>
      </c>
      <c r="K13" s="756" t="str">
        <f>IF(V13="","",V13)</f>
        <v/>
      </c>
      <c r="L13" s="756"/>
      <c r="M13" s="197"/>
      <c r="O13" s="159"/>
      <c r="Q13" s="136" t="s">
        <v>29</v>
      </c>
      <c r="R13" s="174" t="str">
        <f>IF(S13&lt;&gt;"",S13,IF(AB13="","",AB13))</f>
        <v/>
      </c>
      <c r="S13" s="175"/>
      <c r="U13" s="136" t="s">
        <v>30</v>
      </c>
      <c r="V13" s="174" t="str">
        <f>IF(W13&lt;&gt;"",W13,IF(AB18="","",AB18))</f>
        <v/>
      </c>
      <c r="W13" s="175"/>
      <c r="Y13" s="161"/>
      <c r="AA13" s="136" t="s">
        <v>29</v>
      </c>
      <c r="AB13" s="192"/>
      <c r="AC13" s="177" t="str">
        <f t="shared" si="0"/>
        <v/>
      </c>
      <c r="AD13" s="193" t="str">
        <f>IF(R13="","",R13)</f>
        <v/>
      </c>
    </row>
    <row r="14" spans="1:30" ht="14.1" customHeight="1">
      <c r="A14" s="146">
        <v>14</v>
      </c>
      <c r="B14" s="194"/>
      <c r="M14" s="197"/>
      <c r="O14" s="159"/>
      <c r="Q14" s="136" t="s">
        <v>31</v>
      </c>
      <c r="R14" s="174" t="str">
        <f>IF(S14&lt;&gt;"",S14,IF(AB14="","",AB14))</f>
        <v/>
      </c>
      <c r="S14" s="175"/>
      <c r="U14" s="136" t="s">
        <v>32</v>
      </c>
      <c r="V14" s="174" t="str">
        <f>IF(W14&lt;&gt;"",W14,IF(AB19="","",AB19))</f>
        <v/>
      </c>
      <c r="W14" s="175"/>
      <c r="Y14" s="161"/>
      <c r="AA14" s="136" t="s">
        <v>31</v>
      </c>
      <c r="AB14" s="200"/>
      <c r="AC14" s="177" t="str">
        <f t="shared" si="0"/>
        <v/>
      </c>
      <c r="AD14" s="193" t="str">
        <f>IF(R14="","",R14)</f>
        <v/>
      </c>
    </row>
    <row r="15" spans="1:30" ht="14.1" customHeight="1">
      <c r="A15" s="146">
        <v>15</v>
      </c>
      <c r="B15" s="194"/>
      <c r="D15" s="117" t="s">
        <v>33</v>
      </c>
      <c r="M15" s="197"/>
      <c r="O15" s="159"/>
      <c r="Y15" s="161"/>
      <c r="AA15" s="136" t="s">
        <v>23</v>
      </c>
      <c r="AB15" s="192"/>
      <c r="AC15" s="177" t="str">
        <f t="shared" si="0"/>
        <v/>
      </c>
      <c r="AD15" s="193" t="str">
        <f>IF(V10="","",V10)</f>
        <v/>
      </c>
    </row>
    <row r="16" spans="1:30" ht="14.1" customHeight="1">
      <c r="A16" s="146">
        <v>16</v>
      </c>
      <c r="B16" s="194"/>
      <c r="E16" s="136" t="s">
        <v>34</v>
      </c>
      <c r="F16" s="756" t="str">
        <f>IF(R17="","",R17)</f>
        <v/>
      </c>
      <c r="G16" s="756"/>
      <c r="J16" s="136" t="s">
        <v>35</v>
      </c>
      <c r="K16" s="761" t="str">
        <f>IF(V17="","",V17)</f>
        <v/>
      </c>
      <c r="L16" s="761"/>
      <c r="M16" s="197"/>
      <c r="O16" s="159"/>
      <c r="P16" s="117" t="s">
        <v>33</v>
      </c>
      <c r="Y16" s="161"/>
      <c r="AA16" s="136" t="s">
        <v>26</v>
      </c>
      <c r="AB16" s="192"/>
      <c r="AC16" s="177" t="str">
        <f t="shared" si="0"/>
        <v/>
      </c>
      <c r="AD16" s="193" t="str">
        <f>IF(V11="","",V11)</f>
        <v/>
      </c>
    </row>
    <row r="17" spans="1:30" ht="14.1" customHeight="1">
      <c r="A17" s="146">
        <v>17</v>
      </c>
      <c r="B17" s="194"/>
      <c r="E17" s="136" t="s">
        <v>36</v>
      </c>
      <c r="F17" s="756" t="str">
        <f>IF(R18="","",R18)</f>
        <v/>
      </c>
      <c r="G17" s="756"/>
      <c r="J17" s="136" t="s">
        <v>37</v>
      </c>
      <c r="K17" s="756" t="str">
        <f>IF(V18="","",V18)</f>
        <v/>
      </c>
      <c r="L17" s="756"/>
      <c r="M17" s="197"/>
      <c r="O17" s="159"/>
      <c r="Q17" s="136" t="s">
        <v>34</v>
      </c>
      <c r="R17" s="174" t="str">
        <f>IF(S17&lt;&gt;"",S17,IF(AB21="","",AB21))</f>
        <v/>
      </c>
      <c r="S17" s="175"/>
      <c r="U17" s="136" t="s">
        <v>35</v>
      </c>
      <c r="V17" s="198" t="str">
        <f>IF(W17&lt;&gt;"",W17,IF(AB24="","",AB24))</f>
        <v/>
      </c>
      <c r="W17" s="201"/>
      <c r="Y17" s="161"/>
      <c r="AA17" s="136" t="s">
        <v>28</v>
      </c>
      <c r="AB17" s="202"/>
      <c r="AC17" s="177" t="str">
        <f t="shared" si="0"/>
        <v/>
      </c>
      <c r="AD17" s="203" t="str">
        <f>IF(V12="","",V12)</f>
        <v/>
      </c>
    </row>
    <row r="18" spans="1:30" ht="14.1" customHeight="1">
      <c r="A18" s="146">
        <v>18</v>
      </c>
      <c r="B18" s="194"/>
      <c r="E18" s="136" t="s">
        <v>38</v>
      </c>
      <c r="F18" s="756" t="str">
        <f>IF(R19="","",R19)</f>
        <v/>
      </c>
      <c r="G18" s="756"/>
      <c r="J18" s="136" t="s">
        <v>39</v>
      </c>
      <c r="K18" s="756" t="str">
        <f>IF(V19="","",V19)</f>
        <v/>
      </c>
      <c r="L18" s="756"/>
      <c r="M18" s="197"/>
      <c r="O18" s="159"/>
      <c r="Q18" s="136" t="s">
        <v>36</v>
      </c>
      <c r="R18" s="174" t="str">
        <f>IF(S18&lt;&gt;"",S18,IF(AB22="","",AB22))</f>
        <v/>
      </c>
      <c r="S18" s="175"/>
      <c r="U18" s="136" t="s">
        <v>37</v>
      </c>
      <c r="V18" s="174" t="str">
        <f>IF(W18&lt;&gt;"",W18,IF(AB25="","",AB25))</f>
        <v/>
      </c>
      <c r="W18" s="175"/>
      <c r="Y18" s="161"/>
      <c r="AA18" s="136" t="s">
        <v>30</v>
      </c>
      <c r="AB18" s="192"/>
      <c r="AC18" s="177" t="str">
        <f t="shared" si="0"/>
        <v/>
      </c>
      <c r="AD18" s="193" t="str">
        <f>IF(V13="","",V13)</f>
        <v/>
      </c>
    </row>
    <row r="19" spans="1:30" ht="14.1" customHeight="1">
      <c r="A19" s="146">
        <v>19</v>
      </c>
      <c r="B19" s="194"/>
      <c r="M19" s="197"/>
      <c r="O19" s="159"/>
      <c r="Q19" s="136" t="s">
        <v>38</v>
      </c>
      <c r="R19" s="174" t="str">
        <f>IF(S19&lt;&gt;"",S19,IF(AB23="","",AB23))</f>
        <v/>
      </c>
      <c r="S19" s="175"/>
      <c r="U19" s="136" t="s">
        <v>39</v>
      </c>
      <c r="V19" s="174" t="str">
        <f>IF(W19&lt;&gt;"",W19,IF(AB26="","",AB26))</f>
        <v/>
      </c>
      <c r="W19" s="175"/>
      <c r="Y19" s="161"/>
      <c r="AA19" s="136" t="s">
        <v>40</v>
      </c>
      <c r="AB19" s="192"/>
      <c r="AC19" s="177" t="str">
        <f t="shared" si="0"/>
        <v/>
      </c>
      <c r="AD19" s="193" t="str">
        <f>IF(V14="","",V14)</f>
        <v/>
      </c>
    </row>
    <row r="20" spans="1:30" ht="14.1" customHeight="1">
      <c r="A20" s="146">
        <v>20</v>
      </c>
      <c r="B20" s="194"/>
      <c r="D20" s="117" t="s">
        <v>41</v>
      </c>
      <c r="J20" s="204"/>
      <c r="M20" s="197"/>
      <c r="O20" s="159"/>
      <c r="Y20" s="161"/>
      <c r="AA20" s="171" t="s">
        <v>33</v>
      </c>
    </row>
    <row r="21" spans="1:30" ht="14.1" customHeight="1">
      <c r="A21" s="146">
        <v>21</v>
      </c>
      <c r="B21" s="194"/>
      <c r="E21" s="136" t="s">
        <v>42</v>
      </c>
      <c r="F21" s="756" t="str">
        <f>IF(R22="","",R22)</f>
        <v/>
      </c>
      <c r="G21" s="756"/>
      <c r="J21" s="136" t="s">
        <v>43</v>
      </c>
      <c r="K21" s="756" t="str">
        <f>IF(V21="","",V21)</f>
        <v/>
      </c>
      <c r="L21" s="756"/>
      <c r="M21" s="197"/>
      <c r="O21" s="159"/>
      <c r="P21" s="117" t="s">
        <v>41</v>
      </c>
      <c r="U21" s="117" t="s">
        <v>43</v>
      </c>
      <c r="V21" s="174" t="str">
        <f>IF(W21&lt;&gt;"",W21,IF(AB38="","",AB38))</f>
        <v/>
      </c>
      <c r="W21" s="175"/>
      <c r="Y21" s="161"/>
      <c r="AA21" s="136" t="s">
        <v>34</v>
      </c>
      <c r="AB21" s="192"/>
      <c r="AC21" s="177" t="str">
        <f t="shared" ref="AC21:AC26" si="1">IF(AB21&lt;&gt;AD21,"Change","")</f>
        <v/>
      </c>
      <c r="AD21" s="193" t="str">
        <f>IF(R17="","",R17)</f>
        <v/>
      </c>
    </row>
    <row r="22" spans="1:30" ht="14.1" customHeight="1">
      <c r="A22" s="146">
        <v>22</v>
      </c>
      <c r="B22" s="194"/>
      <c r="E22" s="136" t="s">
        <v>35</v>
      </c>
      <c r="F22" s="761" t="str">
        <f>IF(R23="","",R23)</f>
        <v/>
      </c>
      <c r="G22" s="761"/>
      <c r="J22" s="136"/>
      <c r="K22" s="756" t="str">
        <f>IF(V22="","",V22)</f>
        <v/>
      </c>
      <c r="L22" s="756"/>
      <c r="M22" s="197"/>
      <c r="O22" s="159"/>
      <c r="Q22" s="136" t="s">
        <v>42</v>
      </c>
      <c r="R22" s="174" t="str">
        <f>IF(S22&lt;&gt;"",S22,IF(AB28="","",AB28))</f>
        <v/>
      </c>
      <c r="S22" s="175"/>
      <c r="V22" s="174" t="str">
        <f>IF(W22&lt;&gt;"",W22,IF(AB39="","",AB39))</f>
        <v/>
      </c>
      <c r="W22" s="175"/>
      <c r="Y22" s="161"/>
      <c r="AA22" s="136" t="s">
        <v>36</v>
      </c>
      <c r="AB22" s="192"/>
      <c r="AC22" s="177" t="str">
        <f t="shared" si="1"/>
        <v/>
      </c>
      <c r="AD22" s="193" t="str">
        <f>IF(R18="","",R18)</f>
        <v/>
      </c>
    </row>
    <row r="23" spans="1:30" ht="14.1" customHeight="1">
      <c r="A23" s="146">
        <v>23</v>
      </c>
      <c r="B23" s="194"/>
      <c r="D23" s="117" t="s">
        <v>44</v>
      </c>
      <c r="J23" s="136" t="s">
        <v>45</v>
      </c>
      <c r="K23" s="756" t="str">
        <f>IF(V24="","",V24)</f>
        <v/>
      </c>
      <c r="L23" s="756"/>
      <c r="M23" s="197"/>
      <c r="O23" s="159"/>
      <c r="Q23" s="136" t="s">
        <v>35</v>
      </c>
      <c r="R23" s="198" t="str">
        <f>IF(S23&lt;&gt;"",S23,IF(AB29="","",AB29))</f>
        <v/>
      </c>
      <c r="S23" s="201"/>
      <c r="V23" s="154"/>
      <c r="W23" s="154"/>
      <c r="Y23" s="161"/>
      <c r="AA23" s="136" t="s">
        <v>38</v>
      </c>
      <c r="AB23" s="192"/>
      <c r="AC23" s="177" t="str">
        <f t="shared" si="1"/>
        <v/>
      </c>
      <c r="AD23" s="193" t="str">
        <f>IF(R19="","",R19)</f>
        <v/>
      </c>
    </row>
    <row r="24" spans="1:30" ht="14.1" customHeight="1">
      <c r="A24" s="146">
        <v>24</v>
      </c>
      <c r="B24" s="194"/>
      <c r="E24" s="136" t="s">
        <v>34</v>
      </c>
      <c r="F24" s="756" t="str">
        <f>IF(R25="","",R25)</f>
        <v/>
      </c>
      <c r="G24" s="756"/>
      <c r="K24" s="756" t="str">
        <f>IF(V25="","",V25)</f>
        <v/>
      </c>
      <c r="L24" s="756"/>
      <c r="M24" s="197"/>
      <c r="O24" s="159"/>
      <c r="P24" s="117" t="s">
        <v>44</v>
      </c>
      <c r="U24" s="117" t="s">
        <v>45</v>
      </c>
      <c r="V24" s="174" t="str">
        <f>IF(W24&lt;&gt;"",W24,IF(AB40="","",AB40))</f>
        <v/>
      </c>
      <c r="W24" s="175"/>
      <c r="Y24" s="161"/>
      <c r="AA24" s="136" t="s">
        <v>35</v>
      </c>
      <c r="AB24" s="202"/>
      <c r="AC24" s="177" t="str">
        <f t="shared" si="1"/>
        <v/>
      </c>
      <c r="AD24" s="203" t="str">
        <f>IF(V17="","",V17)</f>
        <v/>
      </c>
    </row>
    <row r="25" spans="1:30" ht="14.1" customHeight="1">
      <c r="A25" s="146">
        <v>25</v>
      </c>
      <c r="B25" s="194"/>
      <c r="E25" s="136" t="s">
        <v>36</v>
      </c>
      <c r="F25" s="756" t="str">
        <f>IF(R26="","",R26)</f>
        <v/>
      </c>
      <c r="G25" s="756"/>
      <c r="J25" s="154"/>
      <c r="K25" s="756" t="str">
        <f>IF(V26="","",V26)</f>
        <v/>
      </c>
      <c r="L25" s="756"/>
      <c r="M25" s="197"/>
      <c r="O25" s="159"/>
      <c r="Q25" s="136" t="s">
        <v>34</v>
      </c>
      <c r="R25" s="174" t="str">
        <f>IF(S25&lt;&gt;"",S25,IF(AB30="","",AB30))</f>
        <v/>
      </c>
      <c r="S25" s="175"/>
      <c r="V25" s="174" t="str">
        <f>IF(W25&lt;&gt;"",W25,IF(AB41="","",AB41))</f>
        <v/>
      </c>
      <c r="W25" s="175"/>
      <c r="Y25" s="161"/>
      <c r="AA25" s="136" t="s">
        <v>37</v>
      </c>
      <c r="AB25" s="192"/>
      <c r="AC25" s="177" t="str">
        <f t="shared" si="1"/>
        <v/>
      </c>
      <c r="AD25" s="193" t="str">
        <f>IF(V18="","",V18)</f>
        <v/>
      </c>
    </row>
    <row r="26" spans="1:30" ht="14.1" customHeight="1">
      <c r="A26" s="146">
        <v>26</v>
      </c>
      <c r="B26" s="194"/>
      <c r="E26" s="136" t="s">
        <v>37</v>
      </c>
      <c r="F26" s="756" t="str">
        <f>IF(R27="","",R27)</f>
        <v/>
      </c>
      <c r="G26" s="756"/>
      <c r="I26" s="117" t="s">
        <v>47</v>
      </c>
      <c r="J26" s="154"/>
      <c r="K26" s="154"/>
      <c r="L26" s="154"/>
      <c r="M26" s="197"/>
      <c r="O26" s="159"/>
      <c r="Q26" s="136" t="s">
        <v>36</v>
      </c>
      <c r="R26" s="174" t="str">
        <f>IF(S26&lt;&gt;"",S26,IF(AB31="","",AB31))</f>
        <v/>
      </c>
      <c r="S26" s="175"/>
      <c r="V26" s="154"/>
      <c r="W26" s="154"/>
      <c r="Y26" s="161"/>
      <c r="AA26" s="136" t="s">
        <v>39</v>
      </c>
      <c r="AB26" s="192"/>
      <c r="AC26" s="177" t="str">
        <f t="shared" si="1"/>
        <v/>
      </c>
      <c r="AD26" s="193" t="str">
        <f>IF(V19="","",V19)</f>
        <v/>
      </c>
    </row>
    <row r="27" spans="1:30" ht="14.1" customHeight="1">
      <c r="A27" s="146">
        <v>27</v>
      </c>
      <c r="B27" s="194"/>
      <c r="D27" s="117" t="s">
        <v>48</v>
      </c>
      <c r="J27" s="136" t="s">
        <v>49</v>
      </c>
      <c r="K27" s="756" t="str">
        <f>IF(V28="","",V28)</f>
        <v/>
      </c>
      <c r="L27" s="756"/>
      <c r="M27" s="197"/>
      <c r="O27" s="159"/>
      <c r="Q27" s="136" t="s">
        <v>37</v>
      </c>
      <c r="R27" s="174" t="str">
        <f>IF(S27&lt;&gt;"",S27,IF(AB32="","",AB32))</f>
        <v/>
      </c>
      <c r="S27" s="175"/>
      <c r="U27" s="204" t="s">
        <v>47</v>
      </c>
      <c r="Y27" s="161"/>
      <c r="AA27" s="117" t="s">
        <v>41</v>
      </c>
    </row>
    <row r="28" spans="1:30" ht="14.1" customHeight="1">
      <c r="A28" s="146">
        <v>28</v>
      </c>
      <c r="B28" s="194"/>
      <c r="E28" s="136" t="s">
        <v>34</v>
      </c>
      <c r="F28" s="756" t="str">
        <f>IF(R29="","",R29)</f>
        <v/>
      </c>
      <c r="G28" s="756"/>
      <c r="I28" s="154"/>
      <c r="J28" s="136" t="s">
        <v>50</v>
      </c>
      <c r="K28" s="756" t="str">
        <f>IF(V29="","",V29)</f>
        <v/>
      </c>
      <c r="L28" s="756"/>
      <c r="M28" s="197"/>
      <c r="O28" s="159"/>
      <c r="P28" s="117" t="s">
        <v>48</v>
      </c>
      <c r="U28" s="136" t="s">
        <v>49</v>
      </c>
      <c r="V28" s="174" t="str">
        <f>IF(W28&lt;&gt;"",W28,IF(AB36="","",AB36))</f>
        <v/>
      </c>
      <c r="W28" s="175"/>
      <c r="Y28" s="161"/>
      <c r="AA28" s="136" t="s">
        <v>42</v>
      </c>
      <c r="AB28" s="192"/>
      <c r="AC28" s="177" t="str">
        <f t="shared" ref="AC28:AC43" si="2">IF(AB28&lt;&gt;AD28,"Change","")</f>
        <v/>
      </c>
      <c r="AD28" s="193" t="str">
        <f>IF(R22="","",R22)</f>
        <v/>
      </c>
    </row>
    <row r="29" spans="1:30" ht="14.1" customHeight="1">
      <c r="A29" s="146">
        <v>29</v>
      </c>
      <c r="B29" s="194"/>
      <c r="E29" s="136" t="s">
        <v>36</v>
      </c>
      <c r="F29" s="756" t="str">
        <f>IF(R30="","",R30)</f>
        <v/>
      </c>
      <c r="G29" s="756"/>
      <c r="I29" s="117" t="s">
        <v>51</v>
      </c>
      <c r="J29" s="136" t="s">
        <v>52</v>
      </c>
      <c r="K29" s="756" t="str">
        <f>IF(V32="","",V32)</f>
        <v/>
      </c>
      <c r="L29" s="756"/>
      <c r="M29" s="197"/>
      <c r="O29" s="159"/>
      <c r="Q29" s="136" t="s">
        <v>34</v>
      </c>
      <c r="R29" s="174" t="str">
        <f>IF(S29&lt;&gt;"",S29,IF(AB33="","",AB33))</f>
        <v/>
      </c>
      <c r="S29" s="175"/>
      <c r="U29" s="136" t="s">
        <v>50</v>
      </c>
      <c r="V29" s="174" t="str">
        <f>IF(W29&lt;&gt;"",W29,IF(AB37="","",AB37))</f>
        <v/>
      </c>
      <c r="W29" s="175"/>
      <c r="Y29" s="161"/>
      <c r="AA29" s="136" t="s">
        <v>35</v>
      </c>
      <c r="AB29" s="202"/>
      <c r="AC29" s="177" t="str">
        <f t="shared" si="2"/>
        <v/>
      </c>
      <c r="AD29" s="203" t="str">
        <f>IF(R23="","",R23)</f>
        <v/>
      </c>
    </row>
    <row r="30" spans="1:30" ht="14.1" customHeight="1">
      <c r="A30" s="146">
        <v>30</v>
      </c>
      <c r="B30" s="194"/>
      <c r="E30" s="136" t="s">
        <v>37</v>
      </c>
      <c r="F30" s="756" t="str">
        <f>IF(R31="","",R31)</f>
        <v/>
      </c>
      <c r="G30" s="756"/>
      <c r="J30" s="136" t="s">
        <v>53</v>
      </c>
      <c r="K30" s="756" t="str">
        <f>IF(V33="","",V33)</f>
        <v/>
      </c>
      <c r="L30" s="756"/>
      <c r="M30" s="197"/>
      <c r="O30" s="159"/>
      <c r="Q30" s="136" t="s">
        <v>36</v>
      </c>
      <c r="R30" s="174" t="str">
        <f>IF(S30&lt;&gt;"",S30,IF(AB34="","",AB34))</f>
        <v/>
      </c>
      <c r="S30" s="175"/>
      <c r="Y30" s="161"/>
      <c r="AA30" s="136" t="s">
        <v>34</v>
      </c>
      <c r="AB30" s="192"/>
      <c r="AC30" s="177" t="str">
        <f t="shared" si="2"/>
        <v/>
      </c>
      <c r="AD30" s="193" t="str">
        <f>IF(R25="","",R25)</f>
        <v/>
      </c>
    </row>
    <row r="31" spans="1:30" ht="14.1" customHeight="1" thickBot="1">
      <c r="A31" s="146">
        <v>31</v>
      </c>
      <c r="B31" s="205"/>
      <c r="C31" s="206"/>
      <c r="D31" s="206"/>
      <c r="E31" s="206"/>
      <c r="F31" s="206"/>
      <c r="G31" s="206"/>
      <c r="H31" s="206"/>
      <c r="I31" s="206"/>
      <c r="J31" s="206"/>
      <c r="K31" s="206"/>
      <c r="L31" s="206"/>
      <c r="M31" s="207"/>
      <c r="O31" s="159"/>
      <c r="Q31" s="136" t="s">
        <v>37</v>
      </c>
      <c r="R31" s="174" t="str">
        <f>IF(S31&lt;&gt;"",S31,IF(AB35="","",AB35))</f>
        <v/>
      </c>
      <c r="S31" s="175"/>
      <c r="U31" s="117" t="s">
        <v>51</v>
      </c>
      <c r="Y31" s="161"/>
      <c r="AA31" s="136" t="s">
        <v>36</v>
      </c>
      <c r="AB31" s="192"/>
      <c r="AC31" s="177" t="str">
        <f t="shared" si="2"/>
        <v/>
      </c>
      <c r="AD31" s="193" t="str">
        <f>IF(R26="","",R26)</f>
        <v/>
      </c>
    </row>
    <row r="32" spans="1:30" ht="14.1" customHeight="1" thickTop="1">
      <c r="A32" s="146">
        <v>32</v>
      </c>
      <c r="O32" s="159"/>
      <c r="U32" s="136" t="s">
        <v>52</v>
      </c>
      <c r="V32" s="174" t="str">
        <f>IF(W32&lt;&gt;"",W32,IF(AB42="","",AB42))</f>
        <v/>
      </c>
      <c r="W32" s="175"/>
      <c r="Y32" s="161"/>
      <c r="AA32" s="136" t="s">
        <v>37</v>
      </c>
      <c r="AB32" s="192"/>
      <c r="AC32" s="177" t="str">
        <f t="shared" si="2"/>
        <v/>
      </c>
      <c r="AD32" s="193" t="str">
        <f>IF(R27="","",R27)</f>
        <v/>
      </c>
    </row>
    <row r="33" spans="1:30" ht="14.1" customHeight="1" thickBot="1">
      <c r="A33" s="146">
        <v>33</v>
      </c>
      <c r="H33" s="179" t="s">
        <v>54</v>
      </c>
      <c r="O33" s="208">
        <v>1</v>
      </c>
      <c r="P33" s="118" t="s">
        <v>614</v>
      </c>
      <c r="U33" s="136" t="s">
        <v>53</v>
      </c>
      <c r="V33" s="174" t="str">
        <f>IF(W33&lt;&gt;"",W33,IF(AB43="","",AB43))</f>
        <v/>
      </c>
      <c r="W33" s="175"/>
      <c r="Y33" s="161"/>
      <c r="AA33" s="136" t="s">
        <v>34</v>
      </c>
      <c r="AB33" s="192"/>
      <c r="AC33" s="177" t="str">
        <f t="shared" si="2"/>
        <v/>
      </c>
      <c r="AD33" s="193" t="str">
        <f>IF(R29="","",R29)</f>
        <v/>
      </c>
    </row>
    <row r="34" spans="1:30" ht="14.1" customHeight="1" thickTop="1" thickBot="1">
      <c r="A34" s="146">
        <v>34</v>
      </c>
      <c r="B34" s="185"/>
      <c r="C34" s="186"/>
      <c r="D34" s="186"/>
      <c r="E34" s="186"/>
      <c r="F34" s="186"/>
      <c r="G34" s="186"/>
      <c r="H34" s="186"/>
      <c r="I34" s="186"/>
      <c r="J34" s="186"/>
      <c r="K34" s="186"/>
      <c r="L34" s="186"/>
      <c r="M34" s="188"/>
      <c r="O34" s="209"/>
      <c r="P34" s="118" t="s">
        <v>747</v>
      </c>
      <c r="U34" s="154"/>
      <c r="V34" s="154"/>
      <c r="W34" s="154"/>
      <c r="Y34" s="161"/>
      <c r="AA34" s="136" t="s">
        <v>36</v>
      </c>
      <c r="AB34" s="192"/>
      <c r="AC34" s="177" t="str">
        <f t="shared" si="2"/>
        <v/>
      </c>
      <c r="AD34" s="193" t="str">
        <f>IF(R30="","",R30)</f>
        <v/>
      </c>
    </row>
    <row r="35" spans="1:30" ht="14.1" customHeight="1" thickBot="1">
      <c r="A35" s="146">
        <v>35</v>
      </c>
      <c r="B35" s="194"/>
      <c r="C35" s="210" t="s">
        <v>55</v>
      </c>
      <c r="D35" s="764" t="s">
        <v>56</v>
      </c>
      <c r="E35" s="764"/>
      <c r="F35" s="764"/>
      <c r="G35" s="764" t="s">
        <v>57</v>
      </c>
      <c r="H35" s="764"/>
      <c r="I35" s="764"/>
      <c r="J35" s="764" t="s">
        <v>58</v>
      </c>
      <c r="K35" s="764"/>
      <c r="L35" s="764"/>
      <c r="M35" s="197"/>
      <c r="O35" s="105"/>
      <c r="P35" s="106" t="s">
        <v>763</v>
      </c>
      <c r="Q35" s="169"/>
      <c r="R35" s="169"/>
      <c r="S35" s="169"/>
      <c r="T35" s="169"/>
      <c r="U35" s="169"/>
      <c r="V35" s="169"/>
      <c r="W35" s="169"/>
      <c r="X35" s="169"/>
      <c r="Y35" s="170"/>
      <c r="AA35" s="136" t="s">
        <v>37</v>
      </c>
      <c r="AB35" s="192"/>
      <c r="AC35" s="177" t="str">
        <f t="shared" si="2"/>
        <v/>
      </c>
      <c r="AD35" s="193" t="str">
        <f>IF(R31="","",R31)</f>
        <v/>
      </c>
    </row>
    <row r="36" spans="1:30" ht="14.1" customHeight="1">
      <c r="A36" s="146">
        <v>36</v>
      </c>
      <c r="B36" s="194"/>
      <c r="C36" s="211" t="s">
        <v>59</v>
      </c>
      <c r="D36" s="212"/>
      <c r="E36" s="213"/>
      <c r="F36" s="214"/>
      <c r="G36" s="765" t="s">
        <v>60</v>
      </c>
      <c r="H36" s="765"/>
      <c r="I36" s="765"/>
      <c r="J36" s="212"/>
      <c r="K36" s="213"/>
      <c r="L36" s="214"/>
      <c r="M36" s="197"/>
      <c r="AA36" s="136" t="s">
        <v>49</v>
      </c>
      <c r="AB36" s="192"/>
      <c r="AC36" s="177" t="str">
        <f t="shared" si="2"/>
        <v/>
      </c>
      <c r="AD36" s="193" t="str">
        <f>IF(V28="","",V28)</f>
        <v/>
      </c>
    </row>
    <row r="37" spans="1:30" ht="14.1" customHeight="1" thickBot="1">
      <c r="A37" s="146">
        <v>37</v>
      </c>
      <c r="B37" s="194"/>
      <c r="C37" s="211" t="s">
        <v>61</v>
      </c>
      <c r="D37" s="215" t="s">
        <v>62</v>
      </c>
      <c r="E37" s="216" t="s">
        <v>19</v>
      </c>
      <c r="F37" s="217" t="s">
        <v>63</v>
      </c>
      <c r="G37" s="215" t="s">
        <v>62</v>
      </c>
      <c r="H37" s="216" t="s">
        <v>19</v>
      </c>
      <c r="I37" s="217" t="s">
        <v>63</v>
      </c>
      <c r="J37" s="215" t="s">
        <v>62</v>
      </c>
      <c r="K37" s="216" t="s">
        <v>19</v>
      </c>
      <c r="L37" s="217" t="s">
        <v>63</v>
      </c>
      <c r="M37" s="197"/>
      <c r="T37" s="138" t="s">
        <v>64</v>
      </c>
      <c r="AA37" s="136" t="s">
        <v>50</v>
      </c>
      <c r="AB37" s="192"/>
      <c r="AC37" s="177" t="str">
        <f t="shared" si="2"/>
        <v/>
      </c>
      <c r="AD37" s="193" t="str">
        <f>IF(V29="","",V29)</f>
        <v/>
      </c>
    </row>
    <row r="38" spans="1:30" ht="14.1" customHeight="1" thickTop="1">
      <c r="A38" s="146">
        <v>38</v>
      </c>
      <c r="B38" s="194"/>
      <c r="C38" s="218" t="s">
        <v>65</v>
      </c>
      <c r="D38" s="219" t="str">
        <f t="shared" ref="D38:L41" si="3">P124</f>
        <v/>
      </c>
      <c r="E38" s="220" t="str">
        <f t="shared" si="3"/>
        <v/>
      </c>
      <c r="F38" s="221" t="str">
        <f t="shared" si="3"/>
        <v/>
      </c>
      <c r="G38" s="219" t="str">
        <f t="shared" si="3"/>
        <v/>
      </c>
      <c r="H38" s="220" t="str">
        <f t="shared" si="3"/>
        <v/>
      </c>
      <c r="I38" s="221" t="str">
        <f t="shared" si="3"/>
        <v/>
      </c>
      <c r="J38" s="219" t="str">
        <f t="shared" si="3"/>
        <v/>
      </c>
      <c r="K38" s="220" t="str">
        <f t="shared" si="3"/>
        <v/>
      </c>
      <c r="L38" s="221" t="str">
        <f t="shared" si="3"/>
        <v/>
      </c>
      <c r="M38" s="197"/>
      <c r="O38" s="222" t="s">
        <v>66</v>
      </c>
      <c r="P38" s="151"/>
      <c r="Q38" s="151"/>
      <c r="R38" s="151"/>
      <c r="S38" s="151"/>
      <c r="T38" s="151"/>
      <c r="U38" s="151"/>
      <c r="V38" s="151"/>
      <c r="W38" s="151"/>
      <c r="X38" s="151"/>
      <c r="Y38" s="152"/>
      <c r="AA38" s="136" t="s">
        <v>67</v>
      </c>
      <c r="AB38" s="192"/>
      <c r="AC38" s="177" t="str">
        <f t="shared" si="2"/>
        <v/>
      </c>
      <c r="AD38" s="193" t="str">
        <f>IF(V21="","",V21)</f>
        <v/>
      </c>
    </row>
    <row r="39" spans="1:30" ht="14.1" customHeight="1">
      <c r="A39" s="146">
        <v>39</v>
      </c>
      <c r="B39" s="194"/>
      <c r="C39" s="223" t="s">
        <v>68</v>
      </c>
      <c r="D39" s="224" t="str">
        <f t="shared" si="3"/>
        <v/>
      </c>
      <c r="E39" s="122" t="str">
        <f t="shared" si="3"/>
        <v/>
      </c>
      <c r="F39" s="123" t="str">
        <f t="shared" si="3"/>
        <v/>
      </c>
      <c r="G39" s="224" t="str">
        <f t="shared" si="3"/>
        <v/>
      </c>
      <c r="H39" s="122" t="str">
        <f t="shared" si="3"/>
        <v/>
      </c>
      <c r="I39" s="123" t="str">
        <f t="shared" si="3"/>
        <v/>
      </c>
      <c r="J39" s="224" t="str">
        <f t="shared" si="3"/>
        <v/>
      </c>
      <c r="K39" s="122" t="str">
        <f t="shared" si="3"/>
        <v/>
      </c>
      <c r="L39" s="123" t="str">
        <f t="shared" si="3"/>
        <v/>
      </c>
      <c r="M39" s="197"/>
      <c r="O39" s="208"/>
      <c r="P39" s="164" t="s">
        <v>69</v>
      </c>
      <c r="Y39" s="161"/>
      <c r="AA39" s="136" t="s">
        <v>70</v>
      </c>
      <c r="AB39" s="192"/>
      <c r="AC39" s="177" t="str">
        <f t="shared" si="2"/>
        <v/>
      </c>
      <c r="AD39" s="193" t="str">
        <f>IF(V22="","",V22)</f>
        <v/>
      </c>
    </row>
    <row r="40" spans="1:30" ht="14.1" customHeight="1">
      <c r="A40" s="146">
        <v>40</v>
      </c>
      <c r="B40" s="194"/>
      <c r="C40" s="223" t="s">
        <v>71</v>
      </c>
      <c r="D40" s="224" t="str">
        <f t="shared" si="3"/>
        <v/>
      </c>
      <c r="E40" s="122" t="str">
        <f t="shared" si="3"/>
        <v/>
      </c>
      <c r="F40" s="123" t="str">
        <f t="shared" si="3"/>
        <v/>
      </c>
      <c r="G40" s="224" t="str">
        <f t="shared" si="3"/>
        <v/>
      </c>
      <c r="H40" s="122" t="str">
        <f t="shared" si="3"/>
        <v/>
      </c>
      <c r="I40" s="123" t="str">
        <f t="shared" si="3"/>
        <v/>
      </c>
      <c r="J40" s="224" t="str">
        <f t="shared" si="3"/>
        <v/>
      </c>
      <c r="K40" s="122" t="str">
        <f t="shared" si="3"/>
        <v/>
      </c>
      <c r="L40" s="123" t="str">
        <f t="shared" si="3"/>
        <v/>
      </c>
      <c r="M40" s="197"/>
      <c r="O40" s="208"/>
      <c r="P40" s="164" t="s">
        <v>764</v>
      </c>
      <c r="Y40" s="161"/>
      <c r="AA40" s="136" t="s">
        <v>73</v>
      </c>
      <c r="AB40" s="192"/>
      <c r="AC40" s="177" t="str">
        <f t="shared" si="2"/>
        <v/>
      </c>
      <c r="AD40" s="193" t="str">
        <f>IF(V24="","",V24)</f>
        <v/>
      </c>
    </row>
    <row r="41" spans="1:30" ht="14.1" customHeight="1" thickBot="1">
      <c r="A41" s="146">
        <v>41</v>
      </c>
      <c r="B41" s="194"/>
      <c r="C41" s="225" t="s">
        <v>74</v>
      </c>
      <c r="D41" s="226" t="str">
        <f t="shared" si="3"/>
        <v/>
      </c>
      <c r="E41" s="125" t="str">
        <f t="shared" si="3"/>
        <v/>
      </c>
      <c r="F41" s="126" t="str">
        <f t="shared" si="3"/>
        <v/>
      </c>
      <c r="G41" s="226" t="str">
        <f t="shared" si="3"/>
        <v/>
      </c>
      <c r="H41" s="125" t="str">
        <f t="shared" si="3"/>
        <v/>
      </c>
      <c r="I41" s="126" t="str">
        <f t="shared" si="3"/>
        <v/>
      </c>
      <c r="J41" s="226" t="str">
        <f t="shared" si="3"/>
        <v/>
      </c>
      <c r="K41" s="125" t="str">
        <f t="shared" si="3"/>
        <v/>
      </c>
      <c r="L41" s="126" t="str">
        <f t="shared" si="3"/>
        <v/>
      </c>
      <c r="M41" s="197"/>
      <c r="O41" s="208"/>
      <c r="P41" s="164" t="s">
        <v>75</v>
      </c>
      <c r="Y41" s="161"/>
      <c r="AA41" s="136" t="s">
        <v>76</v>
      </c>
      <c r="AB41" s="192"/>
      <c r="AC41" s="177" t="str">
        <f t="shared" si="2"/>
        <v/>
      </c>
      <c r="AD41" s="193" t="str">
        <f>IF(V25="","",V25)</f>
        <v/>
      </c>
    </row>
    <row r="42" spans="1:30" ht="14.1" customHeight="1">
      <c r="A42" s="146">
        <v>42</v>
      </c>
      <c r="B42" s="194"/>
      <c r="M42" s="197"/>
      <c r="O42" s="208"/>
      <c r="P42" s="164" t="s">
        <v>77</v>
      </c>
      <c r="Y42" s="161"/>
      <c r="AA42" s="136" t="s">
        <v>52</v>
      </c>
      <c r="AB42" s="192"/>
      <c r="AC42" s="177" t="str">
        <f t="shared" si="2"/>
        <v/>
      </c>
      <c r="AD42" s="193" t="str">
        <f>IF(V32="","",V32)</f>
        <v/>
      </c>
    </row>
    <row r="43" spans="1:30" ht="14.1" customHeight="1">
      <c r="A43" s="146">
        <v>43</v>
      </c>
      <c r="B43" s="194"/>
      <c r="H43" s="179" t="s">
        <v>64</v>
      </c>
      <c r="M43" s="197"/>
      <c r="O43" s="208"/>
      <c r="P43" s="164" t="s">
        <v>78</v>
      </c>
      <c r="Y43" s="161"/>
      <c r="AA43" s="136" t="s">
        <v>79</v>
      </c>
      <c r="AB43" s="192"/>
      <c r="AC43" s="177" t="str">
        <f t="shared" si="2"/>
        <v/>
      </c>
      <c r="AD43" s="193" t="str">
        <f>IF(V33="","",V33)</f>
        <v/>
      </c>
    </row>
    <row r="44" spans="1:30" ht="14.1" customHeight="1">
      <c r="A44" s="146">
        <v>44</v>
      </c>
      <c r="B44" s="194"/>
      <c r="C44" s="227" t="s">
        <v>80</v>
      </c>
      <c r="L44" s="766" t="s">
        <v>81</v>
      </c>
      <c r="M44" s="766"/>
      <c r="O44" s="107"/>
      <c r="P44" s="108" t="str">
        <f>IF(OR(O35="",O35=1),"Unit installed as shown on shielding plan","")</f>
        <v>Unit installed as shown on shielding plan</v>
      </c>
      <c r="Y44" s="161"/>
      <c r="AA44" s="117" t="s">
        <v>54</v>
      </c>
    </row>
    <row r="45" spans="1:30" ht="14.1" customHeight="1">
      <c r="A45" s="146">
        <v>45</v>
      </c>
      <c r="B45" s="194"/>
      <c r="C45" s="164" t="s">
        <v>82</v>
      </c>
      <c r="E45" s="164" t="s">
        <v>69</v>
      </c>
      <c r="L45" s="228" t="str">
        <f>IF(O39="","TBD",IF(O39=1,"YES",IF(O39=3,"NA","")))</f>
        <v>TBD</v>
      </c>
      <c r="M45" s="229" t="str">
        <f t="shared" ref="M45:M50" si="4">IF(O39=2,"NO","")</f>
        <v/>
      </c>
      <c r="O45" s="159"/>
      <c r="T45" s="138" t="s">
        <v>750</v>
      </c>
      <c r="Y45" s="161"/>
      <c r="AA45" s="171" t="s">
        <v>56</v>
      </c>
    </row>
    <row r="46" spans="1:30" ht="14.1" customHeight="1">
      <c r="A46" s="146">
        <v>46</v>
      </c>
      <c r="B46" s="194"/>
      <c r="C46" s="164" t="s">
        <v>784</v>
      </c>
      <c r="E46" s="164" t="s">
        <v>72</v>
      </c>
      <c r="L46" s="228" t="str">
        <f>IF(O40="","TBD",IF(O40=1,"YES",IF(O40=3,"NA","")))</f>
        <v>TBD</v>
      </c>
      <c r="M46" s="229" t="str">
        <f t="shared" si="4"/>
        <v/>
      </c>
      <c r="O46" s="208">
        <v>3</v>
      </c>
      <c r="P46" s="118" t="s">
        <v>483</v>
      </c>
      <c r="Y46" s="161"/>
      <c r="AA46" s="136" t="s">
        <v>85</v>
      </c>
      <c r="AB46" s="192"/>
      <c r="AD46" s="193" t="str">
        <f>IF(P124="","",P124)</f>
        <v/>
      </c>
    </row>
    <row r="47" spans="1:30" ht="14.1" customHeight="1">
      <c r="A47" s="146">
        <v>47</v>
      </c>
      <c r="B47" s="194"/>
      <c r="C47" s="164" t="s">
        <v>86</v>
      </c>
      <c r="E47" s="164" t="s">
        <v>75</v>
      </c>
      <c r="L47" s="228" t="str">
        <f>IF(O41="","TBD",IF(O41=1,"YES",IF(O41=3,"NA","")))</f>
        <v>TBD</v>
      </c>
      <c r="M47" s="229" t="str">
        <f t="shared" si="4"/>
        <v/>
      </c>
      <c r="O47" s="208"/>
      <c r="P47" s="118" t="s">
        <v>484</v>
      </c>
      <c r="Y47" s="161"/>
      <c r="AA47" s="136" t="s">
        <v>88</v>
      </c>
      <c r="AB47" s="192"/>
      <c r="AD47" s="193" t="str">
        <f>IF(Q124="","",Q124)</f>
        <v/>
      </c>
    </row>
    <row r="48" spans="1:30" ht="14.1" customHeight="1">
      <c r="A48" s="146">
        <v>48</v>
      </c>
      <c r="B48" s="194"/>
      <c r="E48" s="164" t="s">
        <v>77</v>
      </c>
      <c r="L48" s="228" t="str">
        <f>IF(O42="","TBD",IF(O42=1,"YES",IF(O42=3,"NA","")))</f>
        <v>TBD</v>
      </c>
      <c r="M48" s="229" t="str">
        <f t="shared" si="4"/>
        <v/>
      </c>
      <c r="O48" s="208"/>
      <c r="P48" s="118" t="s">
        <v>485</v>
      </c>
      <c r="Y48" s="161"/>
      <c r="AA48" s="136" t="s">
        <v>90</v>
      </c>
      <c r="AB48" s="192"/>
      <c r="AD48" s="193" t="str">
        <f>IF(R124="","",R124)</f>
        <v/>
      </c>
    </row>
    <row r="49" spans="1:30" ht="14.1" customHeight="1">
      <c r="A49" s="146">
        <v>49</v>
      </c>
      <c r="B49" s="194"/>
      <c r="E49" s="164" t="s">
        <v>78</v>
      </c>
      <c r="L49" s="228" t="str">
        <f>IF(O43="","TBD",IF(O43=1,"YES",IF(O43=3,"NA","")))</f>
        <v>TBD</v>
      </c>
      <c r="M49" s="229" t="str">
        <f t="shared" si="4"/>
        <v/>
      </c>
      <c r="O49" s="208"/>
      <c r="P49" s="118" t="s">
        <v>486</v>
      </c>
      <c r="Y49" s="161"/>
      <c r="AA49" s="136" t="s">
        <v>85</v>
      </c>
      <c r="AB49" s="192"/>
      <c r="AD49" s="193" t="str">
        <f>IF(P125="","",P125)</f>
        <v/>
      </c>
    </row>
    <row r="50" spans="1:30" ht="14.1" customHeight="1">
      <c r="A50" s="146">
        <v>50</v>
      </c>
      <c r="B50" s="194"/>
      <c r="E50" s="118" t="str">
        <f>P44</f>
        <v>Unit installed as shown on shielding plan</v>
      </c>
      <c r="L50" s="228" t="str">
        <f>IF(O35=2,"",IF(O44="","TBD",IF(O44=1,"YES",IF(O44=3,"NA",""))))</f>
        <v>TBD</v>
      </c>
      <c r="M50" s="229" t="str">
        <f t="shared" si="4"/>
        <v/>
      </c>
      <c r="O50" s="208"/>
      <c r="P50" s="118" t="s">
        <v>487</v>
      </c>
      <c r="Y50" s="161"/>
      <c r="AA50" s="136" t="s">
        <v>88</v>
      </c>
      <c r="AB50" s="192"/>
      <c r="AD50" s="193" t="str">
        <f>IF(Q125="","",Q125)</f>
        <v/>
      </c>
    </row>
    <row r="51" spans="1:30" ht="14.1" customHeight="1">
      <c r="A51" s="146">
        <v>51</v>
      </c>
      <c r="B51" s="194"/>
      <c r="H51" s="138" t="s">
        <v>83</v>
      </c>
      <c r="M51" s="197"/>
      <c r="O51" s="208"/>
      <c r="P51" s="118" t="s">
        <v>488</v>
      </c>
      <c r="Y51" s="161"/>
      <c r="AA51" s="136" t="s">
        <v>90</v>
      </c>
      <c r="AB51" s="192"/>
      <c r="AD51" s="193" t="str">
        <f>IF(R125="","",R125)</f>
        <v/>
      </c>
    </row>
    <row r="52" spans="1:30" ht="14.1" customHeight="1">
      <c r="A52" s="146">
        <v>52</v>
      </c>
      <c r="B52" s="194"/>
      <c r="E52" s="118" t="s">
        <v>84</v>
      </c>
      <c r="L52" s="228" t="str">
        <f t="shared" ref="L52:L64" si="5">IF(O64="","TBD",IF(O64=1,"YES",IF(O64=3,"NA","")))</f>
        <v>TBD</v>
      </c>
      <c r="M52" s="229" t="str">
        <f t="shared" ref="M52:M64" si="6">IF(O64=2,"NO","")</f>
        <v/>
      </c>
      <c r="O52" s="208"/>
      <c r="P52" s="118" t="s">
        <v>489</v>
      </c>
      <c r="Y52" s="161"/>
      <c r="AA52" s="136" t="s">
        <v>85</v>
      </c>
      <c r="AB52" s="192"/>
      <c r="AD52" s="193" t="str">
        <f>IF(P126="","",P126)</f>
        <v/>
      </c>
    </row>
    <row r="53" spans="1:30" ht="14.1" customHeight="1">
      <c r="A53" s="146">
        <v>53</v>
      </c>
      <c r="B53" s="194"/>
      <c r="E53" s="118" t="s">
        <v>87</v>
      </c>
      <c r="L53" s="228" t="str">
        <f t="shared" si="5"/>
        <v>TBD</v>
      </c>
      <c r="M53" s="229" t="str">
        <f t="shared" si="6"/>
        <v/>
      </c>
      <c r="O53" s="208"/>
      <c r="P53" s="118" t="s">
        <v>490</v>
      </c>
      <c r="Y53" s="161"/>
      <c r="AA53" s="136" t="s">
        <v>88</v>
      </c>
      <c r="AB53" s="192"/>
      <c r="AD53" s="193" t="str">
        <f>IF(Q126="","",Q126)</f>
        <v/>
      </c>
    </row>
    <row r="54" spans="1:30" ht="14.1" customHeight="1">
      <c r="A54" s="146">
        <v>54</v>
      </c>
      <c r="B54" s="194"/>
      <c r="E54" s="118" t="s">
        <v>89</v>
      </c>
      <c r="L54" s="228" t="str">
        <f t="shared" si="5"/>
        <v>TBD</v>
      </c>
      <c r="M54" s="229" t="str">
        <f t="shared" si="6"/>
        <v/>
      </c>
      <c r="O54" s="208"/>
      <c r="P54" s="118" t="s">
        <v>491</v>
      </c>
      <c r="Y54" s="161"/>
      <c r="AA54" s="136" t="s">
        <v>90</v>
      </c>
      <c r="AB54" s="192"/>
      <c r="AD54" s="193" t="str">
        <f>IF(R126="","",R126)</f>
        <v/>
      </c>
    </row>
    <row r="55" spans="1:30" ht="14.1" customHeight="1">
      <c r="A55" s="146">
        <v>55</v>
      </c>
      <c r="B55" s="194"/>
      <c r="E55" s="118" t="s">
        <v>91</v>
      </c>
      <c r="L55" s="228" t="str">
        <f t="shared" si="5"/>
        <v>TBD</v>
      </c>
      <c r="M55" s="229" t="str">
        <f t="shared" si="6"/>
        <v/>
      </c>
      <c r="O55" s="208"/>
      <c r="P55" s="118" t="s">
        <v>492</v>
      </c>
      <c r="Y55" s="161"/>
      <c r="AA55" s="136" t="s">
        <v>85</v>
      </c>
      <c r="AB55" s="192"/>
      <c r="AD55" s="193" t="str">
        <f>IF(P127="","",P127)</f>
        <v/>
      </c>
    </row>
    <row r="56" spans="1:30" ht="14.1" customHeight="1">
      <c r="A56" s="146">
        <v>56</v>
      </c>
      <c r="B56" s="194"/>
      <c r="E56" s="118" t="s">
        <v>92</v>
      </c>
      <c r="L56" s="228" t="str">
        <f t="shared" si="5"/>
        <v>TBD</v>
      </c>
      <c r="M56" s="229" t="str">
        <f t="shared" si="6"/>
        <v/>
      </c>
      <c r="O56" s="208"/>
      <c r="P56" s="118" t="s">
        <v>493</v>
      </c>
      <c r="Y56" s="161"/>
      <c r="AA56" s="136" t="s">
        <v>88</v>
      </c>
      <c r="AB56" s="192"/>
      <c r="AD56" s="193"/>
    </row>
    <row r="57" spans="1:30" ht="14.1" customHeight="1">
      <c r="A57" s="146">
        <v>57</v>
      </c>
      <c r="B57" s="194"/>
      <c r="E57" s="118" t="s">
        <v>93</v>
      </c>
      <c r="L57" s="228" t="str">
        <f t="shared" si="5"/>
        <v>TBD</v>
      </c>
      <c r="M57" s="229" t="str">
        <f t="shared" si="6"/>
        <v/>
      </c>
      <c r="O57" s="208"/>
      <c r="P57" s="118" t="s">
        <v>494</v>
      </c>
      <c r="Y57" s="161"/>
      <c r="AA57" s="136" t="s">
        <v>90</v>
      </c>
      <c r="AB57" s="192"/>
      <c r="AD57" s="193"/>
    </row>
    <row r="58" spans="1:30" ht="14.1" customHeight="1">
      <c r="A58" s="146">
        <v>58</v>
      </c>
      <c r="B58" s="194"/>
      <c r="E58" s="118" t="s">
        <v>99</v>
      </c>
      <c r="L58" s="228" t="str">
        <f t="shared" si="5"/>
        <v>TBD</v>
      </c>
      <c r="M58" s="229" t="str">
        <f t="shared" si="6"/>
        <v/>
      </c>
      <c r="O58" s="208"/>
      <c r="P58" s="118" t="s">
        <v>495</v>
      </c>
      <c r="Y58" s="161"/>
      <c r="AA58" s="171" t="s">
        <v>102</v>
      </c>
    </row>
    <row r="59" spans="1:30" ht="14.1" customHeight="1">
      <c r="A59" s="146">
        <v>59</v>
      </c>
      <c r="B59" s="194"/>
      <c r="E59" s="118" t="s">
        <v>95</v>
      </c>
      <c r="L59" s="228" t="str">
        <f t="shared" si="5"/>
        <v>TBD</v>
      </c>
      <c r="M59" s="229" t="str">
        <f t="shared" si="6"/>
        <v/>
      </c>
      <c r="O59" s="208"/>
      <c r="P59" s="118" t="s">
        <v>496</v>
      </c>
      <c r="Y59" s="161"/>
      <c r="AA59" s="136" t="s">
        <v>85</v>
      </c>
      <c r="AB59" s="192"/>
      <c r="AD59" s="193" t="str">
        <f>IF(S124="","",S124)</f>
        <v/>
      </c>
    </row>
    <row r="60" spans="1:30" ht="14.1" customHeight="1">
      <c r="A60" s="146">
        <v>60</v>
      </c>
      <c r="B60" s="194"/>
      <c r="E60" s="118" t="s">
        <v>96</v>
      </c>
      <c r="L60" s="228" t="str">
        <f t="shared" si="5"/>
        <v>TBD</v>
      </c>
      <c r="M60" s="229" t="str">
        <f t="shared" si="6"/>
        <v/>
      </c>
      <c r="O60" s="208"/>
      <c r="P60" s="118" t="s">
        <v>497</v>
      </c>
      <c r="Y60" s="161"/>
      <c r="AA60" s="136" t="s">
        <v>88</v>
      </c>
      <c r="AB60" s="192"/>
      <c r="AD60" s="193" t="str">
        <f>IF(T124="","",T124)</f>
        <v/>
      </c>
    </row>
    <row r="61" spans="1:30" ht="14.1" customHeight="1">
      <c r="A61" s="146">
        <v>61</v>
      </c>
      <c r="B61" s="194"/>
      <c r="E61" s="118" t="s">
        <v>97</v>
      </c>
      <c r="L61" s="228" t="str">
        <f t="shared" si="5"/>
        <v>TBD</v>
      </c>
      <c r="M61" s="229" t="str">
        <f t="shared" si="6"/>
        <v/>
      </c>
      <c r="O61" s="208"/>
      <c r="P61" s="118" t="s">
        <v>498</v>
      </c>
      <c r="Y61" s="161"/>
      <c r="AA61" s="136" t="s">
        <v>90</v>
      </c>
      <c r="AB61" s="192"/>
      <c r="AD61" s="193" t="str">
        <f>IF(U124="","",U124)</f>
        <v/>
      </c>
    </row>
    <row r="62" spans="1:30" ht="14.1" customHeight="1">
      <c r="A62" s="146">
        <v>62</v>
      </c>
      <c r="B62" s="194"/>
      <c r="E62" s="118" t="s">
        <v>98</v>
      </c>
      <c r="L62" s="228" t="str">
        <f t="shared" si="5"/>
        <v>TBD</v>
      </c>
      <c r="M62" s="229" t="str">
        <f t="shared" si="6"/>
        <v/>
      </c>
      <c r="O62" s="208"/>
      <c r="P62" s="118" t="s">
        <v>597</v>
      </c>
      <c r="Y62" s="161"/>
      <c r="AA62" s="136" t="s">
        <v>85</v>
      </c>
      <c r="AB62" s="192"/>
      <c r="AD62" s="193" t="str">
        <f>IF(S125="","",S125)</f>
        <v/>
      </c>
    </row>
    <row r="63" spans="1:30" ht="14.1" customHeight="1">
      <c r="A63" s="146">
        <v>63</v>
      </c>
      <c r="B63" s="194"/>
      <c r="E63" s="118" t="s">
        <v>105</v>
      </c>
      <c r="L63" s="228" t="str">
        <f t="shared" si="5"/>
        <v>TBD</v>
      </c>
      <c r="M63" s="229" t="str">
        <f t="shared" si="6"/>
        <v/>
      </c>
      <c r="O63" s="159"/>
      <c r="T63" s="138" t="s">
        <v>83</v>
      </c>
      <c r="Y63" s="161"/>
      <c r="AA63" s="136" t="s">
        <v>88</v>
      </c>
      <c r="AB63" s="192"/>
      <c r="AD63" s="193" t="str">
        <f>IF(T125="","",T125)</f>
        <v/>
      </c>
    </row>
    <row r="64" spans="1:30" ht="14.1" customHeight="1">
      <c r="A64" s="146">
        <v>64</v>
      </c>
      <c r="B64" s="194"/>
      <c r="E64" s="118" t="s">
        <v>107</v>
      </c>
      <c r="L64" s="228" t="str">
        <f t="shared" si="5"/>
        <v>TBD</v>
      </c>
      <c r="M64" s="229" t="str">
        <f t="shared" si="6"/>
        <v/>
      </c>
      <c r="O64" s="208"/>
      <c r="P64" s="118" t="s">
        <v>84</v>
      </c>
      <c r="Y64" s="161"/>
      <c r="AA64" s="136" t="s">
        <v>90</v>
      </c>
      <c r="AB64" s="192"/>
      <c r="AD64" s="193" t="str">
        <f>IF(U125="","",U125)</f>
        <v/>
      </c>
    </row>
    <row r="65" spans="1:30" ht="14.1" customHeight="1">
      <c r="A65" s="146">
        <v>65</v>
      </c>
      <c r="B65" s="194"/>
      <c r="M65" s="197"/>
      <c r="O65" s="208"/>
      <c r="P65" s="118" t="s">
        <v>87</v>
      </c>
      <c r="Y65" s="161"/>
      <c r="AA65" s="136" t="s">
        <v>85</v>
      </c>
      <c r="AB65" s="192"/>
      <c r="AD65" s="193" t="str">
        <f>IF(S126="","",S126)</f>
        <v/>
      </c>
    </row>
    <row r="66" spans="1:30" ht="14.1" customHeight="1">
      <c r="A66" s="146">
        <v>66</v>
      </c>
      <c r="B66" s="194"/>
      <c r="M66" s="197"/>
      <c r="O66" s="208"/>
      <c r="P66" s="118" t="s">
        <v>89</v>
      </c>
      <c r="Y66" s="161"/>
      <c r="AA66" s="136" t="s">
        <v>88</v>
      </c>
      <c r="AB66" s="192"/>
      <c r="AD66" s="193" t="str">
        <f>IF(T126="","",T126)</f>
        <v/>
      </c>
    </row>
    <row r="67" spans="1:30" ht="14.1" customHeight="1">
      <c r="A67" s="146">
        <v>67</v>
      </c>
      <c r="B67" s="194"/>
      <c r="M67" s="197"/>
      <c r="O67" s="208"/>
      <c r="P67" s="118" t="s">
        <v>91</v>
      </c>
      <c r="Y67" s="161"/>
      <c r="AA67" s="136" t="s">
        <v>90</v>
      </c>
      <c r="AB67" s="192"/>
      <c r="AD67" s="193" t="str">
        <f>IF(U126="","",U126)</f>
        <v/>
      </c>
    </row>
    <row r="68" spans="1:30" ht="14.1" customHeight="1">
      <c r="A68" s="146">
        <v>68</v>
      </c>
      <c r="B68" s="194"/>
      <c r="M68" s="197"/>
      <c r="O68" s="208"/>
      <c r="P68" s="118" t="s">
        <v>92</v>
      </c>
      <c r="Y68" s="161"/>
      <c r="AA68" s="136" t="s">
        <v>85</v>
      </c>
      <c r="AB68" s="192"/>
      <c r="AD68" s="193" t="str">
        <f>IF(S127="","",S127)</f>
        <v/>
      </c>
    </row>
    <row r="69" spans="1:30" ht="14.1" customHeight="1">
      <c r="A69" s="146">
        <v>69</v>
      </c>
      <c r="B69" s="194"/>
      <c r="M69" s="197"/>
      <c r="O69" s="208"/>
      <c r="P69" s="118" t="s">
        <v>93</v>
      </c>
      <c r="Y69" s="161"/>
      <c r="AA69" s="136" t="s">
        <v>88</v>
      </c>
      <c r="AB69" s="192"/>
      <c r="AD69" s="193" t="str">
        <f>IF(T127="","",T127)</f>
        <v/>
      </c>
    </row>
    <row r="70" spans="1:30" ht="14.1" customHeight="1" thickBot="1">
      <c r="A70" s="146">
        <v>70</v>
      </c>
      <c r="B70" s="205"/>
      <c r="C70" s="206"/>
      <c r="D70" s="206"/>
      <c r="E70" s="206"/>
      <c r="F70" s="206"/>
      <c r="G70" s="206"/>
      <c r="H70" s="206"/>
      <c r="I70" s="206"/>
      <c r="J70" s="206"/>
      <c r="K70" s="206"/>
      <c r="L70" s="206"/>
      <c r="M70" s="207"/>
      <c r="O70" s="208"/>
      <c r="P70" s="118" t="s">
        <v>94</v>
      </c>
      <c r="Y70" s="161"/>
      <c r="AA70" s="136" t="s">
        <v>90</v>
      </c>
      <c r="AB70" s="192"/>
      <c r="AD70" s="193" t="str">
        <f>IF(U127="","",U127)</f>
        <v/>
      </c>
    </row>
    <row r="71" spans="1:30" ht="14.1" customHeight="1" thickTop="1">
      <c r="A71" s="146">
        <v>71</v>
      </c>
      <c r="C71" s="230" t="s">
        <v>8</v>
      </c>
      <c r="D71" s="231" t="str">
        <f>IF($P$7="","",$P$7)</f>
        <v/>
      </c>
      <c r="E71" s="156"/>
      <c r="F71" s="156"/>
      <c r="G71" s="156"/>
      <c r="H71" s="156"/>
      <c r="I71" s="156"/>
      <c r="J71" s="156"/>
      <c r="K71" s="156"/>
      <c r="L71" s="230" t="s">
        <v>9</v>
      </c>
      <c r="M71" s="232" t="str">
        <f>IF($X$7="","",$X$7)</f>
        <v>Eugene Mah</v>
      </c>
      <c r="O71" s="208"/>
      <c r="P71" s="118" t="s">
        <v>95</v>
      </c>
      <c r="Y71" s="161"/>
      <c r="AA71" s="171" t="s">
        <v>58</v>
      </c>
    </row>
    <row r="72" spans="1:30" ht="14.1" customHeight="1">
      <c r="A72" s="146">
        <v>72</v>
      </c>
      <c r="C72" s="230" t="s">
        <v>111</v>
      </c>
      <c r="D72" s="232" t="str">
        <f>IF($R$14="","",$R$14)</f>
        <v/>
      </c>
      <c r="E72" s="156"/>
      <c r="F72" s="156"/>
      <c r="G72" s="156"/>
      <c r="H72" s="156"/>
      <c r="I72" s="156"/>
      <c r="J72" s="156"/>
      <c r="K72" s="156"/>
      <c r="L72" s="230" t="s">
        <v>29</v>
      </c>
      <c r="M72" s="232" t="str">
        <f>IF($R$13="","",$R$13)</f>
        <v/>
      </c>
      <c r="O72" s="208"/>
      <c r="P72" s="118" t="s">
        <v>96</v>
      </c>
      <c r="Y72" s="161"/>
      <c r="AA72" s="136" t="s">
        <v>85</v>
      </c>
      <c r="AB72" s="192"/>
      <c r="AD72" s="193" t="str">
        <f>IF(V124="","",V124)</f>
        <v/>
      </c>
    </row>
    <row r="73" spans="1:30" ht="14.1" customHeight="1">
      <c r="A73" s="146">
        <v>1</v>
      </c>
      <c r="M73" s="233" t="str">
        <f>$H$2</f>
        <v>Medical University of South Carolina</v>
      </c>
      <c r="O73" s="208"/>
      <c r="P73" s="118" t="s">
        <v>97</v>
      </c>
      <c r="Y73" s="161"/>
      <c r="AA73" s="136" t="s">
        <v>88</v>
      </c>
      <c r="AB73" s="192"/>
      <c r="AD73" s="193" t="str">
        <f>IF(W124="","",W124)</f>
        <v/>
      </c>
    </row>
    <row r="74" spans="1:30" ht="14.1" customHeight="1" thickBot="1">
      <c r="A74" s="146">
        <v>2</v>
      </c>
      <c r="H74" s="179" t="s">
        <v>64</v>
      </c>
      <c r="M74" s="234" t="str">
        <f>$H$5</f>
        <v>Mammography System Compliance Inspection</v>
      </c>
      <c r="O74" s="208"/>
      <c r="P74" s="118" t="s">
        <v>98</v>
      </c>
      <c r="Y74" s="161"/>
      <c r="AA74" s="136" t="s">
        <v>90</v>
      </c>
      <c r="AB74" s="192"/>
      <c r="AD74" s="193" t="str">
        <f>IF(X124="","",X124)</f>
        <v/>
      </c>
    </row>
    <row r="75" spans="1:30" ht="14.1" customHeight="1" thickTop="1">
      <c r="A75" s="146">
        <v>3</v>
      </c>
      <c r="B75" s="185"/>
      <c r="C75" s="235" t="s">
        <v>80</v>
      </c>
      <c r="D75" s="186"/>
      <c r="E75" s="186"/>
      <c r="F75" s="186"/>
      <c r="G75" s="186"/>
      <c r="H75" s="236" t="s">
        <v>103</v>
      </c>
      <c r="I75" s="186"/>
      <c r="J75" s="186"/>
      <c r="K75" s="186"/>
      <c r="L75" s="186"/>
      <c r="M75" s="188"/>
      <c r="O75" s="208"/>
      <c r="P75" s="118" t="s">
        <v>100</v>
      </c>
      <c r="Y75" s="161"/>
      <c r="AA75" s="136" t="s">
        <v>85</v>
      </c>
      <c r="AB75" s="192"/>
      <c r="AD75" s="193" t="str">
        <f>IF(V125="","",V125)</f>
        <v/>
      </c>
    </row>
    <row r="76" spans="1:30" ht="14.1" customHeight="1">
      <c r="A76" s="146">
        <v>4</v>
      </c>
      <c r="B76" s="194"/>
      <c r="C76" s="118" t="s">
        <v>116</v>
      </c>
      <c r="E76" s="118" t="s">
        <v>117</v>
      </c>
      <c r="L76" s="228" t="str">
        <f t="shared" ref="L76:L107" si="7">IF(O79="","TBD",IF(O79=1,"YES",IF(O79=3,"NA","")))</f>
        <v>TBD</v>
      </c>
      <c r="M76" s="229" t="str">
        <f t="shared" ref="M76:M107" si="8">IF(O79=2,"NO","")</f>
        <v/>
      </c>
      <c r="O76" s="208"/>
      <c r="P76" s="118" t="s">
        <v>101</v>
      </c>
      <c r="Y76" s="161"/>
      <c r="AA76" s="136" t="s">
        <v>88</v>
      </c>
      <c r="AB76" s="192"/>
      <c r="AD76" s="193" t="str">
        <f>IF(W125="","",W125)</f>
        <v/>
      </c>
    </row>
    <row r="77" spans="1:30" ht="14.1" customHeight="1">
      <c r="A77" s="146">
        <v>5</v>
      </c>
      <c r="B77" s="194"/>
      <c r="C77" s="118" t="s">
        <v>119</v>
      </c>
      <c r="E77" s="118" t="s">
        <v>120</v>
      </c>
      <c r="L77" s="228" t="str">
        <f t="shared" si="7"/>
        <v>TBD</v>
      </c>
      <c r="M77" s="229" t="str">
        <f t="shared" si="8"/>
        <v/>
      </c>
      <c r="O77" s="159"/>
      <c r="Y77" s="161"/>
      <c r="AA77" s="136" t="s">
        <v>90</v>
      </c>
      <c r="AB77" s="192"/>
      <c r="AD77" s="193" t="str">
        <f>IF(X125="","",X125)</f>
        <v/>
      </c>
    </row>
    <row r="78" spans="1:30" ht="14.1" customHeight="1">
      <c r="A78" s="146">
        <v>6</v>
      </c>
      <c r="B78" s="194"/>
      <c r="C78" s="118" t="s">
        <v>122</v>
      </c>
      <c r="E78" s="118" t="s">
        <v>108</v>
      </c>
      <c r="L78" s="228" t="str">
        <f t="shared" si="7"/>
        <v>TBD</v>
      </c>
      <c r="M78" s="229" t="str">
        <f t="shared" si="8"/>
        <v/>
      </c>
      <c r="O78" s="159"/>
      <c r="T78" s="138" t="s">
        <v>103</v>
      </c>
      <c r="Y78" s="161"/>
      <c r="AA78" s="136" t="s">
        <v>85</v>
      </c>
      <c r="AB78" s="192"/>
      <c r="AD78" s="193" t="str">
        <f>IF(V126="","",V126)</f>
        <v/>
      </c>
    </row>
    <row r="79" spans="1:30" ht="14.1" customHeight="1">
      <c r="A79" s="146">
        <v>7</v>
      </c>
      <c r="B79" s="194"/>
      <c r="C79" s="118" t="s">
        <v>124</v>
      </c>
      <c r="E79" s="118" t="s">
        <v>125</v>
      </c>
      <c r="L79" s="228" t="str">
        <f t="shared" si="7"/>
        <v>TBD</v>
      </c>
      <c r="M79" s="229" t="str">
        <f t="shared" si="8"/>
        <v/>
      </c>
      <c r="O79" s="208"/>
      <c r="P79" s="118" t="s">
        <v>104</v>
      </c>
      <c r="Y79" s="161"/>
      <c r="AA79" s="136" t="s">
        <v>88</v>
      </c>
      <c r="AB79" s="192"/>
      <c r="AD79" s="193" t="str">
        <f>IF(W126="","",W126)</f>
        <v/>
      </c>
    </row>
    <row r="80" spans="1:30" ht="14.1" customHeight="1">
      <c r="A80" s="146">
        <v>8</v>
      </c>
      <c r="B80" s="194"/>
      <c r="C80" s="118" t="s">
        <v>127</v>
      </c>
      <c r="E80" s="118" t="s">
        <v>110</v>
      </c>
      <c r="L80" s="228" t="str">
        <f t="shared" si="7"/>
        <v>TBD</v>
      </c>
      <c r="M80" s="229" t="str">
        <f t="shared" si="8"/>
        <v/>
      </c>
      <c r="O80" s="208"/>
      <c r="P80" s="118" t="s">
        <v>106</v>
      </c>
      <c r="Y80" s="161"/>
      <c r="AA80" s="136" t="s">
        <v>90</v>
      </c>
      <c r="AB80" s="192"/>
      <c r="AD80" s="193" t="str">
        <f>IF(X126="","",X126)</f>
        <v/>
      </c>
    </row>
    <row r="81" spans="1:30" ht="14.1" customHeight="1">
      <c r="A81" s="146">
        <v>9</v>
      </c>
      <c r="B81" s="194"/>
      <c r="C81" s="118" t="s">
        <v>129</v>
      </c>
      <c r="E81" s="118" t="s">
        <v>130</v>
      </c>
      <c r="L81" s="228" t="str">
        <f t="shared" si="7"/>
        <v>TBD</v>
      </c>
      <c r="M81" s="229" t="str">
        <f t="shared" si="8"/>
        <v/>
      </c>
      <c r="O81" s="208"/>
      <c r="P81" s="118" t="s">
        <v>108</v>
      </c>
      <c r="Y81" s="161"/>
      <c r="AA81" s="136" t="s">
        <v>85</v>
      </c>
      <c r="AB81" s="192"/>
      <c r="AD81" s="193" t="str">
        <f>IF(V127="","",V127)</f>
        <v/>
      </c>
    </row>
    <row r="82" spans="1:30" ht="14.1" customHeight="1">
      <c r="A82" s="146">
        <v>10</v>
      </c>
      <c r="B82" s="194"/>
      <c r="C82" s="118" t="s">
        <v>132</v>
      </c>
      <c r="E82" s="118" t="s">
        <v>113</v>
      </c>
      <c r="L82" s="228" t="str">
        <f t="shared" si="7"/>
        <v>YES</v>
      </c>
      <c r="M82" s="229" t="str">
        <f t="shared" si="8"/>
        <v/>
      </c>
      <c r="O82" s="208"/>
      <c r="P82" s="118" t="s">
        <v>109</v>
      </c>
      <c r="Y82" s="161"/>
      <c r="AA82" s="136" t="s">
        <v>88</v>
      </c>
      <c r="AB82" s="192"/>
      <c r="AD82" s="193" t="str">
        <f>IF(W127="","",W127)</f>
        <v/>
      </c>
    </row>
    <row r="83" spans="1:30" ht="14.1" customHeight="1">
      <c r="A83" s="146">
        <v>11</v>
      </c>
      <c r="B83" s="194"/>
      <c r="C83" s="118" t="s">
        <v>134</v>
      </c>
      <c r="E83" s="118" t="s">
        <v>135</v>
      </c>
      <c r="L83" s="228" t="str">
        <f t="shared" si="7"/>
        <v>TBD</v>
      </c>
      <c r="M83" s="229" t="str">
        <f t="shared" si="8"/>
        <v/>
      </c>
      <c r="O83" s="208"/>
      <c r="P83" s="118" t="s">
        <v>110</v>
      </c>
      <c r="Y83" s="161"/>
      <c r="AA83" s="136" t="s">
        <v>90</v>
      </c>
      <c r="AB83" s="192"/>
      <c r="AD83" s="193" t="str">
        <f>IF(X127="","",X127)</f>
        <v/>
      </c>
    </row>
    <row r="84" spans="1:30" ht="14.1" customHeight="1">
      <c r="A84" s="146">
        <v>12</v>
      </c>
      <c r="B84" s="194"/>
      <c r="C84" s="118" t="s">
        <v>137</v>
      </c>
      <c r="E84" s="118" t="s">
        <v>115</v>
      </c>
      <c r="L84" s="228" t="str">
        <f t="shared" si="7"/>
        <v>TBD</v>
      </c>
      <c r="M84" s="229" t="str">
        <f t="shared" si="8"/>
        <v/>
      </c>
      <c r="O84" s="208"/>
      <c r="P84" s="118" t="s">
        <v>112</v>
      </c>
      <c r="Y84" s="161"/>
    </row>
    <row r="85" spans="1:30" ht="14.1" customHeight="1">
      <c r="A85" s="146">
        <v>13</v>
      </c>
      <c r="B85" s="194"/>
      <c r="C85" s="118" t="s">
        <v>139</v>
      </c>
      <c r="E85" s="118" t="s">
        <v>118</v>
      </c>
      <c r="L85" s="228" t="str">
        <f t="shared" si="7"/>
        <v>TBD</v>
      </c>
      <c r="M85" s="229" t="str">
        <f t="shared" si="8"/>
        <v/>
      </c>
      <c r="O85" s="237">
        <f>IF(OR(R172="",R172=1),IF(U175&gt;=160,1,2),3)</f>
        <v>1</v>
      </c>
      <c r="P85" s="118" t="s">
        <v>113</v>
      </c>
      <c r="Y85" s="161"/>
      <c r="AA85" s="136" t="s">
        <v>151</v>
      </c>
      <c r="AB85" s="192"/>
      <c r="AD85" s="238" t="e">
        <f>IF(X265="","",X265)</f>
        <v>#N/A</v>
      </c>
    </row>
    <row r="86" spans="1:30" ht="14.1" customHeight="1">
      <c r="A86" s="146">
        <v>14</v>
      </c>
      <c r="B86" s="194"/>
      <c r="C86" s="118" t="s">
        <v>139</v>
      </c>
      <c r="E86" s="118" t="s">
        <v>121</v>
      </c>
      <c r="L86" s="228" t="str">
        <f t="shared" si="7"/>
        <v>TBD</v>
      </c>
      <c r="M86" s="229" t="str">
        <f t="shared" si="8"/>
        <v/>
      </c>
      <c r="O86" s="208"/>
      <c r="P86" s="118" t="s">
        <v>114</v>
      </c>
      <c r="Y86" s="161"/>
      <c r="AA86" s="136" t="s">
        <v>610</v>
      </c>
      <c r="AB86" s="192"/>
      <c r="AD86" s="238" t="str">
        <f>IF(X284="","",X284)</f>
        <v/>
      </c>
    </row>
    <row r="87" spans="1:30" ht="14.1" customHeight="1">
      <c r="A87" s="146">
        <v>15</v>
      </c>
      <c r="B87" s="194"/>
      <c r="C87" s="118" t="s">
        <v>142</v>
      </c>
      <c r="E87" s="118" t="s">
        <v>123</v>
      </c>
      <c r="L87" s="228" t="str">
        <f t="shared" si="7"/>
        <v>TBD</v>
      </c>
      <c r="M87" s="229" t="str">
        <f t="shared" si="8"/>
        <v/>
      </c>
      <c r="O87" s="208"/>
      <c r="P87" s="118" t="s">
        <v>115</v>
      </c>
      <c r="Y87" s="161"/>
      <c r="AA87" s="136" t="s">
        <v>611</v>
      </c>
      <c r="AB87" s="192"/>
      <c r="AD87" s="238" t="str">
        <f>IF(X295="","",X295)</f>
        <v/>
      </c>
    </row>
    <row r="88" spans="1:30" ht="14.1" customHeight="1">
      <c r="A88" s="146">
        <v>16</v>
      </c>
      <c r="B88" s="194"/>
      <c r="C88" s="118" t="s">
        <v>144</v>
      </c>
      <c r="E88" s="118" t="s">
        <v>126</v>
      </c>
      <c r="L88" s="228" t="str">
        <f t="shared" si="7"/>
        <v>TBD</v>
      </c>
      <c r="M88" s="229" t="str">
        <f t="shared" si="8"/>
        <v/>
      </c>
      <c r="O88" s="208"/>
      <c r="P88" s="118" t="s">
        <v>118</v>
      </c>
      <c r="Y88" s="161"/>
      <c r="AA88" s="136" t="str">
        <f>Q392&amp;" mGy/mAs:"</f>
        <v>/ mGy/mAs:</v>
      </c>
      <c r="AB88" s="192"/>
      <c r="AD88" s="239" t="str">
        <f>IF(S399="","",S399)</f>
        <v/>
      </c>
    </row>
    <row r="89" spans="1:30" ht="14.1" customHeight="1">
      <c r="A89" s="146">
        <v>17</v>
      </c>
      <c r="B89" s="194"/>
      <c r="C89" s="154"/>
      <c r="E89" s="118" t="s">
        <v>128</v>
      </c>
      <c r="L89" s="228" t="str">
        <f t="shared" si="7"/>
        <v>TBD</v>
      </c>
      <c r="M89" s="229" t="str">
        <f t="shared" si="8"/>
        <v/>
      </c>
      <c r="O89" s="208"/>
      <c r="P89" s="118" t="s">
        <v>121</v>
      </c>
      <c r="Y89" s="161"/>
      <c r="AA89" s="136" t="str">
        <f>Q392&amp;" mGy/s:"</f>
        <v>/ mGy/s:</v>
      </c>
      <c r="AB89" s="192"/>
      <c r="AD89" s="238" t="str">
        <f>IF(T399="","",T399)</f>
        <v/>
      </c>
    </row>
    <row r="90" spans="1:30" ht="14.1" customHeight="1">
      <c r="A90" s="146">
        <v>18</v>
      </c>
      <c r="B90" s="194"/>
      <c r="C90" s="118" t="s">
        <v>147</v>
      </c>
      <c r="E90" s="118" t="s">
        <v>131</v>
      </c>
      <c r="L90" s="228" t="str">
        <f t="shared" si="7"/>
        <v>TBD</v>
      </c>
      <c r="M90" s="229" t="str">
        <f t="shared" si="8"/>
        <v/>
      </c>
      <c r="O90" s="208"/>
      <c r="P90" s="118" t="s">
        <v>123</v>
      </c>
      <c r="Y90" s="161"/>
      <c r="AA90" s="136" t="str">
        <f>V392&amp;" mGy/mAs:"</f>
        <v>/ mGy/mAs:</v>
      </c>
      <c r="AB90" s="192"/>
      <c r="AD90" s="239" t="str">
        <f>IF(X399="","",X399)</f>
        <v/>
      </c>
    </row>
    <row r="91" spans="1:30" ht="14.1" customHeight="1">
      <c r="A91" s="146">
        <v>19</v>
      </c>
      <c r="B91" s="194"/>
      <c r="C91" s="118" t="s">
        <v>149</v>
      </c>
      <c r="E91" s="118" t="s">
        <v>133</v>
      </c>
      <c r="L91" s="228" t="str">
        <f t="shared" si="7"/>
        <v>TBD</v>
      </c>
      <c r="M91" s="229" t="str">
        <f t="shared" si="8"/>
        <v/>
      </c>
      <c r="O91" s="208"/>
      <c r="P91" s="118" t="s">
        <v>126</v>
      </c>
      <c r="Y91" s="161"/>
      <c r="AA91" s="136" t="str">
        <f>V392&amp;" mGy/s:"</f>
        <v>/ mGy/s:</v>
      </c>
      <c r="AB91" s="192"/>
      <c r="AD91" s="238" t="str">
        <f>IF(Y399="","",Y399)</f>
        <v/>
      </c>
    </row>
    <row r="92" spans="1:30" ht="14.1" customHeight="1">
      <c r="A92" s="146">
        <v>20</v>
      </c>
      <c r="B92" s="194"/>
      <c r="C92" s="118" t="s">
        <v>152</v>
      </c>
      <c r="E92" s="118" t="s">
        <v>136</v>
      </c>
      <c r="L92" s="228" t="str">
        <f t="shared" si="7"/>
        <v>TBD</v>
      </c>
      <c r="M92" s="229" t="str">
        <f t="shared" si="8"/>
        <v/>
      </c>
      <c r="O92" s="208"/>
      <c r="P92" s="118" t="s">
        <v>128</v>
      </c>
      <c r="Y92" s="161"/>
      <c r="AA92" s="117" t="s">
        <v>160</v>
      </c>
    </row>
    <row r="93" spans="1:30" ht="14.1" customHeight="1">
      <c r="A93" s="146">
        <v>21</v>
      </c>
      <c r="B93" s="194"/>
      <c r="C93" s="118" t="s">
        <v>154</v>
      </c>
      <c r="E93" s="118" t="s">
        <v>155</v>
      </c>
      <c r="L93" s="228" t="str">
        <f t="shared" si="7"/>
        <v>TBD</v>
      </c>
      <c r="M93" s="229" t="str">
        <f t="shared" si="8"/>
        <v/>
      </c>
      <c r="O93" s="208"/>
      <c r="P93" s="118" t="s">
        <v>131</v>
      </c>
      <c r="Y93" s="161"/>
      <c r="AA93" s="136" t="s">
        <v>163</v>
      </c>
      <c r="AB93" s="192"/>
      <c r="AD93" s="193" t="str">
        <f t="shared" ref="AD93:AD98" si="9">IF(Q432="","",Q432)</f>
        <v/>
      </c>
    </row>
    <row r="94" spans="1:30" ht="14.1" customHeight="1">
      <c r="A94" s="146">
        <v>22</v>
      </c>
      <c r="B94" s="194"/>
      <c r="C94" s="118" t="s">
        <v>157</v>
      </c>
      <c r="E94" s="118" t="s">
        <v>158</v>
      </c>
      <c r="L94" s="228" t="str">
        <f t="shared" si="7"/>
        <v>TBD</v>
      </c>
      <c r="M94" s="229" t="str">
        <f t="shared" si="8"/>
        <v/>
      </c>
      <c r="O94" s="208"/>
      <c r="P94" s="118" t="s">
        <v>133</v>
      </c>
      <c r="Y94" s="161"/>
      <c r="AA94" s="136" t="s">
        <v>166</v>
      </c>
      <c r="AB94" s="192"/>
      <c r="AD94" s="193" t="str">
        <f t="shared" si="9"/>
        <v/>
      </c>
    </row>
    <row r="95" spans="1:30" ht="14.1" customHeight="1">
      <c r="A95" s="146">
        <v>23</v>
      </c>
      <c r="B95" s="194"/>
      <c r="C95" s="118" t="s">
        <v>161</v>
      </c>
      <c r="E95" s="118" t="s">
        <v>141</v>
      </c>
      <c r="L95" s="228" t="str">
        <f t="shared" si="7"/>
        <v>TBD</v>
      </c>
      <c r="M95" s="229" t="str">
        <f t="shared" si="8"/>
        <v/>
      </c>
      <c r="O95" s="208"/>
      <c r="P95" s="118" t="s">
        <v>136</v>
      </c>
      <c r="Y95" s="161"/>
      <c r="AA95" s="136" t="s">
        <v>169</v>
      </c>
      <c r="AB95" s="192"/>
      <c r="AD95" s="193" t="str">
        <f t="shared" si="9"/>
        <v/>
      </c>
    </row>
    <row r="96" spans="1:30" ht="14.1" customHeight="1">
      <c r="A96" s="146">
        <v>24</v>
      </c>
      <c r="B96" s="194"/>
      <c r="C96" s="118" t="s">
        <v>164</v>
      </c>
      <c r="E96" s="118" t="s">
        <v>143</v>
      </c>
      <c r="L96" s="228" t="str">
        <f t="shared" si="7"/>
        <v>TBD</v>
      </c>
      <c r="M96" s="229" t="str">
        <f t="shared" si="8"/>
        <v/>
      </c>
      <c r="O96" s="208"/>
      <c r="P96" s="118" t="s">
        <v>138</v>
      </c>
      <c r="Y96" s="161"/>
      <c r="AA96" s="136" t="s">
        <v>172</v>
      </c>
      <c r="AB96" s="192"/>
      <c r="AD96" s="193" t="str">
        <f t="shared" si="9"/>
        <v/>
      </c>
    </row>
    <row r="97" spans="1:30" ht="14.1" customHeight="1">
      <c r="A97" s="146">
        <v>25</v>
      </c>
      <c r="B97" s="194"/>
      <c r="C97" s="118" t="s">
        <v>167</v>
      </c>
      <c r="E97" s="118" t="s">
        <v>145</v>
      </c>
      <c r="L97" s="228" t="str">
        <f t="shared" si="7"/>
        <v>TBD</v>
      </c>
      <c r="M97" s="229" t="str">
        <f t="shared" si="8"/>
        <v/>
      </c>
      <c r="O97" s="208"/>
      <c r="P97" s="118" t="s">
        <v>140</v>
      </c>
      <c r="Y97" s="161"/>
      <c r="AA97" s="136" t="s">
        <v>174</v>
      </c>
      <c r="AB97" s="192"/>
      <c r="AD97" s="193" t="str">
        <f t="shared" si="9"/>
        <v/>
      </c>
    </row>
    <row r="98" spans="1:30" ht="14.1" customHeight="1">
      <c r="A98" s="146">
        <v>26</v>
      </c>
      <c r="B98" s="194"/>
      <c r="C98" s="118" t="s">
        <v>170</v>
      </c>
      <c r="E98" s="118" t="s">
        <v>146</v>
      </c>
      <c r="L98" s="228" t="str">
        <f t="shared" si="7"/>
        <v>TBD</v>
      </c>
      <c r="M98" s="229" t="str">
        <f t="shared" si="8"/>
        <v/>
      </c>
      <c r="O98" s="208"/>
      <c r="P98" s="118" t="s">
        <v>141</v>
      </c>
      <c r="Y98" s="161"/>
      <c r="AA98" s="136" t="s">
        <v>175</v>
      </c>
      <c r="AB98" s="192"/>
      <c r="AD98" s="193" t="str">
        <f t="shared" si="9"/>
        <v/>
      </c>
    </row>
    <row r="99" spans="1:30" ht="14.1" customHeight="1">
      <c r="A99" s="146">
        <v>27</v>
      </c>
      <c r="B99" s="194"/>
      <c r="C99" s="118" t="s">
        <v>173</v>
      </c>
      <c r="E99" s="118" t="s">
        <v>148</v>
      </c>
      <c r="L99" s="228" t="str">
        <f t="shared" si="7"/>
        <v>NA</v>
      </c>
      <c r="M99" s="229" t="str">
        <f t="shared" si="8"/>
        <v/>
      </c>
      <c r="O99" s="208"/>
      <c r="P99" s="118" t="s">
        <v>143</v>
      </c>
      <c r="Y99" s="161"/>
      <c r="AA99" s="136" t="s">
        <v>177</v>
      </c>
      <c r="AB99" s="192"/>
      <c r="AD99" s="193" t="str">
        <f>IF(U432="","",U432)</f>
        <v/>
      </c>
    </row>
    <row r="100" spans="1:30" ht="14.1" customHeight="1">
      <c r="A100" s="146">
        <v>28</v>
      </c>
      <c r="B100" s="194"/>
      <c r="C100" s="154"/>
      <c r="E100" s="118" t="s">
        <v>150</v>
      </c>
      <c r="L100" s="228" t="str">
        <f t="shared" si="7"/>
        <v>NA</v>
      </c>
      <c r="M100" s="229" t="str">
        <f t="shared" si="8"/>
        <v/>
      </c>
      <c r="O100" s="208"/>
      <c r="P100" s="118" t="s">
        <v>145</v>
      </c>
      <c r="Y100" s="161"/>
      <c r="AA100" s="136" t="s">
        <v>179</v>
      </c>
      <c r="AB100" s="192"/>
      <c r="AD100" s="193" t="str">
        <f>IF(U433="","",U433)</f>
        <v/>
      </c>
    </row>
    <row r="101" spans="1:30" ht="14.1" customHeight="1">
      <c r="A101" s="146">
        <v>29</v>
      </c>
      <c r="B101" s="194"/>
      <c r="E101" s="118" t="s">
        <v>153</v>
      </c>
      <c r="L101" s="228" t="str">
        <f t="shared" si="7"/>
        <v>NA</v>
      </c>
      <c r="M101" s="229" t="str">
        <f t="shared" si="8"/>
        <v/>
      </c>
      <c r="O101" s="208"/>
      <c r="P101" s="118" t="s">
        <v>146</v>
      </c>
      <c r="Y101" s="161"/>
      <c r="AA101" s="136" t="s">
        <v>181</v>
      </c>
      <c r="AB101" s="192"/>
      <c r="AD101" s="193" t="str">
        <f>IF(U434="","",U434)</f>
        <v/>
      </c>
    </row>
    <row r="102" spans="1:30" ht="14.1" customHeight="1">
      <c r="A102" s="146">
        <v>30</v>
      </c>
      <c r="B102" s="194"/>
      <c r="C102" s="118" t="s">
        <v>178</v>
      </c>
      <c r="E102" s="118" t="s">
        <v>156</v>
      </c>
      <c r="L102" s="228" t="str">
        <f t="shared" si="7"/>
        <v>NA</v>
      </c>
      <c r="M102" s="229" t="str">
        <f t="shared" si="8"/>
        <v/>
      </c>
      <c r="O102" s="208">
        <v>3</v>
      </c>
      <c r="P102" s="118" t="s">
        <v>148</v>
      </c>
      <c r="Y102" s="161"/>
      <c r="AA102" s="117" t="s">
        <v>184</v>
      </c>
    </row>
    <row r="103" spans="1:30" ht="14.1" customHeight="1">
      <c r="A103" s="146">
        <v>31</v>
      </c>
      <c r="B103" s="194"/>
      <c r="C103" s="118" t="s">
        <v>180</v>
      </c>
      <c r="E103" s="118" t="s">
        <v>159</v>
      </c>
      <c r="L103" s="228" t="str">
        <f t="shared" si="7"/>
        <v>NA</v>
      </c>
      <c r="M103" s="229" t="str">
        <f t="shared" si="8"/>
        <v/>
      </c>
      <c r="O103" s="208">
        <v>3</v>
      </c>
      <c r="P103" s="118" t="s">
        <v>150</v>
      </c>
      <c r="Y103" s="161"/>
      <c r="AA103" s="136" t="s">
        <v>85</v>
      </c>
      <c r="AB103" s="192"/>
      <c r="AD103" s="193" t="str">
        <f t="shared" ref="AD103:AD108" si="10">IF(Q448="","",Q448)</f>
        <v/>
      </c>
    </row>
    <row r="104" spans="1:30" ht="14.1" customHeight="1">
      <c r="A104" s="146">
        <v>32</v>
      </c>
      <c r="B104" s="194"/>
      <c r="C104" s="118" t="s">
        <v>182</v>
      </c>
      <c r="E104" s="118" t="s">
        <v>183</v>
      </c>
      <c r="L104" s="228" t="str">
        <f t="shared" si="7"/>
        <v>NA</v>
      </c>
      <c r="M104" s="229" t="str">
        <f t="shared" si="8"/>
        <v/>
      </c>
      <c r="O104" s="208">
        <v>3</v>
      </c>
      <c r="P104" s="118" t="s">
        <v>153</v>
      </c>
      <c r="Y104" s="161"/>
      <c r="AA104" s="136" t="s">
        <v>163</v>
      </c>
      <c r="AB104" s="192"/>
      <c r="AD104" s="193" t="str">
        <f t="shared" si="10"/>
        <v/>
      </c>
    </row>
    <row r="105" spans="1:30" ht="14.1" customHeight="1">
      <c r="A105" s="146">
        <v>33</v>
      </c>
      <c r="B105" s="194"/>
      <c r="C105" s="118" t="s">
        <v>185</v>
      </c>
      <c r="E105" s="118" t="s">
        <v>165</v>
      </c>
      <c r="L105" s="228" t="str">
        <f t="shared" si="7"/>
        <v>NA</v>
      </c>
      <c r="M105" s="229" t="str">
        <f t="shared" si="8"/>
        <v/>
      </c>
      <c r="O105" s="208">
        <v>3</v>
      </c>
      <c r="P105" s="118" t="s">
        <v>156</v>
      </c>
      <c r="Y105" s="161"/>
      <c r="AA105" s="136" t="s">
        <v>166</v>
      </c>
      <c r="AB105" s="192"/>
      <c r="AD105" s="193" t="str">
        <f t="shared" si="10"/>
        <v/>
      </c>
    </row>
    <row r="106" spans="1:30" ht="14.1" customHeight="1">
      <c r="A106" s="146">
        <v>34</v>
      </c>
      <c r="B106" s="194"/>
      <c r="C106" s="118" t="s">
        <v>186</v>
      </c>
      <c r="E106" s="118" t="s">
        <v>168</v>
      </c>
      <c r="L106" s="228" t="str">
        <f t="shared" si="7"/>
        <v>TBD</v>
      </c>
      <c r="M106" s="229" t="str">
        <f t="shared" si="8"/>
        <v/>
      </c>
      <c r="O106" s="208">
        <v>3</v>
      </c>
      <c r="P106" s="118" t="s">
        <v>159</v>
      </c>
      <c r="Y106" s="161"/>
      <c r="AA106" s="136" t="s">
        <v>177</v>
      </c>
      <c r="AB106" s="192"/>
      <c r="AD106" s="193" t="str">
        <f t="shared" si="10"/>
        <v/>
      </c>
    </row>
    <row r="107" spans="1:30" ht="14.1" customHeight="1">
      <c r="A107" s="146">
        <v>35</v>
      </c>
      <c r="B107" s="194"/>
      <c r="C107" s="118" t="s">
        <v>187</v>
      </c>
      <c r="E107" s="118" t="s">
        <v>171</v>
      </c>
      <c r="L107" s="228" t="str">
        <f t="shared" si="7"/>
        <v>TBD</v>
      </c>
      <c r="M107" s="229" t="str">
        <f t="shared" si="8"/>
        <v/>
      </c>
      <c r="O107" s="208">
        <v>3</v>
      </c>
      <c r="P107" s="118" t="s">
        <v>162</v>
      </c>
      <c r="Y107" s="161"/>
      <c r="AA107" s="136" t="s">
        <v>179</v>
      </c>
      <c r="AB107" s="192"/>
      <c r="AD107" s="193" t="str">
        <f t="shared" si="10"/>
        <v/>
      </c>
    </row>
    <row r="108" spans="1:30" ht="14.1" customHeight="1">
      <c r="A108" s="146">
        <v>36</v>
      </c>
      <c r="B108" s="194"/>
      <c r="M108" s="197"/>
      <c r="O108" s="208">
        <v>3</v>
      </c>
      <c r="P108" s="118" t="s">
        <v>165</v>
      </c>
      <c r="Y108" s="161"/>
      <c r="AA108" s="136" t="s">
        <v>181</v>
      </c>
      <c r="AB108" s="192"/>
      <c r="AD108" s="193" t="str">
        <f t="shared" si="10"/>
        <v/>
      </c>
    </row>
    <row r="109" spans="1:30" ht="14.1" customHeight="1">
      <c r="A109" s="146">
        <v>37</v>
      </c>
      <c r="B109" s="194"/>
      <c r="E109" s="118" t="s">
        <v>483</v>
      </c>
      <c r="L109" s="228" t="str">
        <f t="shared" ref="L109:L125" si="11">IF(O46="","TBD",IF(O46=1,"YES",IF(O46=3,"NA","")))</f>
        <v>NA</v>
      </c>
      <c r="M109" s="229" t="str">
        <f t="shared" ref="M109:M125" si="12">IF(O46=2,"NO","")</f>
        <v/>
      </c>
      <c r="O109" s="208"/>
      <c r="P109" s="118" t="s">
        <v>168</v>
      </c>
      <c r="Y109" s="161"/>
      <c r="AA109" s="136" t="s">
        <v>85</v>
      </c>
      <c r="AB109" s="192"/>
      <c r="AD109" s="193" t="str">
        <f t="shared" ref="AD109:AD114" si="13">IF(R448="","",R448)</f>
        <v/>
      </c>
    </row>
    <row r="110" spans="1:30" ht="14.1" customHeight="1">
      <c r="A110" s="146">
        <v>38</v>
      </c>
      <c r="B110" s="194"/>
      <c r="E110" s="118" t="s">
        <v>484</v>
      </c>
      <c r="L110" s="228" t="str">
        <f t="shared" si="11"/>
        <v>TBD</v>
      </c>
      <c r="M110" s="229" t="str">
        <f t="shared" si="12"/>
        <v/>
      </c>
      <c r="O110" s="208"/>
      <c r="P110" s="118" t="s">
        <v>171</v>
      </c>
      <c r="Y110" s="161"/>
      <c r="AA110" s="136" t="s">
        <v>163</v>
      </c>
      <c r="AB110" s="192"/>
      <c r="AD110" s="193" t="str">
        <f t="shared" si="13"/>
        <v/>
      </c>
    </row>
    <row r="111" spans="1:30" ht="14.1" customHeight="1">
      <c r="A111" s="146">
        <v>39</v>
      </c>
      <c r="B111" s="194"/>
      <c r="E111" s="118" t="s">
        <v>485</v>
      </c>
      <c r="L111" s="228" t="str">
        <f t="shared" si="11"/>
        <v>TBD</v>
      </c>
      <c r="M111" s="229" t="str">
        <f t="shared" si="12"/>
        <v/>
      </c>
      <c r="O111" s="240"/>
      <c r="T111" s="117" t="s">
        <v>507</v>
      </c>
      <c r="Y111" s="161"/>
      <c r="AA111" s="136" t="s">
        <v>166</v>
      </c>
      <c r="AB111" s="192"/>
      <c r="AD111" s="193" t="str">
        <f t="shared" si="13"/>
        <v/>
      </c>
    </row>
    <row r="112" spans="1:30" ht="14.1" customHeight="1">
      <c r="A112" s="146">
        <v>40</v>
      </c>
      <c r="B112" s="194"/>
      <c r="E112" s="118" t="s">
        <v>486</v>
      </c>
      <c r="L112" s="228" t="str">
        <f t="shared" si="11"/>
        <v>TBD</v>
      </c>
      <c r="M112" s="229" t="str">
        <f t="shared" si="12"/>
        <v/>
      </c>
      <c r="O112" s="208"/>
      <c r="P112" s="118" t="s">
        <v>508</v>
      </c>
      <c r="Y112" s="161"/>
      <c r="AA112" s="136" t="s">
        <v>177</v>
      </c>
      <c r="AB112" s="192"/>
      <c r="AD112" s="193" t="str">
        <f t="shared" si="13"/>
        <v/>
      </c>
    </row>
    <row r="113" spans="1:30" ht="14.1" customHeight="1">
      <c r="A113" s="146">
        <v>41</v>
      </c>
      <c r="B113" s="194"/>
      <c r="E113" s="118" t="s">
        <v>487</v>
      </c>
      <c r="L113" s="228" t="str">
        <f t="shared" si="11"/>
        <v>TBD</v>
      </c>
      <c r="M113" s="229" t="str">
        <f t="shared" si="12"/>
        <v/>
      </c>
      <c r="O113" s="208"/>
      <c r="P113" s="118" t="s">
        <v>509</v>
      </c>
      <c r="Y113" s="161"/>
      <c r="AA113" s="136" t="s">
        <v>179</v>
      </c>
      <c r="AB113" s="192"/>
      <c r="AD113" s="193" t="str">
        <f t="shared" si="13"/>
        <v/>
      </c>
    </row>
    <row r="114" spans="1:30" ht="14.1" customHeight="1">
      <c r="A114" s="146">
        <v>42</v>
      </c>
      <c r="B114" s="194"/>
      <c r="E114" s="118" t="s">
        <v>488</v>
      </c>
      <c r="L114" s="228" t="str">
        <f t="shared" si="11"/>
        <v>TBD</v>
      </c>
      <c r="M114" s="229" t="str">
        <f t="shared" si="12"/>
        <v/>
      </c>
      <c r="O114" s="208"/>
      <c r="P114" s="118" t="s">
        <v>510</v>
      </c>
      <c r="Y114" s="161"/>
      <c r="AA114" s="136" t="s">
        <v>181</v>
      </c>
      <c r="AB114" s="192"/>
      <c r="AD114" s="193" t="str">
        <f t="shared" si="13"/>
        <v/>
      </c>
    </row>
    <row r="115" spans="1:30" ht="14.1" customHeight="1">
      <c r="A115" s="146">
        <v>43</v>
      </c>
      <c r="B115" s="194"/>
      <c r="E115" s="118" t="s">
        <v>489</v>
      </c>
      <c r="L115" s="228" t="str">
        <f t="shared" si="11"/>
        <v>TBD</v>
      </c>
      <c r="M115" s="229" t="str">
        <f t="shared" si="12"/>
        <v/>
      </c>
      <c r="O115" s="208"/>
      <c r="P115" s="118" t="s">
        <v>511</v>
      </c>
      <c r="Y115" s="161"/>
      <c r="AA115" s="136" t="s">
        <v>85</v>
      </c>
      <c r="AB115" s="192"/>
      <c r="AD115" s="193" t="str">
        <f t="shared" ref="AD115:AD120" si="14">IF(S448="","",S448)</f>
        <v/>
      </c>
    </row>
    <row r="116" spans="1:30" ht="14.1" customHeight="1">
      <c r="A116" s="146">
        <v>44</v>
      </c>
      <c r="B116" s="194"/>
      <c r="E116" s="118" t="s">
        <v>490</v>
      </c>
      <c r="L116" s="228" t="str">
        <f t="shared" si="11"/>
        <v>TBD</v>
      </c>
      <c r="M116" s="229" t="str">
        <f t="shared" si="12"/>
        <v/>
      </c>
      <c r="O116" s="208"/>
      <c r="P116" s="118" t="s">
        <v>512</v>
      </c>
      <c r="Y116" s="161"/>
      <c r="AA116" s="136" t="s">
        <v>163</v>
      </c>
      <c r="AB116" s="192"/>
      <c r="AD116" s="193" t="str">
        <f t="shared" si="14"/>
        <v/>
      </c>
    </row>
    <row r="117" spans="1:30" ht="14.1" customHeight="1" thickBot="1">
      <c r="A117" s="146">
        <v>45</v>
      </c>
      <c r="B117" s="194"/>
      <c r="E117" s="118" t="s">
        <v>491</v>
      </c>
      <c r="L117" s="228" t="str">
        <f t="shared" si="11"/>
        <v>TBD</v>
      </c>
      <c r="M117" s="229" t="str">
        <f t="shared" si="12"/>
        <v/>
      </c>
      <c r="O117" s="168"/>
      <c r="P117" s="169"/>
      <c r="Q117" s="169"/>
      <c r="R117" s="169"/>
      <c r="S117" s="169"/>
      <c r="T117" s="169"/>
      <c r="U117" s="169"/>
      <c r="V117" s="169"/>
      <c r="W117" s="169"/>
      <c r="X117" s="169"/>
      <c r="Y117" s="170"/>
      <c r="AA117" s="136" t="s">
        <v>166</v>
      </c>
      <c r="AB117" s="192"/>
      <c r="AD117" s="193" t="str">
        <f t="shared" si="14"/>
        <v/>
      </c>
    </row>
    <row r="118" spans="1:30" ht="14.1" customHeight="1">
      <c r="A118" s="146">
        <v>46</v>
      </c>
      <c r="B118" s="194"/>
      <c r="E118" s="118" t="s">
        <v>492</v>
      </c>
      <c r="L118" s="228" t="str">
        <f t="shared" si="11"/>
        <v>TBD</v>
      </c>
      <c r="M118" s="229" t="str">
        <f t="shared" si="12"/>
        <v/>
      </c>
      <c r="AA118" s="136" t="s">
        <v>177</v>
      </c>
      <c r="AB118" s="192"/>
      <c r="AD118" s="193" t="str">
        <f t="shared" si="14"/>
        <v/>
      </c>
    </row>
    <row r="119" spans="1:30" ht="14.1" customHeight="1" thickBot="1">
      <c r="A119" s="146">
        <v>47</v>
      </c>
      <c r="B119" s="194"/>
      <c r="E119" s="118" t="s">
        <v>493</v>
      </c>
      <c r="L119" s="228" t="str">
        <f t="shared" si="11"/>
        <v>TBD</v>
      </c>
      <c r="M119" s="229" t="str">
        <f t="shared" si="12"/>
        <v/>
      </c>
      <c r="T119" s="138" t="s">
        <v>176</v>
      </c>
      <c r="AA119" s="136" t="s">
        <v>179</v>
      </c>
      <c r="AB119" s="192"/>
      <c r="AD119" s="193" t="str">
        <f t="shared" si="14"/>
        <v/>
      </c>
    </row>
    <row r="120" spans="1:30" ht="14.1" customHeight="1" thickBot="1">
      <c r="A120" s="146">
        <v>48</v>
      </c>
      <c r="B120" s="194"/>
      <c r="E120" s="118" t="s">
        <v>494</v>
      </c>
      <c r="L120" s="228" t="str">
        <f t="shared" si="11"/>
        <v>TBD</v>
      </c>
      <c r="M120" s="229" t="str">
        <f t="shared" si="12"/>
        <v/>
      </c>
      <c r="O120" s="189"/>
      <c r="P120" s="151"/>
      <c r="Q120" s="151"/>
      <c r="R120" s="151"/>
      <c r="S120" s="151"/>
      <c r="T120" s="151"/>
      <c r="U120" s="151"/>
      <c r="V120" s="151"/>
      <c r="W120" s="151"/>
      <c r="X120" s="151"/>
      <c r="Y120" s="152"/>
      <c r="AA120" s="136" t="s">
        <v>181</v>
      </c>
      <c r="AB120" s="192"/>
      <c r="AD120" s="193" t="str">
        <f t="shared" si="14"/>
        <v/>
      </c>
    </row>
    <row r="121" spans="1:30" ht="14.1" customHeight="1">
      <c r="A121" s="146">
        <v>49</v>
      </c>
      <c r="B121" s="194"/>
      <c r="E121" s="118" t="s">
        <v>495</v>
      </c>
      <c r="L121" s="228" t="str">
        <f t="shared" si="11"/>
        <v>TBD</v>
      </c>
      <c r="M121" s="229" t="str">
        <f t="shared" si="12"/>
        <v/>
      </c>
      <c r="O121" s="210" t="s">
        <v>55</v>
      </c>
      <c r="P121" s="767" t="s">
        <v>56</v>
      </c>
      <c r="Q121" s="768"/>
      <c r="R121" s="769"/>
      <c r="S121" s="767" t="s">
        <v>500</v>
      </c>
      <c r="T121" s="768"/>
      <c r="U121" s="769"/>
      <c r="V121" s="767" t="s">
        <v>58</v>
      </c>
      <c r="W121" s="768"/>
      <c r="X121" s="773"/>
      <c r="Y121" s="161"/>
      <c r="AA121" s="136" t="s">
        <v>188</v>
      </c>
      <c r="AB121" s="192"/>
      <c r="AD121" s="193" t="str">
        <f>IF(T463="","",T463)</f>
        <v/>
      </c>
    </row>
    <row r="122" spans="1:30" ht="14.1" customHeight="1">
      <c r="A122" s="146">
        <v>50</v>
      </c>
      <c r="B122" s="194"/>
      <c r="E122" s="118" t="s">
        <v>496</v>
      </c>
      <c r="L122" s="228" t="str">
        <f t="shared" si="11"/>
        <v>TBD</v>
      </c>
      <c r="M122" s="229" t="str">
        <f t="shared" si="12"/>
        <v/>
      </c>
      <c r="O122" s="211" t="s">
        <v>59</v>
      </c>
      <c r="P122" s="770"/>
      <c r="Q122" s="771"/>
      <c r="R122" s="772"/>
      <c r="S122" s="770"/>
      <c r="T122" s="771"/>
      <c r="U122" s="772"/>
      <c r="V122" s="770"/>
      <c r="W122" s="771"/>
      <c r="X122" s="774"/>
      <c r="Y122" s="161"/>
      <c r="AA122" s="136" t="s">
        <v>189</v>
      </c>
      <c r="AB122" s="192"/>
      <c r="AD122" s="193" t="str">
        <f>IF(T464="","",T464)</f>
        <v/>
      </c>
    </row>
    <row r="123" spans="1:30" ht="14.1" customHeight="1" thickBot="1">
      <c r="A123" s="146">
        <v>51</v>
      </c>
      <c r="B123" s="194"/>
      <c r="E123" s="118" t="s">
        <v>497</v>
      </c>
      <c r="L123" s="228" t="str">
        <f t="shared" si="11"/>
        <v>TBD</v>
      </c>
      <c r="M123" s="229" t="str">
        <f t="shared" si="12"/>
        <v/>
      </c>
      <c r="O123" s="211" t="s">
        <v>61</v>
      </c>
      <c r="P123" s="215" t="s">
        <v>62</v>
      </c>
      <c r="Q123" s="216" t="s">
        <v>19</v>
      </c>
      <c r="R123" s="217" t="s">
        <v>63</v>
      </c>
      <c r="S123" s="215" t="s">
        <v>62</v>
      </c>
      <c r="T123" s="216" t="s">
        <v>19</v>
      </c>
      <c r="U123" s="217" t="s">
        <v>63</v>
      </c>
      <c r="V123" s="215" t="s">
        <v>62</v>
      </c>
      <c r="W123" s="216" t="s">
        <v>19</v>
      </c>
      <c r="X123" s="217" t="s">
        <v>63</v>
      </c>
      <c r="Y123" s="161"/>
      <c r="AA123" s="117" t="s">
        <v>572</v>
      </c>
    </row>
    <row r="124" spans="1:30" ht="14.1" customHeight="1" thickTop="1">
      <c r="A124" s="146">
        <v>52</v>
      </c>
      <c r="B124" s="194"/>
      <c r="E124" s="118" t="s">
        <v>498</v>
      </c>
      <c r="L124" s="228" t="str">
        <f t="shared" si="11"/>
        <v>TBD</v>
      </c>
      <c r="M124" s="229" t="str">
        <f t="shared" si="12"/>
        <v/>
      </c>
      <c r="O124" s="218" t="s">
        <v>65</v>
      </c>
      <c r="P124" s="241" t="str">
        <f>IF(P132&lt;&gt;"",P132,IF(AB46="","",AB46))</f>
        <v/>
      </c>
      <c r="Q124" s="242" t="str">
        <f>IF(Q132&lt;&gt;"",Q132,IF(AB47="","",AB47))</f>
        <v/>
      </c>
      <c r="R124" s="243" t="str">
        <f>IF(R132&lt;&gt;"",R132,IF(AB48="","",AB48))</f>
        <v/>
      </c>
      <c r="S124" s="241" t="str">
        <f>IF(S132&lt;&gt;"",S132,IF(AB59="","",AB59))</f>
        <v/>
      </c>
      <c r="T124" s="242" t="str">
        <f>IF(T132&lt;&gt;"",T132,IF(AB60="","",AB60))</f>
        <v/>
      </c>
      <c r="U124" s="243" t="str">
        <f>IF(U132&lt;&gt;"",U132,IF(AB61="","",AB61))</f>
        <v/>
      </c>
      <c r="V124" s="241" t="str">
        <f>IF(V132&lt;&gt;"",V132,IF(AB72="","",AB72))</f>
        <v/>
      </c>
      <c r="W124" s="242" t="str">
        <f>IF(W132&lt;&gt;"",W132,IF(AB73="","",AB73))</f>
        <v/>
      </c>
      <c r="X124" s="243" t="str">
        <f>IF(X132&lt;&gt;"",X132,IF(AB74="","",AB74))</f>
        <v/>
      </c>
      <c r="Y124" s="161"/>
      <c r="AA124" s="136" t="s">
        <v>574</v>
      </c>
      <c r="AB124" s="192"/>
      <c r="AD124" s="193" t="str">
        <f>IF(S274="","",S274)</f>
        <v/>
      </c>
    </row>
    <row r="125" spans="1:30" ht="14.1" customHeight="1">
      <c r="A125" s="146">
        <v>53</v>
      </c>
      <c r="B125" s="194"/>
      <c r="E125" s="118" t="s">
        <v>499</v>
      </c>
      <c r="L125" s="228" t="str">
        <f t="shared" si="11"/>
        <v>TBD</v>
      </c>
      <c r="M125" s="229" t="str">
        <f t="shared" si="12"/>
        <v/>
      </c>
      <c r="O125" s="223" t="s">
        <v>68</v>
      </c>
      <c r="P125" s="244" t="str">
        <f>IF(P133&lt;&gt;"",P133,IF(AB49="","",AB49))</f>
        <v/>
      </c>
      <c r="Q125" s="245" t="str">
        <f>IF(Q133&lt;&gt;"",Q133,IF(AB50="","",AB50))</f>
        <v/>
      </c>
      <c r="R125" s="246" t="str">
        <f>IF(R133&lt;&gt;"",R133,IF(AB51="","",AB51))</f>
        <v/>
      </c>
      <c r="S125" s="244" t="str">
        <f>IF(S133&lt;&gt;"",S133,IF(AB60="","",AB60))</f>
        <v/>
      </c>
      <c r="T125" s="245" t="str">
        <f>IF(T133&lt;&gt;"",T133,IF(AB63="","",AB63))</f>
        <v/>
      </c>
      <c r="U125" s="246" t="str">
        <f>IF(U133&lt;&gt;"",U133,IF(AB64="","",AB64))</f>
        <v/>
      </c>
      <c r="V125" s="244" t="str">
        <f>IF(V133&lt;&gt;"",V133,IF(AB75="","",AB75))</f>
        <v/>
      </c>
      <c r="W125" s="245" t="str">
        <f>IF(W133&lt;&gt;"",W133,IF(AB76="","",AB76))</f>
        <v/>
      </c>
      <c r="X125" s="246" t="str">
        <f>IF(X133&lt;&gt;"",X133,IF(AB77="","",AB77))</f>
        <v/>
      </c>
      <c r="Y125" s="161"/>
      <c r="AA125" s="136" t="s">
        <v>575</v>
      </c>
      <c r="AB125" s="192"/>
      <c r="AD125" s="193" t="str">
        <f>IF(S275="","",S275)</f>
        <v/>
      </c>
    </row>
    <row r="126" spans="1:30" ht="14.1" customHeight="1">
      <c r="A126" s="146">
        <v>54</v>
      </c>
      <c r="B126" s="194"/>
      <c r="M126" s="197"/>
      <c r="O126" s="223" t="s">
        <v>71</v>
      </c>
      <c r="P126" s="244" t="str">
        <f>IF(P134&lt;&gt;"",P134,IF(AB52="","",AB52))</f>
        <v/>
      </c>
      <c r="Q126" s="245" t="str">
        <f>IF(Q134&lt;&gt;"",Q134,IF(AB53="","",AB53))</f>
        <v/>
      </c>
      <c r="R126" s="246" t="str">
        <f>IF(R134&lt;&gt;"",R134,IF(AB54="","",AB54))</f>
        <v/>
      </c>
      <c r="S126" s="244" t="str">
        <f>IF(S134&lt;&gt;"",S134,IF(AB61="","",AB61))</f>
        <v/>
      </c>
      <c r="T126" s="245" t="str">
        <f>IF(T134&lt;&gt;"",T134,IF(AB66="","",AB66))</f>
        <v/>
      </c>
      <c r="U126" s="246" t="str">
        <f>IF(U134&lt;&gt;"",U134,IF(AB67="","",AB67))</f>
        <v/>
      </c>
      <c r="V126" s="244" t="str">
        <f>IF(V134&lt;&gt;"",V134,IF(AB78="","",AB78))</f>
        <v/>
      </c>
      <c r="W126" s="245" t="str">
        <f>IF(W134&lt;&gt;"",W134,IF(AB79="","",AB79))</f>
        <v/>
      </c>
      <c r="X126" s="246" t="str">
        <f>IF(X134&lt;&gt;"",X134,IF(AB80="","",AB80))</f>
        <v/>
      </c>
      <c r="Y126" s="161"/>
      <c r="AA126" s="136" t="s">
        <v>576</v>
      </c>
      <c r="AB126" s="192"/>
      <c r="AD126" s="193" t="str">
        <f>IF(S276="","",S276)</f>
        <v/>
      </c>
    </row>
    <row r="127" spans="1:30" ht="14.1" customHeight="1" thickBot="1">
      <c r="A127" s="146">
        <v>55</v>
      </c>
      <c r="B127" s="194"/>
      <c r="E127" s="154"/>
      <c r="H127" s="138" t="s">
        <v>507</v>
      </c>
      <c r="M127" s="197"/>
      <c r="O127" s="225" t="s">
        <v>74</v>
      </c>
      <c r="P127" s="247" t="str">
        <f>IF(P135&lt;&gt;"",P135,IF(AB55="","",AB55))</f>
        <v/>
      </c>
      <c r="Q127" s="248" t="str">
        <f>IF(Q135&lt;&gt;"",Q135,IF(AB56="","",AB56))</f>
        <v/>
      </c>
      <c r="R127" s="249" t="str">
        <f>IF(R135&lt;&gt;"",R135,IF(AB57="","",AB57))</f>
        <v/>
      </c>
      <c r="S127" s="247" t="str">
        <f>IF(S135&lt;&gt;"",S135,IF(AB62="","",AB62))</f>
        <v/>
      </c>
      <c r="T127" s="248" t="str">
        <f>IF(T135&lt;&gt;"",T135,IF(AB69="","",AB69))</f>
        <v/>
      </c>
      <c r="U127" s="249" t="str">
        <f>IF(U135&lt;&gt;"",U135,IF(AB70="","",AB70))</f>
        <v/>
      </c>
      <c r="V127" s="247" t="str">
        <f>IF(V135&lt;&gt;"",V135,IF(AB81="","",AB81))</f>
        <v/>
      </c>
      <c r="W127" s="248" t="str">
        <f>IF(W135&lt;&gt;"",W135,IF(AB82="","",AB82))</f>
        <v/>
      </c>
      <c r="X127" s="249" t="str">
        <f>IF(X135&lt;&gt;"",X135,IF(AB83="","",AB83))</f>
        <v/>
      </c>
      <c r="Y127" s="161"/>
      <c r="AA127" s="136" t="s">
        <v>577</v>
      </c>
      <c r="AB127" s="192"/>
      <c r="AD127" s="193" t="str">
        <f>IF(P313="","",P313)</f>
        <v/>
      </c>
    </row>
    <row r="128" spans="1:30" ht="14.1" customHeight="1" thickBot="1">
      <c r="A128" s="146">
        <v>56</v>
      </c>
      <c r="B128" s="194"/>
      <c r="E128" s="118" t="s">
        <v>508</v>
      </c>
      <c r="L128" s="228" t="str">
        <f>IF(O112="","TBD",IF(O112=1,"YES",IF(O112=3,"NA","")))</f>
        <v>TBD</v>
      </c>
      <c r="M128" s="229" t="str">
        <f>IF(O112=2,"NO","")</f>
        <v/>
      </c>
      <c r="O128" s="159"/>
      <c r="Y128" s="161"/>
      <c r="AA128" s="136" t="s">
        <v>578</v>
      </c>
      <c r="AB128" s="192"/>
      <c r="AD128" s="193" t="str">
        <f>IF(Q313="","",Q313)</f>
        <v/>
      </c>
    </row>
    <row r="129" spans="1:30" ht="14.1" customHeight="1">
      <c r="A129" s="146">
        <v>57</v>
      </c>
      <c r="B129" s="194"/>
      <c r="E129" s="118" t="s">
        <v>509</v>
      </c>
      <c r="L129" s="228" t="str">
        <f>IF(O113="","TBD",IF(O113=1,"YES",IF(O113=3,"NA","")))</f>
        <v>TBD</v>
      </c>
      <c r="M129" s="229" t="str">
        <f>IF(O113=2,"NO","")</f>
        <v/>
      </c>
      <c r="O129" s="210" t="s">
        <v>55</v>
      </c>
      <c r="P129" s="767" t="s">
        <v>56</v>
      </c>
      <c r="Q129" s="768"/>
      <c r="R129" s="769"/>
      <c r="S129" s="767" t="s">
        <v>500</v>
      </c>
      <c r="T129" s="768"/>
      <c r="U129" s="769"/>
      <c r="V129" s="775" t="s">
        <v>58</v>
      </c>
      <c r="W129" s="776"/>
      <c r="X129" s="777"/>
      <c r="Y129" s="161"/>
      <c r="AA129" s="136" t="s">
        <v>579</v>
      </c>
      <c r="AB129" s="192"/>
      <c r="AD129" s="193" t="str">
        <f>IF(P314="","",P314)</f>
        <v/>
      </c>
    </row>
    <row r="130" spans="1:30" ht="14.1" customHeight="1">
      <c r="A130" s="146">
        <v>58</v>
      </c>
      <c r="B130" s="194"/>
      <c r="E130" s="118" t="s">
        <v>510</v>
      </c>
      <c r="L130" s="228" t="str">
        <f>IF(O114="","TBD",IF(O114=1,"YES",IF(O114=3,"NA","")))</f>
        <v>TBD</v>
      </c>
      <c r="M130" s="229" t="str">
        <f>IF(O114=2,"NO","")</f>
        <v/>
      </c>
      <c r="O130" s="211" t="s">
        <v>59</v>
      </c>
      <c r="P130" s="770"/>
      <c r="Q130" s="771"/>
      <c r="R130" s="772"/>
      <c r="S130" s="770"/>
      <c r="T130" s="771"/>
      <c r="U130" s="772"/>
      <c r="V130" s="778"/>
      <c r="W130" s="756"/>
      <c r="X130" s="779"/>
      <c r="Y130" s="161"/>
      <c r="AA130" s="136" t="s">
        <v>580</v>
      </c>
      <c r="AB130" s="192"/>
      <c r="AD130" s="193" t="str">
        <f>IF(Q314="","",Q314)</f>
        <v/>
      </c>
    </row>
    <row r="131" spans="1:30" ht="14.1" customHeight="1" thickBot="1">
      <c r="A131" s="146">
        <v>59</v>
      </c>
      <c r="B131" s="194"/>
      <c r="E131" s="118" t="s">
        <v>511</v>
      </c>
      <c r="L131" s="228" t="str">
        <f>IF(O115="","TBD",IF(O115=1,"YES",IF(O115=3,"NA","")))</f>
        <v>TBD</v>
      </c>
      <c r="M131" s="229" t="str">
        <f>IF(O115=2,"NO","")</f>
        <v/>
      </c>
      <c r="O131" s="211" t="s">
        <v>61</v>
      </c>
      <c r="P131" s="215" t="s">
        <v>62</v>
      </c>
      <c r="Q131" s="216" t="s">
        <v>19</v>
      </c>
      <c r="R131" s="217" t="s">
        <v>63</v>
      </c>
      <c r="S131" s="215" t="s">
        <v>62</v>
      </c>
      <c r="T131" s="216" t="s">
        <v>19</v>
      </c>
      <c r="U131" s="217" t="s">
        <v>63</v>
      </c>
      <c r="V131" s="215" t="s">
        <v>62</v>
      </c>
      <c r="W131" s="216" t="s">
        <v>19</v>
      </c>
      <c r="X131" s="217" t="s">
        <v>63</v>
      </c>
      <c r="Y131" s="161"/>
      <c r="AA131" s="136" t="s">
        <v>581</v>
      </c>
      <c r="AB131" s="192"/>
      <c r="AD131" s="193" t="str">
        <f>IF(P315="","",P315)</f>
        <v/>
      </c>
    </row>
    <row r="132" spans="1:30" ht="14.1" customHeight="1" thickTop="1">
      <c r="A132" s="146">
        <v>60</v>
      </c>
      <c r="B132" s="194"/>
      <c r="E132" s="118" t="s">
        <v>512</v>
      </c>
      <c r="L132" s="228" t="str">
        <f>IF(O116="","TBD",IF(O116=1,"YES",IF(O116=3,"NA","")))</f>
        <v>TBD</v>
      </c>
      <c r="M132" s="229" t="str">
        <f>IF(O116=2,"NO","")</f>
        <v/>
      </c>
      <c r="O132" s="218" t="s">
        <v>65</v>
      </c>
      <c r="P132" s="251"/>
      <c r="Q132" s="252"/>
      <c r="R132" s="253"/>
      <c r="S132" s="251"/>
      <c r="T132" s="252"/>
      <c r="U132" s="253"/>
      <c r="V132" s="251"/>
      <c r="W132" s="252"/>
      <c r="X132" s="253"/>
      <c r="Y132" s="161"/>
      <c r="AA132" s="136" t="s">
        <v>582</v>
      </c>
      <c r="AB132" s="192"/>
      <c r="AD132" s="193" t="str">
        <f>IF(Q315="","",Q315)</f>
        <v/>
      </c>
    </row>
    <row r="133" spans="1:30" ht="14.1" customHeight="1">
      <c r="A133" s="146">
        <v>61</v>
      </c>
      <c r="B133" s="194"/>
      <c r="M133" s="197"/>
      <c r="O133" s="223" t="s">
        <v>68</v>
      </c>
      <c r="P133" s="254"/>
      <c r="Q133" s="255"/>
      <c r="R133" s="256"/>
      <c r="S133" s="254"/>
      <c r="T133" s="255"/>
      <c r="U133" s="256"/>
      <c r="V133" s="254"/>
      <c r="W133" s="255"/>
      <c r="X133" s="256"/>
      <c r="Y133" s="161"/>
      <c r="AA133" s="118" t="s">
        <v>583</v>
      </c>
      <c r="AB133" s="192"/>
      <c r="AD133" s="193" t="str">
        <f>IF(Q349="","",Q349)</f>
        <v/>
      </c>
    </row>
    <row r="134" spans="1:30" ht="14.1" customHeight="1">
      <c r="A134" s="146">
        <v>62</v>
      </c>
      <c r="B134" s="194"/>
      <c r="H134" s="138" t="s">
        <v>590</v>
      </c>
      <c r="M134" s="197"/>
      <c r="O134" s="223" t="s">
        <v>71</v>
      </c>
      <c r="P134" s="254"/>
      <c r="Q134" s="255"/>
      <c r="R134" s="256"/>
      <c r="S134" s="254"/>
      <c r="T134" s="255"/>
      <c r="U134" s="256"/>
      <c r="V134" s="254"/>
      <c r="W134" s="255"/>
      <c r="X134" s="256"/>
      <c r="Y134" s="161"/>
      <c r="AA134" s="118" t="s">
        <v>584</v>
      </c>
      <c r="AB134" s="192"/>
      <c r="AD134" s="193" t="str">
        <f>IF(Q350="","",Q350)</f>
        <v/>
      </c>
    </row>
    <row r="135" spans="1:30" ht="14.1" customHeight="1" thickBot="1">
      <c r="A135" s="146">
        <v>63</v>
      </c>
      <c r="B135" s="194"/>
      <c r="E135" s="118" t="s">
        <v>603</v>
      </c>
      <c r="L135" s="228" t="str">
        <f>IF(O33=2,"NA",IF(V274="","TBD",IF(AND(V274="Pass",V275="Pass",V276="Pass"),"YES","")))</f>
        <v>TBD</v>
      </c>
      <c r="M135" s="229" t="str">
        <f>IF(OR(V274="Fail",V275="Fail",V276="Fail"),"NO","")</f>
        <v/>
      </c>
      <c r="O135" s="225" t="s">
        <v>74</v>
      </c>
      <c r="P135" s="257"/>
      <c r="Q135" s="258"/>
      <c r="R135" s="259"/>
      <c r="S135" s="257"/>
      <c r="T135" s="258"/>
      <c r="U135" s="259"/>
      <c r="V135" s="257"/>
      <c r="W135" s="258"/>
      <c r="X135" s="259"/>
      <c r="Y135" s="170"/>
      <c r="AA135" s="118" t="s">
        <v>585</v>
      </c>
      <c r="AB135" s="192"/>
      <c r="AD135" s="193" t="str">
        <f>IF(T349="","",T349)</f>
        <v/>
      </c>
    </row>
    <row r="136" spans="1:30" ht="14.1" customHeight="1">
      <c r="A136" s="146">
        <v>64</v>
      </c>
      <c r="B136" s="194"/>
      <c r="E136" s="118" t="s">
        <v>604</v>
      </c>
      <c r="L136" s="228" t="str">
        <f>IF(O33=2,"NA",IF(V304="","TBD",IF(V304="Pass","YES","")))</f>
        <v>TBD</v>
      </c>
      <c r="M136" s="229" t="str">
        <f>IF(V304="Fail","NO","")</f>
        <v/>
      </c>
      <c r="O136" s="154"/>
      <c r="P136" s="154"/>
      <c r="Q136" s="154"/>
      <c r="R136" s="154"/>
      <c r="S136" s="154"/>
      <c r="T136" s="154"/>
      <c r="U136" s="154"/>
      <c r="V136" s="154"/>
      <c r="W136" s="154"/>
      <c r="X136" s="154"/>
      <c r="AA136" s="118" t="s">
        <v>586</v>
      </c>
      <c r="AB136" s="192"/>
      <c r="AD136" s="193" t="str">
        <f>IF(T350="","",T350)</f>
        <v/>
      </c>
    </row>
    <row r="137" spans="1:30" ht="14.1" customHeight="1" thickBot="1">
      <c r="A137" s="146">
        <v>65</v>
      </c>
      <c r="B137" s="194"/>
      <c r="E137" s="118" t="s">
        <v>591</v>
      </c>
      <c r="L137" s="228" t="str">
        <f>IF(O33=2,"NA",IF(S313="","TBD",IF(AND(S313="Pass",S314="Pass",S315="Pass"),"YES","")))</f>
        <v>TBD</v>
      </c>
      <c r="M137" s="229" t="str">
        <f>IF(OR(S313="Fail",S314="Fail",S315="Fail"),"NO","")</f>
        <v/>
      </c>
      <c r="T137" s="138" t="s">
        <v>64</v>
      </c>
      <c r="AA137" s="118" t="s">
        <v>587</v>
      </c>
      <c r="AB137" s="192"/>
      <c r="AD137" s="193" t="str">
        <f>IF(W349="","",W349)</f>
        <v/>
      </c>
    </row>
    <row r="138" spans="1:30" ht="14.1" customHeight="1">
      <c r="A138" s="146">
        <v>66</v>
      </c>
      <c r="B138" s="194"/>
      <c r="E138" s="118" t="s">
        <v>592</v>
      </c>
      <c r="L138" s="228" t="str">
        <f>IF(O33=2,"NA",IF(G414="","TBD",IF(AND(G414="Pass",G415="Pass",G416="Pass"),"YES","")))</f>
        <v>TBD</v>
      </c>
      <c r="M138" s="229" t="str">
        <f>IF(OR(G414="Fail",G415="Fail",G416="Fail"),"NO","")</f>
        <v/>
      </c>
      <c r="O138" s="260" t="s">
        <v>190</v>
      </c>
      <c r="P138" s="151"/>
      <c r="Q138" s="151"/>
      <c r="R138" s="151" t="s">
        <v>197</v>
      </c>
      <c r="S138" s="151" t="s">
        <v>698</v>
      </c>
      <c r="T138" s="151"/>
      <c r="U138" s="151"/>
      <c r="V138" s="151"/>
      <c r="W138" s="151"/>
      <c r="X138" s="151"/>
      <c r="Y138" s="152"/>
      <c r="AA138" s="118" t="s">
        <v>588</v>
      </c>
      <c r="AB138" s="192"/>
      <c r="AD138" s="193" t="str">
        <f>IF(W350="","",W350)</f>
        <v/>
      </c>
    </row>
    <row r="139" spans="1:30" ht="14.1" customHeight="1">
      <c r="A139" s="146">
        <v>67</v>
      </c>
      <c r="B139" s="194"/>
      <c r="E139" s="118" t="s">
        <v>593</v>
      </c>
      <c r="L139" s="228" t="str">
        <f>IF(O362="","TBD",IF(O362=1,"YES",IF(O362=3,"NA","")))</f>
        <v>TBD</v>
      </c>
      <c r="M139" s="229" t="str">
        <f>IF(O362=2,"NO","")</f>
        <v/>
      </c>
      <c r="O139" s="159"/>
      <c r="P139" s="154"/>
      <c r="Q139" s="136" t="s">
        <v>191</v>
      </c>
      <c r="R139" s="261"/>
      <c r="S139" s="262"/>
      <c r="T139" s="154"/>
      <c r="Y139" s="161"/>
      <c r="AA139" s="136" t="s">
        <v>567</v>
      </c>
    </row>
    <row r="140" spans="1:30" ht="14.1" customHeight="1">
      <c r="A140" s="146">
        <v>68</v>
      </c>
      <c r="B140" s="194"/>
      <c r="E140" s="118" t="s">
        <v>565</v>
      </c>
      <c r="L140" s="228" t="str">
        <f>IF(O363="","TBD",IF(O363=1,"YES",IF(O363=3,"NA","")))</f>
        <v>TBD</v>
      </c>
      <c r="M140" s="229" t="str">
        <f>IF(O363=2,"NO","")</f>
        <v/>
      </c>
      <c r="O140" s="159"/>
      <c r="P140" s="154"/>
      <c r="Q140" s="136" t="s">
        <v>192</v>
      </c>
      <c r="R140" s="261"/>
      <c r="S140" s="154" t="s">
        <v>66</v>
      </c>
      <c r="T140" s="154"/>
      <c r="Y140" s="161"/>
      <c r="AA140" s="136" t="s">
        <v>177</v>
      </c>
      <c r="AB140" s="192"/>
      <c r="AD140" s="193" t="str">
        <f>IF(P357="","",P357)</f>
        <v/>
      </c>
    </row>
    <row r="141" spans="1:30" ht="14.1" customHeight="1">
      <c r="A141" s="146">
        <v>69</v>
      </c>
      <c r="B141" s="194"/>
      <c r="E141" s="118" t="s">
        <v>571</v>
      </c>
      <c r="L141" s="228" t="str">
        <f>IF(O364="","TBD",IF(O364=1,"YES",IF(O364=3,"NA","")))</f>
        <v>TBD</v>
      </c>
      <c r="M141" s="229" t="str">
        <f>IF(O364=2,"NO","")</f>
        <v/>
      </c>
      <c r="O141" s="159"/>
      <c r="P141" s="154"/>
      <c r="Q141" s="154"/>
      <c r="R141" s="263" t="str">
        <f>IF(R139="","",IF(AND(R139&gt;=120,R139&lt;=200),"Pass","Fail"))</f>
        <v/>
      </c>
      <c r="T141" s="154"/>
      <c r="Y141" s="161"/>
      <c r="AA141" s="136" t="s">
        <v>179</v>
      </c>
      <c r="AB141" s="192"/>
      <c r="AD141" s="193" t="str">
        <f>IF(P358="","",P358)</f>
        <v/>
      </c>
    </row>
    <row r="142" spans="1:30" ht="14.1" customHeight="1" thickBot="1">
      <c r="A142" s="146">
        <v>70</v>
      </c>
      <c r="B142" s="205"/>
      <c r="C142" s="206"/>
      <c r="D142" s="206"/>
      <c r="E142" s="264"/>
      <c r="F142" s="206"/>
      <c r="G142" s="206"/>
      <c r="H142" s="206"/>
      <c r="I142" s="206"/>
      <c r="J142" s="206"/>
      <c r="K142" s="206"/>
      <c r="L142" s="206"/>
      <c r="M142" s="207"/>
      <c r="O142" s="159"/>
      <c r="P142" s="234" t="s">
        <v>193</v>
      </c>
      <c r="Q142" s="156" t="s">
        <v>194</v>
      </c>
      <c r="Y142" s="161"/>
      <c r="AA142" s="136" t="s">
        <v>181</v>
      </c>
      <c r="AB142" s="192"/>
      <c r="AD142" s="193" t="str">
        <f>IF(P359="","",P359)</f>
        <v/>
      </c>
    </row>
    <row r="143" spans="1:30" ht="14.1" customHeight="1" thickTop="1">
      <c r="A143" s="146">
        <v>71</v>
      </c>
      <c r="C143" s="230" t="s">
        <v>8</v>
      </c>
      <c r="D143" s="231" t="str">
        <f>IF($P$7="","",$P$7)</f>
        <v/>
      </c>
      <c r="E143" s="156"/>
      <c r="F143" s="156"/>
      <c r="G143" s="156"/>
      <c r="H143" s="156"/>
      <c r="I143" s="156"/>
      <c r="J143" s="156"/>
      <c r="K143" s="156"/>
      <c r="L143" s="230" t="s">
        <v>9</v>
      </c>
      <c r="M143" s="232" t="str">
        <f>IF($X$7="","",$X$7)</f>
        <v>Eugene Mah</v>
      </c>
      <c r="O143" s="159"/>
      <c r="Q143" s="156" t="s">
        <v>748</v>
      </c>
      <c r="Y143" s="161"/>
      <c r="AA143" s="136" t="s">
        <v>568</v>
      </c>
    </row>
    <row r="144" spans="1:30" ht="14.1" customHeight="1">
      <c r="A144" s="146">
        <v>72</v>
      </c>
      <c r="C144" s="230" t="s">
        <v>111</v>
      </c>
      <c r="D144" s="232" t="str">
        <f>IF($R$14="","",$R$14)</f>
        <v/>
      </c>
      <c r="E144" s="156"/>
      <c r="F144" s="156"/>
      <c r="G144" s="156"/>
      <c r="H144" s="156"/>
      <c r="I144" s="156"/>
      <c r="J144" s="156"/>
      <c r="K144" s="156"/>
      <c r="L144" s="230" t="s">
        <v>29</v>
      </c>
      <c r="M144" s="232" t="str">
        <f>IF($R$13="","",$R$13)</f>
        <v/>
      </c>
      <c r="O144" s="159"/>
      <c r="Y144" s="161"/>
      <c r="AA144" s="136" t="s">
        <v>177</v>
      </c>
      <c r="AB144" s="192"/>
      <c r="AD144" s="193" t="str">
        <f>IF(Q357="","",Q357)</f>
        <v/>
      </c>
    </row>
    <row r="145" spans="1:30" ht="14.1" customHeight="1">
      <c r="A145" s="146">
        <v>1</v>
      </c>
      <c r="M145" s="233" t="str">
        <f>$H$2</f>
        <v>Medical University of South Carolina</v>
      </c>
      <c r="O145" s="265" t="s">
        <v>195</v>
      </c>
      <c r="Y145" s="161"/>
      <c r="AA145" s="136" t="s">
        <v>179</v>
      </c>
      <c r="AB145" s="192"/>
      <c r="AD145" s="193" t="str">
        <f>IF(Q358="","",Q358)</f>
        <v/>
      </c>
    </row>
    <row r="146" spans="1:30" ht="14.1" customHeight="1" thickBot="1">
      <c r="A146" s="146">
        <v>2</v>
      </c>
      <c r="H146" s="179" t="s">
        <v>64</v>
      </c>
      <c r="M146" s="234" t="str">
        <f>$H$5</f>
        <v>Mammography System Compliance Inspection</v>
      </c>
      <c r="O146" s="159"/>
      <c r="P146" s="118" t="s">
        <v>196</v>
      </c>
      <c r="Q146" s="130" t="s">
        <v>197</v>
      </c>
      <c r="R146" s="130" t="s">
        <v>198</v>
      </c>
      <c r="Y146" s="161"/>
      <c r="AA146" s="136" t="s">
        <v>181</v>
      </c>
      <c r="AB146" s="192"/>
      <c r="AD146" s="193" t="str">
        <f>IF(Q359="","",Q359)</f>
        <v/>
      </c>
    </row>
    <row r="147" spans="1:30" ht="14.1" customHeight="1" thickTop="1" thickBot="1">
      <c r="A147" s="146">
        <v>3</v>
      </c>
      <c r="B147" s="185"/>
      <c r="C147" s="187" t="s">
        <v>190</v>
      </c>
      <c r="D147" s="186"/>
      <c r="E147" s="186"/>
      <c r="F147" s="186"/>
      <c r="G147" s="186"/>
      <c r="H147" s="186"/>
      <c r="I147" s="186"/>
      <c r="J147" s="186"/>
      <c r="K147" s="186"/>
      <c r="L147" s="186"/>
      <c r="M147" s="188"/>
      <c r="O147" s="159"/>
      <c r="P147" s="130">
        <v>1</v>
      </c>
      <c r="Q147" s="261"/>
      <c r="R147" s="196" t="str">
        <f t="shared" ref="R147:R154" si="15">IF(Q147="","",ABS(Q147-P147))</f>
        <v/>
      </c>
      <c r="Y147" s="161"/>
    </row>
    <row r="148" spans="1:30" ht="14.1" customHeight="1" thickBot="1">
      <c r="A148" s="146">
        <v>4</v>
      </c>
      <c r="B148" s="194"/>
      <c r="E148" s="136" t="s">
        <v>191</v>
      </c>
      <c r="F148" s="266" t="str">
        <f>IF(R139="","",R139)</f>
        <v/>
      </c>
      <c r="H148" s="136" t="s">
        <v>207</v>
      </c>
      <c r="I148" s="267" t="str">
        <f>IF(R141="","",R141)</f>
        <v/>
      </c>
      <c r="M148" s="197"/>
      <c r="O148" s="159"/>
      <c r="P148" s="130">
        <v>2</v>
      </c>
      <c r="Q148" s="261"/>
      <c r="R148" s="196" t="str">
        <f t="shared" si="15"/>
        <v/>
      </c>
      <c r="Y148" s="161"/>
    </row>
    <row r="149" spans="1:30" ht="14.1" customHeight="1" thickBot="1">
      <c r="A149" s="146">
        <v>5</v>
      </c>
      <c r="B149" s="194"/>
      <c r="E149" s="136" t="s">
        <v>192</v>
      </c>
      <c r="F149" s="268" t="str">
        <f>IF(R140="","",IF(R140=1,"Pass","Fail"))</f>
        <v/>
      </c>
      <c r="G149" s="130"/>
      <c r="H149" s="130"/>
      <c r="M149" s="197"/>
      <c r="O149" s="159"/>
      <c r="P149" s="130">
        <v>4</v>
      </c>
      <c r="Q149" s="261"/>
      <c r="R149" s="196" t="str">
        <f t="shared" si="15"/>
        <v/>
      </c>
      <c r="S149" s="136" t="s">
        <v>199</v>
      </c>
      <c r="T149" s="269" t="str">
        <f>IF(OR(Q149="",Q150="",Q151="",Q152=""),"",AVERAGE(Q149:Q152))</f>
        <v/>
      </c>
      <c r="Y149" s="161"/>
    </row>
    <row r="150" spans="1:30" ht="14.1" customHeight="1">
      <c r="A150" s="146">
        <v>6</v>
      </c>
      <c r="B150" s="194"/>
      <c r="D150" s="234" t="s">
        <v>193</v>
      </c>
      <c r="E150" s="156" t="s">
        <v>194</v>
      </c>
      <c r="G150" s="130"/>
      <c r="M150" s="197"/>
      <c r="O150" s="159"/>
      <c r="P150" s="130">
        <v>4</v>
      </c>
      <c r="Q150" s="261"/>
      <c r="R150" s="196" t="str">
        <f t="shared" si="15"/>
        <v/>
      </c>
      <c r="S150" s="136" t="s">
        <v>200</v>
      </c>
      <c r="T150" s="270" t="str">
        <f>IF(OR(Q149="",Q150="",Q151="",Q152=""),"",_xlfn.STDEV.S(Q149:Q152))</f>
        <v/>
      </c>
      <c r="Y150" s="161"/>
    </row>
    <row r="151" spans="1:30" ht="14.1" customHeight="1">
      <c r="A151" s="146">
        <v>7</v>
      </c>
      <c r="B151" s="194"/>
      <c r="E151" s="156" t="s">
        <v>748</v>
      </c>
      <c r="M151" s="197"/>
      <c r="O151" s="159"/>
      <c r="P151" s="130">
        <v>4</v>
      </c>
      <c r="Q151" s="261"/>
      <c r="R151" s="196" t="str">
        <f t="shared" si="15"/>
        <v/>
      </c>
      <c r="Y151" s="161"/>
      <c r="AA151" s="271"/>
      <c r="AB151" s="271"/>
      <c r="AC151" s="271"/>
      <c r="AD151" s="271"/>
    </row>
    <row r="152" spans="1:30" ht="14.1" customHeight="1">
      <c r="A152" s="146">
        <v>8</v>
      </c>
      <c r="B152" s="194"/>
      <c r="D152" s="156"/>
      <c r="E152" s="156"/>
      <c r="M152" s="197"/>
      <c r="O152" s="159"/>
      <c r="P152" s="130">
        <v>4</v>
      </c>
      <c r="Q152" s="261"/>
      <c r="R152" s="196" t="str">
        <f t="shared" si="15"/>
        <v/>
      </c>
      <c r="T152" s="234" t="s">
        <v>193</v>
      </c>
      <c r="U152" s="156" t="s">
        <v>201</v>
      </c>
      <c r="Y152" s="161"/>
      <c r="AA152" s="271"/>
      <c r="AB152" s="271"/>
      <c r="AC152" s="271"/>
      <c r="AD152" s="271"/>
    </row>
    <row r="153" spans="1:30" ht="14.1" customHeight="1" thickBot="1">
      <c r="A153" s="146">
        <v>9</v>
      </c>
      <c r="B153" s="194"/>
      <c r="C153" s="117" t="s">
        <v>195</v>
      </c>
      <c r="M153" s="197"/>
      <c r="O153" s="159"/>
      <c r="P153" s="130">
        <v>6</v>
      </c>
      <c r="Q153" s="261"/>
      <c r="R153" s="196" t="str">
        <f t="shared" si="15"/>
        <v/>
      </c>
      <c r="U153" s="156" t="s">
        <v>202</v>
      </c>
      <c r="Y153" s="161"/>
      <c r="AA153" s="271"/>
      <c r="AB153" s="271"/>
      <c r="AC153" s="271"/>
      <c r="AD153" s="271"/>
    </row>
    <row r="154" spans="1:30" ht="14.1" customHeight="1">
      <c r="A154" s="146">
        <v>10</v>
      </c>
      <c r="B154" s="194"/>
      <c r="C154" s="272" t="s">
        <v>196</v>
      </c>
      <c r="D154" s="273" t="s">
        <v>197</v>
      </c>
      <c r="E154" s="274" t="s">
        <v>198</v>
      </c>
      <c r="H154" s="154"/>
      <c r="I154" s="136" t="s">
        <v>211</v>
      </c>
      <c r="J154" s="228" t="str">
        <f>IF(O156="","TBD",IF(O156=1,"YES",IF(O156=3,"NA","")))</f>
        <v>TBD</v>
      </c>
      <c r="K154" s="228" t="str">
        <f>IF(O156=2,"NO","")</f>
        <v/>
      </c>
      <c r="M154" s="197"/>
      <c r="O154" s="159"/>
      <c r="P154" s="130">
        <v>8</v>
      </c>
      <c r="Q154" s="261"/>
      <c r="R154" s="196" t="str">
        <f t="shared" si="15"/>
        <v/>
      </c>
      <c r="Y154" s="161"/>
      <c r="AA154" s="271"/>
      <c r="AB154" s="271"/>
      <c r="AC154" s="271"/>
      <c r="AD154" s="271"/>
    </row>
    <row r="155" spans="1:30" ht="14.1" customHeight="1">
      <c r="A155" s="146">
        <v>11</v>
      </c>
      <c r="B155" s="194"/>
      <c r="C155" s="275">
        <v>1</v>
      </c>
      <c r="D155" s="135" t="str">
        <f t="shared" ref="D155:E162" si="16">IF(Q147="","",Q147)</f>
        <v/>
      </c>
      <c r="E155" s="276" t="str">
        <f t="shared" si="16"/>
        <v/>
      </c>
      <c r="H155" s="154"/>
      <c r="I155" s="136" t="s">
        <v>212</v>
      </c>
      <c r="J155" s="228" t="str">
        <f>IF(O157="","TBD",IF(O157=1,"YES",IF(O157=3,"NA","")))</f>
        <v>TBD</v>
      </c>
      <c r="K155" s="228" t="str">
        <f>IF(O157=2,"NO","")</f>
        <v/>
      </c>
      <c r="M155" s="197"/>
      <c r="O155" s="159" t="s">
        <v>66</v>
      </c>
      <c r="Y155" s="161"/>
    </row>
    <row r="156" spans="1:30" ht="14.1" customHeight="1">
      <c r="A156" s="146">
        <v>12</v>
      </c>
      <c r="B156" s="194"/>
      <c r="C156" s="275">
        <v>2</v>
      </c>
      <c r="D156" s="135" t="str">
        <f t="shared" si="16"/>
        <v/>
      </c>
      <c r="E156" s="276" t="str">
        <f t="shared" si="16"/>
        <v/>
      </c>
      <c r="I156" s="136" t="s">
        <v>204</v>
      </c>
      <c r="J156" s="228" t="str">
        <f>IF(S156="","TBD",S156)</f>
        <v>TBD</v>
      </c>
      <c r="M156" s="197"/>
      <c r="O156" s="208"/>
      <c r="P156" s="118" t="s">
        <v>203</v>
      </c>
      <c r="S156" s="196" t="str">
        <f>IF(R147="","",IF(OR(R147&gt;0.5,R148&gt;0.5,R149&gt;0.5,R150&gt;0.5,R151&gt;0.5,R152&gt;0.5,R153&gt;0.5,R154&gt;0.5),"Fail","Pass"))</f>
        <v/>
      </c>
      <c r="T156" s="164" t="s">
        <v>204</v>
      </c>
      <c r="Y156" s="161"/>
    </row>
    <row r="157" spans="1:30" ht="14.1" customHeight="1">
      <c r="A157" s="146">
        <v>13</v>
      </c>
      <c r="B157" s="194"/>
      <c r="C157" s="275">
        <v>4</v>
      </c>
      <c r="D157" s="135" t="str">
        <f t="shared" si="16"/>
        <v/>
      </c>
      <c r="E157" s="276" t="str">
        <f t="shared" si="16"/>
        <v/>
      </c>
      <c r="I157" s="136" t="s">
        <v>199</v>
      </c>
      <c r="J157" s="269" t="str">
        <f>IF(T149="","",T149)</f>
        <v/>
      </c>
      <c r="M157" s="197"/>
      <c r="O157" s="208"/>
      <c r="P157" s="118" t="s">
        <v>205</v>
      </c>
      <c r="Y157" s="161"/>
    </row>
    <row r="158" spans="1:30" ht="14.1" customHeight="1">
      <c r="A158" s="146">
        <v>14</v>
      </c>
      <c r="B158" s="194"/>
      <c r="C158" s="275">
        <v>4</v>
      </c>
      <c r="D158" s="135" t="str">
        <f t="shared" si="16"/>
        <v/>
      </c>
      <c r="E158" s="276" t="str">
        <f t="shared" si="16"/>
        <v/>
      </c>
      <c r="I158" s="136" t="s">
        <v>200</v>
      </c>
      <c r="J158" s="270" t="str">
        <f>IF(T150="","",T150)</f>
        <v/>
      </c>
      <c r="M158" s="197"/>
      <c r="O158" s="159"/>
      <c r="Y158" s="161"/>
    </row>
    <row r="159" spans="1:30" ht="14.1" customHeight="1">
      <c r="A159" s="146">
        <v>15</v>
      </c>
      <c r="B159" s="194"/>
      <c r="C159" s="275">
        <v>4</v>
      </c>
      <c r="D159" s="135" t="str">
        <f t="shared" si="16"/>
        <v/>
      </c>
      <c r="E159" s="276" t="str">
        <f t="shared" si="16"/>
        <v/>
      </c>
      <c r="M159" s="197"/>
      <c r="O159" s="265" t="s">
        <v>206</v>
      </c>
      <c r="Y159" s="161"/>
    </row>
    <row r="160" spans="1:30" ht="14.1" customHeight="1">
      <c r="A160" s="146">
        <v>16</v>
      </c>
      <c r="B160" s="194"/>
      <c r="C160" s="275">
        <v>4</v>
      </c>
      <c r="D160" s="135" t="str">
        <f t="shared" si="16"/>
        <v/>
      </c>
      <c r="E160" s="276" t="str">
        <f t="shared" si="16"/>
        <v/>
      </c>
      <c r="F160" s="234" t="s">
        <v>193</v>
      </c>
      <c r="G160" s="156" t="s">
        <v>201</v>
      </c>
      <c r="M160" s="197"/>
      <c r="O160" s="159"/>
      <c r="P160" s="136" t="s">
        <v>43</v>
      </c>
      <c r="Q160" s="277"/>
      <c r="R160" s="277"/>
      <c r="S160" s="277"/>
      <c r="T160" s="278"/>
      <c r="Y160" s="161"/>
    </row>
    <row r="161" spans="1:25" ht="14.1" customHeight="1">
      <c r="A161" s="146">
        <v>17</v>
      </c>
      <c r="B161" s="194"/>
      <c r="C161" s="275">
        <v>6</v>
      </c>
      <c r="D161" s="135" t="str">
        <f t="shared" si="16"/>
        <v/>
      </c>
      <c r="E161" s="276" t="str">
        <f t="shared" si="16"/>
        <v/>
      </c>
      <c r="F161" s="117"/>
      <c r="G161" s="156" t="s">
        <v>202</v>
      </c>
      <c r="M161" s="197"/>
      <c r="O161" s="159"/>
      <c r="P161" s="136" t="s">
        <v>45</v>
      </c>
      <c r="Q161" s="277"/>
      <c r="R161" s="277"/>
      <c r="S161" s="277"/>
      <c r="T161" s="278"/>
      <c r="Y161" s="161"/>
    </row>
    <row r="162" spans="1:25" ht="14.1" customHeight="1" thickBot="1">
      <c r="A162" s="146">
        <v>18</v>
      </c>
      <c r="B162" s="194"/>
      <c r="C162" s="279">
        <v>8</v>
      </c>
      <c r="D162" s="280" t="str">
        <f t="shared" si="16"/>
        <v/>
      </c>
      <c r="E162" s="281" t="str">
        <f t="shared" si="16"/>
        <v/>
      </c>
      <c r="M162" s="197"/>
      <c r="O162" s="159"/>
      <c r="P162" s="136" t="s">
        <v>755</v>
      </c>
      <c r="Q162" s="277"/>
      <c r="R162" s="277"/>
      <c r="S162" s="277"/>
      <c r="T162" s="278"/>
      <c r="Y162" s="161"/>
    </row>
    <row r="163" spans="1:25" ht="14.1" customHeight="1" thickBot="1">
      <c r="A163" s="146">
        <v>19</v>
      </c>
      <c r="B163" s="282"/>
      <c r="C163" s="169"/>
      <c r="D163" s="169"/>
      <c r="E163" s="169"/>
      <c r="F163" s="169"/>
      <c r="G163" s="169"/>
      <c r="H163" s="169"/>
      <c r="I163" s="169"/>
      <c r="J163" s="169"/>
      <c r="K163" s="169"/>
      <c r="L163" s="169"/>
      <c r="M163" s="283"/>
      <c r="O163" s="159"/>
      <c r="P163" s="136" t="s">
        <v>163</v>
      </c>
      <c r="Q163" s="277"/>
      <c r="R163" s="277"/>
      <c r="S163" s="277"/>
      <c r="T163" s="278"/>
      <c r="Y163" s="161"/>
    </row>
    <row r="164" spans="1:25" ht="14.1" customHeight="1" thickBot="1">
      <c r="A164" s="146">
        <v>20</v>
      </c>
      <c r="B164" s="194"/>
      <c r="C164" s="117" t="s">
        <v>206</v>
      </c>
      <c r="M164" s="197"/>
      <c r="O164" s="159"/>
      <c r="P164" s="136" t="s">
        <v>208</v>
      </c>
      <c r="Q164" s="277"/>
      <c r="R164" s="277"/>
      <c r="S164" s="277"/>
      <c r="T164" s="278"/>
      <c r="Y164" s="161"/>
    </row>
    <row r="165" spans="1:25" ht="14.1" customHeight="1">
      <c r="A165" s="146">
        <v>21</v>
      </c>
      <c r="B165" s="194"/>
      <c r="C165" s="136" t="s">
        <v>43</v>
      </c>
      <c r="D165" s="284" t="str">
        <f t="shared" ref="D165:F167" si="17">IF(Q160="","",Q160)</f>
        <v/>
      </c>
      <c r="E165" s="285" t="str">
        <f t="shared" si="17"/>
        <v/>
      </c>
      <c r="F165" s="286" t="str">
        <f t="shared" si="17"/>
        <v/>
      </c>
      <c r="H165" s="130" t="str">
        <f>IF(T160="","",T160)</f>
        <v/>
      </c>
      <c r="M165" s="197"/>
      <c r="O165" s="159"/>
      <c r="P165" s="136" t="s">
        <v>209</v>
      </c>
      <c r="Q165" s="277"/>
      <c r="R165" s="277"/>
      <c r="S165" s="277"/>
      <c r="T165" s="278"/>
      <c r="Y165" s="161"/>
    </row>
    <row r="166" spans="1:25" ht="14.1" customHeight="1">
      <c r="A166" s="146">
        <v>22</v>
      </c>
      <c r="B166" s="194"/>
      <c r="C166" s="136" t="s">
        <v>45</v>
      </c>
      <c r="D166" s="287" t="str">
        <f t="shared" si="17"/>
        <v/>
      </c>
      <c r="E166" s="122" t="str">
        <f t="shared" si="17"/>
        <v/>
      </c>
      <c r="F166" s="288" t="str">
        <f t="shared" si="17"/>
        <v/>
      </c>
      <c r="H166" s="130" t="str">
        <f>IF(T160="","",T160)</f>
        <v/>
      </c>
      <c r="M166" s="197"/>
      <c r="O166" s="159"/>
      <c r="P166" s="136" t="s">
        <v>207</v>
      </c>
      <c r="Q166" s="277"/>
      <c r="R166" s="277"/>
      <c r="S166" s="277"/>
      <c r="T166" s="154"/>
      <c r="Y166" s="161"/>
    </row>
    <row r="167" spans="1:25" ht="14.1" customHeight="1">
      <c r="A167" s="146">
        <v>23</v>
      </c>
      <c r="B167" s="194"/>
      <c r="C167" s="136" t="s">
        <v>755</v>
      </c>
      <c r="D167" s="287" t="str">
        <f t="shared" si="17"/>
        <v/>
      </c>
      <c r="E167" s="122" t="str">
        <f t="shared" si="17"/>
        <v/>
      </c>
      <c r="F167" s="288" t="str">
        <f t="shared" si="17"/>
        <v/>
      </c>
      <c r="H167" s="130" t="str">
        <f>IF(T161="","",T161)</f>
        <v/>
      </c>
      <c r="M167" s="197"/>
      <c r="O167" s="159"/>
      <c r="P167" s="234" t="s">
        <v>193</v>
      </c>
      <c r="Q167" s="289" t="s">
        <v>210</v>
      </c>
      <c r="R167" s="154"/>
      <c r="S167" s="154"/>
      <c r="T167" s="154"/>
      <c r="Y167" s="161"/>
    </row>
    <row r="168" spans="1:25" ht="14.1" customHeight="1">
      <c r="A168" s="146">
        <v>24</v>
      </c>
      <c r="B168" s="194"/>
      <c r="C168" s="136" t="s">
        <v>228</v>
      </c>
      <c r="D168" s="287" t="str">
        <f>IF(Q163="","",Q163)</f>
        <v/>
      </c>
      <c r="E168" s="122" t="str">
        <f>IF(R163="","",R163)</f>
        <v/>
      </c>
      <c r="F168" s="288" t="str">
        <f>IF(S163="","",S163)</f>
        <v/>
      </c>
      <c r="H168" s="130" t="str">
        <f>IF(T162="","",T162)</f>
        <v/>
      </c>
      <c r="M168" s="197"/>
      <c r="O168" s="159"/>
      <c r="P168" s="230" t="s">
        <v>213</v>
      </c>
      <c r="Q168" s="290" t="str">
        <f>IF(Q170&lt;&gt;"",Q170,IF(AB190="","",AB190))</f>
        <v/>
      </c>
      <c r="R168" s="291"/>
      <c r="S168" s="291"/>
      <c r="T168" s="291"/>
      <c r="U168" s="291"/>
      <c r="V168" s="291"/>
      <c r="W168" s="291"/>
      <c r="X168" s="291"/>
      <c r="Y168" s="161"/>
    </row>
    <row r="169" spans="1:25" ht="14.1" customHeight="1">
      <c r="A169" s="146">
        <v>25</v>
      </c>
      <c r="B169" s="194"/>
      <c r="C169" s="136" t="s">
        <v>163</v>
      </c>
      <c r="D169" s="287" t="str">
        <f t="shared" ref="D169:F172" si="18">IF(Q163="","",Q163)</f>
        <v/>
      </c>
      <c r="E169" s="122" t="str">
        <f t="shared" si="18"/>
        <v/>
      </c>
      <c r="F169" s="288" t="str">
        <f t="shared" si="18"/>
        <v/>
      </c>
      <c r="H169" s="130" t="str">
        <f>IF(T162="","",T162)</f>
        <v/>
      </c>
      <c r="M169" s="197"/>
      <c r="O169" s="159"/>
      <c r="P169" s="292" t="s">
        <v>214</v>
      </c>
      <c r="Q169" s="293"/>
      <c r="R169" s="294"/>
      <c r="S169" s="294"/>
      <c r="T169" s="294"/>
      <c r="U169" s="294"/>
      <c r="V169" s="294"/>
      <c r="W169" s="294"/>
      <c r="X169" s="294"/>
      <c r="Y169" s="161"/>
    </row>
    <row r="170" spans="1:25" ht="14.1" customHeight="1">
      <c r="A170" s="146">
        <v>26</v>
      </c>
      <c r="B170" s="194"/>
      <c r="C170" s="136" t="s">
        <v>208</v>
      </c>
      <c r="D170" s="287" t="str">
        <f t="shared" si="18"/>
        <v/>
      </c>
      <c r="E170" s="122" t="str">
        <f t="shared" si="18"/>
        <v/>
      </c>
      <c r="F170" s="288" t="str">
        <f t="shared" si="18"/>
        <v/>
      </c>
      <c r="H170" s="130" t="str">
        <f>IF(T163="","",T163)</f>
        <v/>
      </c>
      <c r="M170" s="197"/>
      <c r="O170" s="159"/>
      <c r="P170" s="230" t="s">
        <v>215</v>
      </c>
      <c r="Q170" s="295"/>
      <c r="R170" s="294"/>
      <c r="S170" s="294"/>
      <c r="T170" s="294"/>
      <c r="U170" s="294"/>
      <c r="V170" s="294"/>
      <c r="W170" s="294"/>
      <c r="X170" s="294"/>
      <c r="Y170" s="161"/>
    </row>
    <row r="171" spans="1:25" ht="14.1" customHeight="1" thickBot="1">
      <c r="A171" s="146">
        <v>27</v>
      </c>
      <c r="B171" s="194"/>
      <c r="C171" s="136" t="s">
        <v>209</v>
      </c>
      <c r="D171" s="287" t="str">
        <f t="shared" si="18"/>
        <v/>
      </c>
      <c r="E171" s="122" t="str">
        <f t="shared" si="18"/>
        <v/>
      </c>
      <c r="F171" s="288" t="str">
        <f t="shared" si="18"/>
        <v/>
      </c>
      <c r="H171" s="130" t="str">
        <f>IF(T164="","",T164)</f>
        <v/>
      </c>
      <c r="M171" s="197"/>
      <c r="O171" s="168"/>
      <c r="P171" s="169"/>
      <c r="Q171" s="169"/>
      <c r="R171" s="169"/>
      <c r="S171" s="169"/>
      <c r="T171" s="169"/>
      <c r="U171" s="169"/>
      <c r="V171" s="169"/>
      <c r="W171" s="169"/>
      <c r="X171" s="169"/>
      <c r="Y171" s="170"/>
    </row>
    <row r="172" spans="1:25" ht="14.1" customHeight="1" thickBot="1">
      <c r="A172" s="146">
        <v>28</v>
      </c>
      <c r="B172" s="194"/>
      <c r="C172" s="136" t="s">
        <v>207</v>
      </c>
      <c r="D172" s="296" t="str">
        <f t="shared" si="18"/>
        <v/>
      </c>
      <c r="E172" s="297" t="str">
        <f t="shared" si="18"/>
        <v/>
      </c>
      <c r="F172" s="298" t="str">
        <f t="shared" si="18"/>
        <v/>
      </c>
      <c r="H172" s="130" t="str">
        <f>IF(T165="","",T165)</f>
        <v/>
      </c>
      <c r="M172" s="197"/>
      <c r="O172" s="265" t="s">
        <v>216</v>
      </c>
      <c r="R172" s="261">
        <v>1</v>
      </c>
      <c r="S172" s="118" t="s">
        <v>66</v>
      </c>
      <c r="Y172" s="161"/>
    </row>
    <row r="173" spans="1:25" ht="14.1" customHeight="1">
      <c r="A173" s="146">
        <v>29</v>
      </c>
      <c r="B173" s="194"/>
      <c r="C173" s="234" t="s">
        <v>193</v>
      </c>
      <c r="D173" s="289" t="s">
        <v>210</v>
      </c>
      <c r="M173" s="197"/>
      <c r="O173" s="159"/>
      <c r="P173" s="753" t="s">
        <v>217</v>
      </c>
      <c r="Q173" s="753"/>
      <c r="R173" s="753"/>
      <c r="S173" s="753"/>
      <c r="U173" s="130" t="s">
        <v>218</v>
      </c>
      <c r="V173" s="130"/>
      <c r="Y173" s="161"/>
    </row>
    <row r="174" spans="1:25" ht="14.1" customHeight="1">
      <c r="A174" s="146">
        <v>30</v>
      </c>
      <c r="B174" s="194"/>
      <c r="D174" s="230" t="str">
        <f>P168</f>
        <v>Comments:</v>
      </c>
      <c r="E174" s="299" t="str">
        <f>IF(Q168="","",IF(LEN(Q168)&lt;=135,Q168,IF(LEN(Q168)&lt;=260,LEFT(Q168,SEARCH(" ",Q168,125)),LEFT(Q168,SEARCH(" ",Q168,130)))))</f>
        <v/>
      </c>
      <c r="F174" s="300"/>
      <c r="G174" s="300"/>
      <c r="H174" s="300"/>
      <c r="I174" s="300"/>
      <c r="J174" s="300"/>
      <c r="K174" s="300"/>
      <c r="L174" s="300"/>
      <c r="M174" s="301"/>
      <c r="O174" s="159"/>
      <c r="P174" s="302" t="s">
        <v>219</v>
      </c>
      <c r="Q174" s="302" t="s">
        <v>220</v>
      </c>
      <c r="R174" s="302" t="s">
        <v>221</v>
      </c>
      <c r="S174" s="129" t="s">
        <v>222</v>
      </c>
      <c r="U174" s="303" t="s">
        <v>223</v>
      </c>
      <c r="V174" s="130"/>
      <c r="Y174" s="161"/>
    </row>
    <row r="175" spans="1:25" ht="14.1" customHeight="1">
      <c r="A175" s="146">
        <v>31</v>
      </c>
      <c r="B175" s="194"/>
      <c r="D175" s="156"/>
      <c r="E175" s="304" t="str">
        <f>IF(LEN(Q168)&lt;=135,"",IF(LEN(Q168)&lt;=260,RIGHT(Q168,LEN(Q168)-SEARCH(" ",Q168,125)),MID(Q168,SEARCH(" ",Q168,130),IF(LEN(Q168)&lt;=265,LEN(Q168),SEARCH(" ",Q168,255)-SEARCH(" ",Q168,130)))))</f>
        <v/>
      </c>
      <c r="F175" s="305"/>
      <c r="G175" s="305"/>
      <c r="H175" s="305"/>
      <c r="I175" s="305"/>
      <c r="J175" s="305"/>
      <c r="K175" s="305"/>
      <c r="L175" s="305"/>
      <c r="M175" s="306"/>
      <c r="O175" s="159"/>
      <c r="P175" s="307" t="str">
        <f>IF(Sheet2!M4="","",Sheet2!M4-Sheet2!$M$8)</f>
        <v/>
      </c>
      <c r="Q175" s="307" t="str">
        <f>IF(Sheet2!M5="","",Sheet2!M5-Sheet2!$M$8)</f>
        <v/>
      </c>
      <c r="R175" s="307" t="str">
        <f>IF(Sheet2!M6="","",Sheet2!M6-Sheet2!$M$8)</f>
        <v/>
      </c>
      <c r="S175" s="308" t="str">
        <f>IF(Sheet2!M7="","",Sheet2!M7-Sheet2!$M$8)</f>
        <v/>
      </c>
      <c r="U175" s="309" t="str">
        <f>IF(OR(R172=2,R172=3),"NA",IF(OR(P175="",Q175="",R175="",S175=""),"",AVERAGE(P175:S175)))</f>
        <v/>
      </c>
      <c r="V175" s="310"/>
      <c r="W175" s="136" t="s">
        <v>207</v>
      </c>
      <c r="X175" s="135" t="str">
        <f>IF($R$172=1,IF(U175="","",IF(U175&gt;=160,"YES","NO")),"NA")</f>
        <v/>
      </c>
      <c r="Y175" s="161"/>
    </row>
    <row r="176" spans="1:25" ht="14.1" customHeight="1">
      <c r="A176" s="146">
        <v>32</v>
      </c>
      <c r="B176" s="194"/>
      <c r="D176" s="156"/>
      <c r="E176" s="304" t="str">
        <f>IF(LEN(Q168)&lt;=265,"",RIGHT(Q168,LEN(Q168)-SEARCH(" ",Q168,255)))</f>
        <v/>
      </c>
      <c r="F176" s="305"/>
      <c r="G176" s="305"/>
      <c r="H176" s="305"/>
      <c r="I176" s="305"/>
      <c r="J176" s="305"/>
      <c r="K176" s="305"/>
      <c r="L176" s="305"/>
      <c r="M176" s="306"/>
      <c r="O176" s="159"/>
      <c r="P176" s="234" t="s">
        <v>193</v>
      </c>
      <c r="Q176" s="156" t="s">
        <v>224</v>
      </c>
      <c r="Y176" s="161"/>
    </row>
    <row r="177" spans="1:25" ht="14.1" customHeight="1" thickBot="1">
      <c r="A177" s="146">
        <v>33</v>
      </c>
      <c r="B177" s="282"/>
      <c r="C177" s="169"/>
      <c r="D177" s="169"/>
      <c r="E177" s="169"/>
      <c r="F177" s="169"/>
      <c r="G177" s="169"/>
      <c r="H177" s="169"/>
      <c r="I177" s="169"/>
      <c r="J177" s="169"/>
      <c r="K177" s="169"/>
      <c r="L177" s="169"/>
      <c r="M177" s="283"/>
      <c r="O177" s="159"/>
      <c r="P177" s="154"/>
      <c r="Q177" s="154"/>
      <c r="R177" s="154"/>
      <c r="S177" s="154"/>
      <c r="T177" s="154"/>
      <c r="U177" s="154"/>
      <c r="V177" s="154"/>
      <c r="W177" s="154"/>
      <c r="Y177" s="161"/>
    </row>
    <row r="178" spans="1:25" ht="14.1" customHeight="1">
      <c r="A178" s="146">
        <v>34</v>
      </c>
      <c r="B178" s="194"/>
      <c r="C178" s="117" t="s">
        <v>216</v>
      </c>
      <c r="M178" s="197"/>
      <c r="O178" s="265" t="s">
        <v>225</v>
      </c>
      <c r="Y178" s="161"/>
    </row>
    <row r="179" spans="1:25" ht="14.1" customHeight="1">
      <c r="A179" s="146">
        <v>35</v>
      </c>
      <c r="B179" s="194"/>
      <c r="D179" s="753" t="s">
        <v>217</v>
      </c>
      <c r="E179" s="753"/>
      <c r="F179" s="753"/>
      <c r="G179" s="753"/>
      <c r="I179" s="130" t="s">
        <v>218</v>
      </c>
      <c r="J179" s="130"/>
      <c r="M179" s="197"/>
      <c r="O179" s="311"/>
      <c r="P179" s="136" t="s">
        <v>85</v>
      </c>
      <c r="Q179" s="261"/>
      <c r="T179" s="136" t="s">
        <v>85</v>
      </c>
      <c r="U179" s="261"/>
      <c r="V179" s="154"/>
      <c r="X179" s="154"/>
      <c r="Y179" s="161"/>
    </row>
    <row r="180" spans="1:25" ht="14.1" customHeight="1" thickBot="1">
      <c r="A180" s="146">
        <v>36</v>
      </c>
      <c r="B180" s="194"/>
      <c r="D180" s="302" t="s">
        <v>219</v>
      </c>
      <c r="E180" s="302" t="s">
        <v>220</v>
      </c>
      <c r="F180" s="302" t="s">
        <v>221</v>
      </c>
      <c r="G180" s="129" t="s">
        <v>222</v>
      </c>
      <c r="I180" s="129" t="s">
        <v>223</v>
      </c>
      <c r="J180" s="278"/>
      <c r="M180" s="197"/>
      <c r="O180" s="311"/>
      <c r="P180" s="136" t="s">
        <v>163</v>
      </c>
      <c r="Q180" s="261"/>
      <c r="R180" s="154"/>
      <c r="S180" s="154"/>
      <c r="T180" s="136" t="s">
        <v>163</v>
      </c>
      <c r="U180" s="261"/>
      <c r="V180" s="154"/>
      <c r="W180" s="154"/>
      <c r="X180" s="154"/>
      <c r="Y180" s="161"/>
    </row>
    <row r="181" spans="1:25" ht="14.1" customHeight="1" thickBot="1">
      <c r="A181" s="146">
        <v>37</v>
      </c>
      <c r="B181" s="194"/>
      <c r="D181" s="312" t="str">
        <f>IF(P175="","",P175)</f>
        <v/>
      </c>
      <c r="E181" s="312" t="str">
        <f>IF(Q175="","",Q175)</f>
        <v/>
      </c>
      <c r="F181" s="312" t="str">
        <f>IF(R175="","",R175)</f>
        <v/>
      </c>
      <c r="G181" s="313" t="str">
        <f>IF(S175="","",S175)</f>
        <v/>
      </c>
      <c r="I181" s="314" t="str">
        <f>IF(U175="","",U175)</f>
        <v/>
      </c>
      <c r="J181" s="315"/>
      <c r="K181" s="136" t="s">
        <v>207</v>
      </c>
      <c r="L181" s="267" t="str">
        <f>IF(X175="","",X175)</f>
        <v/>
      </c>
      <c r="M181" s="197"/>
      <c r="O181" s="311"/>
      <c r="P181" s="136" t="s">
        <v>208</v>
      </c>
      <c r="Q181" s="261"/>
      <c r="R181" s="154"/>
      <c r="S181" s="154"/>
      <c r="T181" s="136" t="s">
        <v>208</v>
      </c>
      <c r="U181" s="261"/>
      <c r="V181" s="154"/>
      <c r="W181" s="154"/>
      <c r="X181" s="154"/>
      <c r="Y181" s="161"/>
    </row>
    <row r="182" spans="1:25" ht="14.1" customHeight="1">
      <c r="A182" s="146">
        <v>38</v>
      </c>
      <c r="B182" s="194"/>
      <c r="D182" s="234" t="s">
        <v>193</v>
      </c>
      <c r="E182" s="227" t="s">
        <v>242</v>
      </c>
      <c r="M182" s="197"/>
      <c r="O182" s="159"/>
      <c r="Q182" s="753" t="s">
        <v>229</v>
      </c>
      <c r="R182" s="753"/>
      <c r="S182" s="753"/>
      <c r="T182" s="154"/>
      <c r="U182" s="753" t="s">
        <v>229</v>
      </c>
      <c r="V182" s="753"/>
      <c r="W182" s="753"/>
      <c r="X182" s="154"/>
      <c r="Y182" s="161"/>
    </row>
    <row r="183" spans="1:25" ht="14.1" customHeight="1" thickBot="1">
      <c r="A183" s="146">
        <v>39</v>
      </c>
      <c r="B183" s="282"/>
      <c r="C183" s="169"/>
      <c r="D183" s="169"/>
      <c r="E183" s="169"/>
      <c r="F183" s="169"/>
      <c r="G183" s="169"/>
      <c r="H183" s="169"/>
      <c r="I183" s="169"/>
      <c r="J183" s="169"/>
      <c r="K183" s="169"/>
      <c r="L183" s="169"/>
      <c r="M183" s="283"/>
      <c r="O183" s="159"/>
      <c r="Q183" s="130" t="s">
        <v>230</v>
      </c>
      <c r="R183" s="130" t="s">
        <v>231</v>
      </c>
      <c r="S183" s="130" t="s">
        <v>232</v>
      </c>
      <c r="T183" s="154"/>
      <c r="U183" s="130" t="s">
        <v>230</v>
      </c>
      <c r="V183" s="130" t="s">
        <v>231</v>
      </c>
      <c r="W183" s="130" t="s">
        <v>232</v>
      </c>
      <c r="X183" s="154"/>
      <c r="Y183" s="161"/>
    </row>
    <row r="184" spans="1:25" ht="14.1" customHeight="1">
      <c r="A184" s="146">
        <v>40</v>
      </c>
      <c r="B184" s="316"/>
      <c r="C184" s="190" t="s">
        <v>225</v>
      </c>
      <c r="D184" s="151"/>
      <c r="E184" s="151"/>
      <c r="F184" s="151"/>
      <c r="G184" s="190"/>
      <c r="H184" s="190" t="s">
        <v>241</v>
      </c>
      <c r="I184" s="151"/>
      <c r="J184" s="151"/>
      <c r="K184" s="151"/>
      <c r="L184" s="151"/>
      <c r="M184" s="317"/>
      <c r="O184" s="311"/>
      <c r="P184" s="136" t="s">
        <v>233</v>
      </c>
      <c r="Q184" s="318"/>
      <c r="R184" s="319"/>
      <c r="S184" s="320"/>
      <c r="T184" s="154"/>
      <c r="U184" s="318"/>
      <c r="V184" s="319"/>
      <c r="W184" s="320"/>
      <c r="X184" s="154"/>
      <c r="Y184" s="161"/>
    </row>
    <row r="185" spans="1:25" ht="14.1" customHeight="1" thickBot="1">
      <c r="A185" s="146">
        <v>41</v>
      </c>
      <c r="B185" s="194"/>
      <c r="C185" s="136" t="s">
        <v>85</v>
      </c>
      <c r="D185" s="130" t="str">
        <f>IF(Q179="","",Q179)</f>
        <v/>
      </c>
      <c r="H185" s="136" t="s">
        <v>85</v>
      </c>
      <c r="I185" s="130" t="str">
        <f>IF(Q179="","",Q179)</f>
        <v/>
      </c>
      <c r="K185" s="136" t="s">
        <v>85</v>
      </c>
      <c r="L185" s="130" t="str">
        <f>IF(U179="","",U179)</f>
        <v/>
      </c>
      <c r="M185" s="197"/>
      <c r="O185" s="311"/>
      <c r="P185" s="136" t="s">
        <v>234</v>
      </c>
      <c r="Q185" s="321"/>
      <c r="R185" s="322"/>
      <c r="S185" s="323"/>
      <c r="T185" s="154"/>
      <c r="U185" s="321"/>
      <c r="V185" s="322"/>
      <c r="W185" s="323"/>
      <c r="X185" s="154"/>
      <c r="Y185" s="161"/>
    </row>
    <row r="186" spans="1:25" ht="14.1" customHeight="1">
      <c r="A186" s="146">
        <v>42</v>
      </c>
      <c r="B186" s="194"/>
      <c r="C186" s="130"/>
      <c r="D186" s="757" t="s">
        <v>229</v>
      </c>
      <c r="E186" s="758"/>
      <c r="F186" s="759"/>
      <c r="G186" s="136"/>
      <c r="H186" s="757" t="s">
        <v>229</v>
      </c>
      <c r="I186" s="758"/>
      <c r="J186" s="759"/>
      <c r="K186" s="757" t="s">
        <v>229</v>
      </c>
      <c r="L186" s="758"/>
      <c r="M186" s="760"/>
      <c r="O186" s="311"/>
      <c r="P186" s="136" t="s">
        <v>235</v>
      </c>
      <c r="Q186" s="321"/>
      <c r="R186" s="322"/>
      <c r="S186" s="323"/>
      <c r="T186" s="154"/>
      <c r="U186" s="321"/>
      <c r="V186" s="322"/>
      <c r="W186" s="323"/>
      <c r="X186" s="154"/>
      <c r="Y186" s="161"/>
    </row>
    <row r="187" spans="1:25" ht="14.1" customHeight="1" thickBot="1">
      <c r="A187" s="146">
        <v>43</v>
      </c>
      <c r="B187" s="194"/>
      <c r="C187" s="154"/>
      <c r="D187" s="275" t="s">
        <v>230</v>
      </c>
      <c r="E187" s="135" t="s">
        <v>231</v>
      </c>
      <c r="F187" s="276" t="s">
        <v>232</v>
      </c>
      <c r="G187" s="130"/>
      <c r="H187" s="275" t="s">
        <v>230</v>
      </c>
      <c r="I187" s="135" t="s">
        <v>231</v>
      </c>
      <c r="J187" s="276" t="s">
        <v>232</v>
      </c>
      <c r="K187" s="275" t="s">
        <v>230</v>
      </c>
      <c r="L187" s="135" t="s">
        <v>231</v>
      </c>
      <c r="M187" s="326" t="s">
        <v>232</v>
      </c>
      <c r="O187" s="311"/>
      <c r="P187" s="136" t="s">
        <v>236</v>
      </c>
      <c r="Q187" s="327"/>
      <c r="R187" s="328"/>
      <c r="S187" s="329"/>
      <c r="T187" s="154"/>
      <c r="U187" s="327"/>
      <c r="V187" s="328"/>
      <c r="W187" s="329"/>
      <c r="Y187" s="161"/>
    </row>
    <row r="188" spans="1:25" ht="14.1" customHeight="1">
      <c r="A188" s="146">
        <v>44</v>
      </c>
      <c r="B188" s="194"/>
      <c r="C188" s="136" t="s">
        <v>233</v>
      </c>
      <c r="D188" s="275" t="str">
        <f>IF(Q184="","",Q184)</f>
        <v/>
      </c>
      <c r="E188" s="135" t="str">
        <f t="shared" ref="E188:F188" si="19">IF(R184="","",R184)</f>
        <v/>
      </c>
      <c r="F188" s="276" t="str">
        <f t="shared" si="19"/>
        <v/>
      </c>
      <c r="G188" s="330" t="s">
        <v>233</v>
      </c>
      <c r="H188" s="331" t="str">
        <f t="shared" ref="H188:J193" si="20">IF(Q196="","",Q196)</f>
        <v/>
      </c>
      <c r="I188" s="332" t="str">
        <f t="shared" si="20"/>
        <v/>
      </c>
      <c r="J188" s="333" t="str">
        <f t="shared" si="20"/>
        <v/>
      </c>
      <c r="K188" s="275" t="str">
        <f t="shared" ref="K188:M193" si="21">IF(U196="","",U196)</f>
        <v/>
      </c>
      <c r="L188" s="135" t="str">
        <f t="shared" si="21"/>
        <v/>
      </c>
      <c r="M188" s="326" t="str">
        <f t="shared" si="21"/>
        <v/>
      </c>
      <c r="O188" s="311"/>
      <c r="P188" s="136" t="s">
        <v>237</v>
      </c>
      <c r="Q188" s="334" t="str">
        <f>IF(OR(Q184="",Q185=""),"",ABS(Q184)+ABS(Q185))</f>
        <v/>
      </c>
      <c r="R188" s="127" t="str">
        <f>IF(OR(R184="",R185=""),"",ABS(R184)+ABS(R185))</f>
        <v/>
      </c>
      <c r="S188" s="120" t="str">
        <f>IF(OR(S184="",S185=""),"",ABS(S184)+ABS(S185))</f>
        <v/>
      </c>
      <c r="U188" s="334" t="str">
        <f>IF(OR(U184="",U185=""),"",ABS(U184)+ABS(U185))</f>
        <v/>
      </c>
      <c r="V188" s="127" t="str">
        <f>IF(OR(V184="",V185=""),"",ABS(V184)+ABS(V185))</f>
        <v/>
      </c>
      <c r="W188" s="120" t="str">
        <f>IF(OR(W184="",W185=""),"",ABS(W184)+ABS(W185))</f>
        <v/>
      </c>
      <c r="Y188" s="161"/>
    </row>
    <row r="189" spans="1:25" ht="14.1" customHeight="1" thickBot="1">
      <c r="A189" s="146">
        <v>45</v>
      </c>
      <c r="B189" s="194"/>
      <c r="C189" s="136" t="s">
        <v>234</v>
      </c>
      <c r="D189" s="275" t="str">
        <f t="shared" ref="D189:F193" si="22">IF(Q185="","",Q185)</f>
        <v/>
      </c>
      <c r="E189" s="135" t="str">
        <f t="shared" si="22"/>
        <v/>
      </c>
      <c r="F189" s="276" t="str">
        <f t="shared" si="22"/>
        <v/>
      </c>
      <c r="G189" s="330" t="s">
        <v>234</v>
      </c>
      <c r="H189" s="331" t="str">
        <f t="shared" si="20"/>
        <v/>
      </c>
      <c r="I189" s="332" t="str">
        <f t="shared" si="20"/>
        <v/>
      </c>
      <c r="J189" s="333" t="str">
        <f t="shared" si="20"/>
        <v/>
      </c>
      <c r="K189" s="275" t="str">
        <f t="shared" si="21"/>
        <v/>
      </c>
      <c r="L189" s="135" t="str">
        <f t="shared" si="21"/>
        <v/>
      </c>
      <c r="M189" s="326" t="str">
        <f t="shared" si="21"/>
        <v/>
      </c>
      <c r="O189" s="311"/>
      <c r="P189" s="136" t="s">
        <v>238</v>
      </c>
      <c r="Q189" s="124" t="str">
        <f>IF(OR(Q186="",Q187=""),"",ABS(Q186)+ABS(Q187))</f>
        <v/>
      </c>
      <c r="R189" s="125" t="str">
        <f>IF(OR(R186="",R187=""),"",ABS(R186)+ABS(R187))</f>
        <v/>
      </c>
      <c r="S189" s="126" t="str">
        <f>IF(OR(S186="",S187=""),"",ABS(S186)+ABS(S187))</f>
        <v/>
      </c>
      <c r="U189" s="124" t="str">
        <f>IF(OR(U186="",U187=""),"",ABS(U186)+ABS(U187))</f>
        <v/>
      </c>
      <c r="V189" s="125" t="str">
        <f>IF(OR(V186="",V187=""),"",ABS(V186)+ABS(V187))</f>
        <v/>
      </c>
      <c r="W189" s="126" t="str">
        <f>IF(OR(W186="",W187=""),"",ABS(W186)+ABS(W187))</f>
        <v/>
      </c>
      <c r="Y189" s="161"/>
    </row>
    <row r="190" spans="1:25" ht="14.1" customHeight="1">
      <c r="A190" s="146">
        <v>46</v>
      </c>
      <c r="B190" s="194"/>
      <c r="C190" s="136" t="s">
        <v>235</v>
      </c>
      <c r="D190" s="275" t="str">
        <f t="shared" si="22"/>
        <v/>
      </c>
      <c r="E190" s="135" t="str">
        <f t="shared" si="22"/>
        <v/>
      </c>
      <c r="F190" s="276" t="str">
        <f t="shared" si="22"/>
        <v/>
      </c>
      <c r="G190" s="330" t="s">
        <v>235</v>
      </c>
      <c r="H190" s="331" t="str">
        <f t="shared" si="20"/>
        <v/>
      </c>
      <c r="I190" s="332" t="str">
        <f t="shared" si="20"/>
        <v/>
      </c>
      <c r="J190" s="333" t="str">
        <f t="shared" si="20"/>
        <v/>
      </c>
      <c r="K190" s="275" t="str">
        <f t="shared" si="21"/>
        <v/>
      </c>
      <c r="L190" s="135" t="str">
        <f t="shared" si="21"/>
        <v/>
      </c>
      <c r="M190" s="326" t="str">
        <f t="shared" si="21"/>
        <v/>
      </c>
      <c r="O190" s="159"/>
      <c r="P190" s="234" t="s">
        <v>193</v>
      </c>
      <c r="Q190" s="156" t="s">
        <v>605</v>
      </c>
      <c r="R190" s="154"/>
      <c r="X190" s="154"/>
      <c r="Y190" s="161"/>
    </row>
    <row r="191" spans="1:25" ht="14.1" customHeight="1" thickBot="1">
      <c r="A191" s="146">
        <v>47</v>
      </c>
      <c r="B191" s="194"/>
      <c r="C191" s="136" t="s">
        <v>236</v>
      </c>
      <c r="D191" s="279" t="str">
        <f t="shared" si="22"/>
        <v/>
      </c>
      <c r="E191" s="280" t="str">
        <f t="shared" si="22"/>
        <v/>
      </c>
      <c r="F191" s="281" t="str">
        <f t="shared" si="22"/>
        <v/>
      </c>
      <c r="G191" s="330" t="s">
        <v>236</v>
      </c>
      <c r="H191" s="335" t="str">
        <f t="shared" si="20"/>
        <v/>
      </c>
      <c r="I191" s="336" t="str">
        <f t="shared" si="20"/>
        <v/>
      </c>
      <c r="J191" s="337" t="str">
        <f t="shared" si="20"/>
        <v/>
      </c>
      <c r="K191" s="279" t="str">
        <f t="shared" si="21"/>
        <v/>
      </c>
      <c r="L191" s="280" t="str">
        <f t="shared" si="21"/>
        <v/>
      </c>
      <c r="M191" s="338" t="str">
        <f t="shared" si="21"/>
        <v/>
      </c>
      <c r="O191" s="159"/>
      <c r="P191" s="156"/>
      <c r="Q191" s="156" t="s">
        <v>606</v>
      </c>
      <c r="R191" s="154"/>
      <c r="S191" s="154"/>
      <c r="T191" s="154"/>
      <c r="U191" s="154"/>
      <c r="V191" s="154"/>
      <c r="W191" s="154"/>
      <c r="X191" s="154"/>
      <c r="Y191" s="161"/>
    </row>
    <row r="192" spans="1:25" ht="14.1" customHeight="1">
      <c r="A192" s="146">
        <v>48</v>
      </c>
      <c r="B192" s="194"/>
      <c r="C192" s="136" t="s">
        <v>237</v>
      </c>
      <c r="D192" s="339" t="str">
        <f t="shared" si="22"/>
        <v/>
      </c>
      <c r="E192" s="340" t="str">
        <f t="shared" si="22"/>
        <v/>
      </c>
      <c r="F192" s="341" t="str">
        <f t="shared" si="22"/>
        <v/>
      </c>
      <c r="G192" s="330" t="s">
        <v>246</v>
      </c>
      <c r="H192" s="342" t="str">
        <f t="shared" si="20"/>
        <v/>
      </c>
      <c r="I192" s="343" t="str">
        <f t="shared" si="20"/>
        <v/>
      </c>
      <c r="J192" s="344" t="str">
        <f t="shared" si="20"/>
        <v/>
      </c>
      <c r="K192" s="339" t="str">
        <f t="shared" si="21"/>
        <v/>
      </c>
      <c r="L192" s="340" t="str">
        <f t="shared" si="21"/>
        <v/>
      </c>
      <c r="M192" s="345" t="str">
        <f t="shared" si="21"/>
        <v/>
      </c>
      <c r="O192" s="159"/>
      <c r="P192" s="154"/>
      <c r="Q192" s="154"/>
      <c r="R192" s="154"/>
      <c r="S192" s="154"/>
      <c r="T192" s="154"/>
      <c r="U192" s="154"/>
      <c r="V192" s="154"/>
      <c r="W192" s="154"/>
      <c r="Y192" s="161"/>
    </row>
    <row r="193" spans="1:29" ht="14.1" customHeight="1" thickBot="1">
      <c r="A193" s="146">
        <v>49</v>
      </c>
      <c r="B193" s="194"/>
      <c r="C193" s="136" t="s">
        <v>238</v>
      </c>
      <c r="D193" s="279" t="str">
        <f t="shared" si="22"/>
        <v/>
      </c>
      <c r="E193" s="280" t="str">
        <f t="shared" si="22"/>
        <v/>
      </c>
      <c r="F193" s="281" t="str">
        <f t="shared" si="22"/>
        <v/>
      </c>
      <c r="G193" s="330" t="s">
        <v>247</v>
      </c>
      <c r="H193" s="335" t="str">
        <f t="shared" si="20"/>
        <v/>
      </c>
      <c r="I193" s="336" t="str">
        <f t="shared" si="20"/>
        <v/>
      </c>
      <c r="J193" s="337" t="str">
        <f t="shared" si="20"/>
        <v/>
      </c>
      <c r="K193" s="279" t="str">
        <f t="shared" si="21"/>
        <v/>
      </c>
      <c r="L193" s="280" t="str">
        <f t="shared" si="21"/>
        <v/>
      </c>
      <c r="M193" s="338" t="str">
        <f t="shared" si="21"/>
        <v/>
      </c>
      <c r="O193" s="265" t="s">
        <v>241</v>
      </c>
      <c r="Y193" s="161"/>
    </row>
    <row r="194" spans="1:29" ht="14.1" customHeight="1" thickBot="1">
      <c r="A194" s="146">
        <v>50</v>
      </c>
      <c r="B194" s="194"/>
      <c r="C194" s="136" t="s">
        <v>85</v>
      </c>
      <c r="D194" s="130" t="str">
        <f>IF(U179="","",U179)</f>
        <v/>
      </c>
      <c r="H194" s="346" t="str">
        <f>IF(D192="","",IF(MAX(D192:F193,D199:F200)&gt;13,"Fail","Pass"))</f>
        <v/>
      </c>
      <c r="I194" s="118" t="s">
        <v>501</v>
      </c>
      <c r="M194" s="197"/>
      <c r="O194" s="311"/>
      <c r="Q194" s="753" t="s">
        <v>229</v>
      </c>
      <c r="R194" s="753"/>
      <c r="S194" s="753"/>
      <c r="T194" s="154"/>
      <c r="U194" s="753" t="s">
        <v>229</v>
      </c>
      <c r="V194" s="753"/>
      <c r="W194" s="753"/>
      <c r="X194" s="154"/>
      <c r="Y194" s="161"/>
    </row>
    <row r="195" spans="1:29" ht="14.1" customHeight="1" thickBot="1">
      <c r="A195" s="146">
        <v>51</v>
      </c>
      <c r="B195" s="194"/>
      <c r="C195" s="136" t="s">
        <v>233</v>
      </c>
      <c r="D195" s="347" t="str">
        <f>IF(U184="","",U184)</f>
        <v/>
      </c>
      <c r="E195" s="273" t="str">
        <f t="shared" ref="E195:F200" si="23">IF(V184="","",V184)</f>
        <v/>
      </c>
      <c r="F195" s="274" t="str">
        <f t="shared" si="23"/>
        <v/>
      </c>
      <c r="H195" s="346" t="str">
        <f>IF(H188="","",IF(MAX(H188:M191)&gt;13,"Fail","Pass"))</f>
        <v/>
      </c>
      <c r="I195" s="118" t="s">
        <v>502</v>
      </c>
      <c r="M195" s="197"/>
      <c r="O195" s="311"/>
      <c r="Q195" s="130" t="s">
        <v>230</v>
      </c>
      <c r="R195" s="130" t="s">
        <v>231</v>
      </c>
      <c r="S195" s="130" t="s">
        <v>232</v>
      </c>
      <c r="T195" s="154"/>
      <c r="U195" s="130" t="s">
        <v>230</v>
      </c>
      <c r="V195" s="130" t="s">
        <v>231</v>
      </c>
      <c r="W195" s="130" t="s">
        <v>232</v>
      </c>
      <c r="X195" s="154"/>
      <c r="Y195" s="161"/>
    </row>
    <row r="196" spans="1:29" ht="14.1" customHeight="1">
      <c r="A196" s="146">
        <v>52</v>
      </c>
      <c r="B196" s="194"/>
      <c r="C196" s="136" t="s">
        <v>234</v>
      </c>
      <c r="D196" s="275" t="str">
        <f t="shared" ref="D196:D200" si="24">IF(U185="","",U185)</f>
        <v/>
      </c>
      <c r="E196" s="135" t="str">
        <f t="shared" si="23"/>
        <v/>
      </c>
      <c r="F196" s="276" t="str">
        <f t="shared" si="23"/>
        <v/>
      </c>
      <c r="H196" s="346" t="str">
        <f>IF(H192="","",IF(OR(MAX(H192:M192)&gt;6.5,MAX(H193:M193)&gt;5),"Fail","Pass"))</f>
        <v/>
      </c>
      <c r="I196" s="118" t="s">
        <v>503</v>
      </c>
      <c r="M196" s="197"/>
      <c r="O196" s="311"/>
      <c r="P196" s="136" t="s">
        <v>233</v>
      </c>
      <c r="Q196" s="318"/>
      <c r="R196" s="319"/>
      <c r="S196" s="320"/>
      <c r="T196" s="154"/>
      <c r="U196" s="318"/>
      <c r="V196" s="319"/>
      <c r="W196" s="320"/>
      <c r="X196" s="154"/>
      <c r="Y196" s="161"/>
    </row>
    <row r="197" spans="1:29" ht="14.1" customHeight="1">
      <c r="A197" s="146">
        <v>53</v>
      </c>
      <c r="B197" s="194"/>
      <c r="C197" s="136" t="s">
        <v>235</v>
      </c>
      <c r="D197" s="275" t="str">
        <f t="shared" si="24"/>
        <v/>
      </c>
      <c r="E197" s="135" t="str">
        <f t="shared" si="23"/>
        <v/>
      </c>
      <c r="F197" s="276" t="str">
        <f t="shared" si="23"/>
        <v/>
      </c>
      <c r="G197" s="234" t="s">
        <v>193</v>
      </c>
      <c r="H197" s="156" t="s">
        <v>239</v>
      </c>
      <c r="M197" s="197"/>
      <c r="O197" s="159"/>
      <c r="P197" s="136" t="s">
        <v>234</v>
      </c>
      <c r="Q197" s="321"/>
      <c r="R197" s="322"/>
      <c r="S197" s="323"/>
      <c r="T197" s="154"/>
      <c r="U197" s="321"/>
      <c r="V197" s="322"/>
      <c r="W197" s="323"/>
      <c r="X197" s="154"/>
      <c r="Y197" s="161"/>
    </row>
    <row r="198" spans="1:29" ht="14.1" customHeight="1" thickBot="1">
      <c r="A198" s="146">
        <v>54</v>
      </c>
      <c r="B198" s="194"/>
      <c r="C198" s="136" t="s">
        <v>236</v>
      </c>
      <c r="D198" s="279" t="str">
        <f t="shared" si="24"/>
        <v/>
      </c>
      <c r="E198" s="280" t="str">
        <f t="shared" si="23"/>
        <v/>
      </c>
      <c r="F198" s="281" t="str">
        <f t="shared" si="23"/>
        <v/>
      </c>
      <c r="H198" s="156" t="s">
        <v>240</v>
      </c>
      <c r="M198" s="197"/>
      <c r="O198" s="159"/>
      <c r="P198" s="136" t="s">
        <v>235</v>
      </c>
      <c r="Q198" s="321"/>
      <c r="R198" s="322"/>
      <c r="S198" s="323"/>
      <c r="T198" s="154"/>
      <c r="U198" s="321"/>
      <c r="V198" s="322"/>
      <c r="W198" s="323"/>
      <c r="X198" s="154"/>
      <c r="Y198" s="161"/>
    </row>
    <row r="199" spans="1:29" ht="14.1" customHeight="1" thickBot="1">
      <c r="A199" s="146">
        <v>55</v>
      </c>
      <c r="B199" s="194"/>
      <c r="C199" s="136" t="s">
        <v>237</v>
      </c>
      <c r="D199" s="339" t="str">
        <f t="shared" si="24"/>
        <v/>
      </c>
      <c r="E199" s="340" t="str">
        <f t="shared" si="23"/>
        <v/>
      </c>
      <c r="F199" s="341" t="str">
        <f t="shared" si="23"/>
        <v/>
      </c>
      <c r="G199" s="348"/>
      <c r="H199" s="156" t="s">
        <v>248</v>
      </c>
      <c r="M199" s="197"/>
      <c r="O199" s="311"/>
      <c r="P199" s="136" t="s">
        <v>236</v>
      </c>
      <c r="Q199" s="327"/>
      <c r="R199" s="328"/>
      <c r="S199" s="329"/>
      <c r="T199" s="154"/>
      <c r="U199" s="327"/>
      <c r="V199" s="328"/>
      <c r="W199" s="329"/>
      <c r="X199" s="154"/>
      <c r="Y199" s="161"/>
    </row>
    <row r="200" spans="1:29" ht="14.1" customHeight="1" thickBot="1">
      <c r="A200" s="146">
        <v>56</v>
      </c>
      <c r="B200" s="194"/>
      <c r="C200" s="136" t="s">
        <v>238</v>
      </c>
      <c r="D200" s="279" t="str">
        <f t="shared" si="24"/>
        <v/>
      </c>
      <c r="E200" s="280" t="str">
        <f t="shared" si="23"/>
        <v/>
      </c>
      <c r="F200" s="281" t="str">
        <f t="shared" si="23"/>
        <v/>
      </c>
      <c r="G200" s="234"/>
      <c r="H200" s="156" t="s">
        <v>249</v>
      </c>
      <c r="M200" s="197"/>
      <c r="O200" s="311"/>
      <c r="P200" s="136" t="s">
        <v>245</v>
      </c>
      <c r="Q200" s="318"/>
      <c r="R200" s="319"/>
      <c r="S200" s="320"/>
      <c r="U200" s="318"/>
      <c r="V200" s="319"/>
      <c r="W200" s="320"/>
      <c r="X200" s="154"/>
      <c r="Y200" s="161"/>
    </row>
    <row r="201" spans="1:29" ht="14.1" customHeight="1" thickBot="1">
      <c r="A201" s="146">
        <v>57</v>
      </c>
      <c r="B201" s="194"/>
      <c r="E201" s="156"/>
      <c r="H201" s="156" t="s">
        <v>609</v>
      </c>
      <c r="M201" s="197"/>
      <c r="O201" s="311"/>
      <c r="P201" s="136" t="s">
        <v>247</v>
      </c>
      <c r="Q201" s="349"/>
      <c r="R201" s="350"/>
      <c r="S201" s="351"/>
      <c r="U201" s="349"/>
      <c r="V201" s="350"/>
      <c r="W201" s="351"/>
      <c r="Y201" s="161"/>
    </row>
    <row r="202" spans="1:29" ht="14.1" customHeight="1" thickBot="1">
      <c r="A202" s="146">
        <v>58</v>
      </c>
      <c r="B202" s="352"/>
      <c r="C202" s="353"/>
      <c r="D202" s="353"/>
      <c r="E202" s="353"/>
      <c r="F202" s="353"/>
      <c r="G202" s="354"/>
      <c r="H202" s="355" t="s">
        <v>754</v>
      </c>
      <c r="I202" s="353"/>
      <c r="J202" s="353"/>
      <c r="K202" s="353"/>
      <c r="L202" s="353"/>
      <c r="M202" s="356"/>
      <c r="O202" s="311"/>
      <c r="P202" s="234" t="s">
        <v>193</v>
      </c>
      <c r="Q202" s="156" t="s">
        <v>609</v>
      </c>
      <c r="R202" s="154"/>
      <c r="Y202" s="161"/>
    </row>
    <row r="203" spans="1:29" ht="14.1" customHeight="1" thickBot="1">
      <c r="A203" s="146">
        <v>59</v>
      </c>
      <c r="B203" s="194"/>
      <c r="C203" s="117" t="s">
        <v>250</v>
      </c>
      <c r="M203" s="197"/>
      <c r="O203" s="311"/>
      <c r="P203" s="156"/>
      <c r="Q203" s="156" t="s">
        <v>607</v>
      </c>
      <c r="R203" s="154"/>
      <c r="Y203" s="161"/>
    </row>
    <row r="204" spans="1:29" ht="14.1" customHeight="1" thickBot="1">
      <c r="A204" s="146">
        <v>60</v>
      </c>
      <c r="B204" s="194"/>
      <c r="C204" s="136" t="s">
        <v>43</v>
      </c>
      <c r="D204" s="284" t="str">
        <f t="shared" ref="D204:E207" si="25">IF(Q207="","",Q207)</f>
        <v/>
      </c>
      <c r="E204" s="286" t="str">
        <f t="shared" si="25"/>
        <v/>
      </c>
      <c r="M204" s="197"/>
      <c r="O204" s="311"/>
      <c r="P204" s="154"/>
      <c r="Q204" s="156" t="s">
        <v>249</v>
      </c>
      <c r="R204" s="154"/>
      <c r="Y204" s="161"/>
    </row>
    <row r="205" spans="1:29" ht="14.1" customHeight="1" thickBot="1">
      <c r="A205" s="146">
        <v>61</v>
      </c>
      <c r="B205" s="194"/>
      <c r="C205" s="136" t="s">
        <v>163</v>
      </c>
      <c r="D205" s="287" t="str">
        <f t="shared" si="25"/>
        <v/>
      </c>
      <c r="E205" s="288" t="str">
        <f t="shared" si="25"/>
        <v/>
      </c>
      <c r="G205" s="136" t="s">
        <v>207</v>
      </c>
      <c r="H205" s="267" t="str">
        <f>IF(AND(Q211="",R211=""),"",IF(OR(Q211="Fail",R211="Fail"),"Fail","Pass"))</f>
        <v/>
      </c>
      <c r="M205" s="197"/>
      <c r="O205" s="168"/>
      <c r="P205" s="357"/>
      <c r="Q205" s="357"/>
      <c r="R205" s="169"/>
      <c r="S205" s="169"/>
      <c r="T205" s="169"/>
      <c r="U205" s="169"/>
      <c r="V205" s="169"/>
      <c r="W205" s="169"/>
      <c r="X205" s="169"/>
      <c r="Y205" s="170"/>
    </row>
    <row r="206" spans="1:29" ht="14.1" customHeight="1">
      <c r="A206" s="146">
        <v>62</v>
      </c>
      <c r="B206" s="194"/>
      <c r="C206" s="136" t="s">
        <v>208</v>
      </c>
      <c r="D206" s="287" t="str">
        <f t="shared" si="25"/>
        <v/>
      </c>
      <c r="E206" s="288" t="str">
        <f t="shared" si="25"/>
        <v/>
      </c>
      <c r="G206" s="234"/>
      <c r="H206" s="156"/>
      <c r="M206" s="197"/>
      <c r="O206" s="265" t="s">
        <v>250</v>
      </c>
      <c r="Y206" s="161"/>
    </row>
    <row r="207" spans="1:29" ht="14.1" customHeight="1" thickBot="1">
      <c r="A207" s="146">
        <v>63</v>
      </c>
      <c r="B207" s="194"/>
      <c r="C207" s="136" t="s">
        <v>252</v>
      </c>
      <c r="D207" s="296" t="str">
        <f t="shared" si="25"/>
        <v/>
      </c>
      <c r="E207" s="298" t="str">
        <f t="shared" si="25"/>
        <v/>
      </c>
      <c r="M207" s="197"/>
      <c r="O207" s="159"/>
      <c r="P207" s="136" t="s">
        <v>85</v>
      </c>
      <c r="Q207" s="277"/>
      <c r="R207" s="277"/>
      <c r="Y207" s="161"/>
    </row>
    <row r="208" spans="1:29" ht="14.1" customHeight="1">
      <c r="A208" s="146">
        <v>64</v>
      </c>
      <c r="B208" s="194"/>
      <c r="C208" s="234" t="s">
        <v>193</v>
      </c>
      <c r="D208" s="156" t="str">
        <f>Q212</f>
        <v>Limiting system resolution must be 6 lp/mm or higher</v>
      </c>
      <c r="M208" s="197"/>
      <c r="O208" s="159"/>
      <c r="P208" s="136" t="s">
        <v>163</v>
      </c>
      <c r="Q208" s="277"/>
      <c r="R208" s="277"/>
      <c r="Y208" s="161"/>
      <c r="AA208" s="130"/>
      <c r="AB208" s="130"/>
      <c r="AC208" s="130"/>
    </row>
    <row r="209" spans="1:29" ht="14.1" customHeight="1">
      <c r="A209" s="146">
        <v>65</v>
      </c>
      <c r="B209" s="194"/>
      <c r="M209" s="197"/>
      <c r="O209" s="159"/>
      <c r="P209" s="136" t="s">
        <v>208</v>
      </c>
      <c r="Q209" s="277"/>
      <c r="R209" s="277"/>
      <c r="Y209" s="161"/>
      <c r="AA209" s="130"/>
      <c r="AB209" s="130"/>
      <c r="AC209" s="130"/>
    </row>
    <row r="210" spans="1:29" ht="14.1" customHeight="1">
      <c r="A210" s="146">
        <v>66</v>
      </c>
      <c r="B210" s="194"/>
      <c r="M210" s="197"/>
      <c r="O210" s="159"/>
      <c r="P210" s="136" t="s">
        <v>252</v>
      </c>
      <c r="Q210" s="277"/>
      <c r="R210" s="277"/>
      <c r="Y210" s="161"/>
      <c r="AA210" s="130"/>
      <c r="AB210" s="130"/>
      <c r="AC210" s="130"/>
    </row>
    <row r="211" spans="1:29" ht="14.1" customHeight="1">
      <c r="A211" s="146">
        <v>67</v>
      </c>
      <c r="B211" s="194"/>
      <c r="M211" s="197"/>
      <c r="O211" s="159"/>
      <c r="P211" s="136" t="s">
        <v>207</v>
      </c>
      <c r="Q211" s="122" t="str">
        <f>IF(Q210="","",IF(Q210&gt;=7,"Pass","Fail"))</f>
        <v/>
      </c>
      <c r="R211" s="122" t="str">
        <f>IF(R210="","",IF(R210&gt;=7,"Pass","Fail"))</f>
        <v/>
      </c>
      <c r="Y211" s="161"/>
      <c r="AA211" s="130"/>
      <c r="AB211" s="130"/>
      <c r="AC211" s="130"/>
    </row>
    <row r="212" spans="1:29" ht="14.1" customHeight="1">
      <c r="A212" s="146">
        <v>68</v>
      </c>
      <c r="B212" s="194"/>
      <c r="M212" s="197"/>
      <c r="O212" s="159"/>
      <c r="P212" s="234" t="s">
        <v>193</v>
      </c>
      <c r="Q212" s="156" t="s">
        <v>253</v>
      </c>
      <c r="Y212" s="161"/>
      <c r="AA212" s="130"/>
      <c r="AB212" s="130"/>
      <c r="AC212" s="130"/>
    </row>
    <row r="213" spans="1:29" ht="14.1" customHeight="1" thickBot="1">
      <c r="A213" s="146">
        <v>69</v>
      </c>
      <c r="B213" s="194"/>
      <c r="M213" s="197"/>
      <c r="O213" s="168"/>
      <c r="P213" s="169"/>
      <c r="Q213" s="169"/>
      <c r="R213" s="169"/>
      <c r="S213" s="169"/>
      <c r="T213" s="169"/>
      <c r="U213" s="169"/>
      <c r="V213" s="169"/>
      <c r="W213" s="169"/>
      <c r="X213" s="169"/>
      <c r="Y213" s="170"/>
      <c r="AA213" s="130"/>
      <c r="AB213" s="130"/>
      <c r="AC213" s="130"/>
    </row>
    <row r="214" spans="1:29" ht="14.1" customHeight="1" thickBot="1">
      <c r="A214" s="146">
        <v>70</v>
      </c>
      <c r="B214" s="205"/>
      <c r="C214" s="206"/>
      <c r="D214" s="206"/>
      <c r="E214" s="206"/>
      <c r="F214" s="206"/>
      <c r="G214" s="206"/>
      <c r="H214" s="206"/>
      <c r="I214" s="206"/>
      <c r="J214" s="206"/>
      <c r="K214" s="206"/>
      <c r="L214" s="206"/>
      <c r="M214" s="207"/>
      <c r="O214" s="265" t="s">
        <v>254</v>
      </c>
      <c r="Y214" s="161"/>
      <c r="AA214" s="130"/>
      <c r="AB214" s="130"/>
      <c r="AC214" s="130"/>
    </row>
    <row r="215" spans="1:29" ht="14.1" customHeight="1" thickTop="1">
      <c r="A215" s="146">
        <v>71</v>
      </c>
      <c r="C215" s="230" t="s">
        <v>8</v>
      </c>
      <c r="D215" s="231" t="str">
        <f>IF($P$7="","",$P$7)</f>
        <v/>
      </c>
      <c r="E215" s="156"/>
      <c r="F215" s="156"/>
      <c r="G215" s="156"/>
      <c r="H215" s="156"/>
      <c r="I215" s="156"/>
      <c r="J215" s="156"/>
      <c r="K215" s="156"/>
      <c r="L215" s="230" t="s">
        <v>9</v>
      </c>
      <c r="M215" s="232" t="str">
        <f>IF($X$7="","",$X$7)</f>
        <v>Eugene Mah</v>
      </c>
      <c r="O215" s="159" t="s">
        <v>255</v>
      </c>
      <c r="P215" s="261"/>
      <c r="R215" s="136" t="s">
        <v>256</v>
      </c>
      <c r="S215" s="261"/>
      <c r="U215" s="118" t="s">
        <v>85</v>
      </c>
      <c r="V215" s="261" t="s">
        <v>227</v>
      </c>
      <c r="Y215" s="161"/>
      <c r="AA215" s="130"/>
      <c r="AB215" s="130"/>
      <c r="AC215" s="130"/>
    </row>
    <row r="216" spans="1:29" ht="14.1" customHeight="1">
      <c r="A216" s="146">
        <v>72</v>
      </c>
      <c r="C216" s="230" t="s">
        <v>111</v>
      </c>
      <c r="D216" s="232" t="str">
        <f>IF($R$14="","",$R$14)</f>
        <v/>
      </c>
      <c r="E216" s="156"/>
      <c r="F216" s="156"/>
      <c r="G216" s="156"/>
      <c r="H216" s="156"/>
      <c r="I216" s="156"/>
      <c r="J216" s="156"/>
      <c r="K216" s="156"/>
      <c r="L216" s="230" t="s">
        <v>29</v>
      </c>
      <c r="M216" s="232" t="str">
        <f>IF($R$13="","",$R$13)</f>
        <v/>
      </c>
      <c r="O216" s="159"/>
      <c r="P216" s="130" t="s">
        <v>61</v>
      </c>
      <c r="U216" s="130"/>
      <c r="W216" s="154"/>
      <c r="Y216" s="161"/>
      <c r="AA216" s="130"/>
      <c r="AB216" s="130"/>
      <c r="AC216" s="130"/>
    </row>
    <row r="217" spans="1:29" ht="14.1" customHeight="1" thickBot="1">
      <c r="A217" s="146">
        <v>1</v>
      </c>
      <c r="M217" s="233" t="str">
        <f>$H$2</f>
        <v>Medical University of South Carolina</v>
      </c>
      <c r="O217" s="159"/>
      <c r="P217" s="130" t="s">
        <v>257</v>
      </c>
      <c r="Q217" s="130" t="s">
        <v>479</v>
      </c>
      <c r="R217" s="130" t="s">
        <v>258</v>
      </c>
      <c r="S217" s="130" t="s">
        <v>63</v>
      </c>
      <c r="T217" s="130" t="s">
        <v>259</v>
      </c>
      <c r="U217" s="130" t="s">
        <v>260</v>
      </c>
      <c r="V217" s="154"/>
      <c r="W217" s="154"/>
      <c r="Y217" s="161"/>
    </row>
    <row r="218" spans="1:29" ht="14.1" customHeight="1" thickBot="1">
      <c r="A218" s="146">
        <v>2</v>
      </c>
      <c r="H218" s="179" t="s">
        <v>64</v>
      </c>
      <c r="M218" s="234" t="str">
        <f>$H$5</f>
        <v>Mammography System Compliance Inspection</v>
      </c>
      <c r="O218" s="159"/>
      <c r="P218" s="358">
        <v>2</v>
      </c>
      <c r="Q218" s="359"/>
      <c r="R218" s="360"/>
      <c r="S218" s="360"/>
      <c r="T218" s="360"/>
      <c r="U218" s="361" t="str">
        <f>IF(OR(T218="",$X$218=""),"",ABS(T218-$X$218)/$X$218)</f>
        <v/>
      </c>
      <c r="V218" s="154"/>
      <c r="W218" s="136" t="s">
        <v>261</v>
      </c>
      <c r="X218" s="362" t="str">
        <f>IF(T218="","",AVERAGE(T218:T220))</f>
        <v/>
      </c>
      <c r="Y218" s="161"/>
    </row>
    <row r="219" spans="1:29" ht="14.1" customHeight="1" thickTop="1" thickBot="1">
      <c r="A219" s="146">
        <v>3</v>
      </c>
      <c r="B219" s="185"/>
      <c r="C219" s="187" t="s">
        <v>254</v>
      </c>
      <c r="D219" s="186"/>
      <c r="E219" s="186"/>
      <c r="F219" s="186"/>
      <c r="G219" s="186"/>
      <c r="H219" s="186"/>
      <c r="I219" s="186"/>
      <c r="J219" s="186"/>
      <c r="K219" s="186"/>
      <c r="L219" s="186"/>
      <c r="M219" s="188"/>
      <c r="O219" s="159"/>
      <c r="P219" s="363">
        <v>4</v>
      </c>
      <c r="Q219" s="364"/>
      <c r="R219" s="277"/>
      <c r="S219" s="277"/>
      <c r="T219" s="277"/>
      <c r="U219" s="365" t="str">
        <f>IF(OR(T219="",$X$218=""),"",ABS(T219-$X$218)/$X$218)</f>
        <v/>
      </c>
      <c r="V219" s="154"/>
      <c r="W219" s="136" t="s">
        <v>262</v>
      </c>
      <c r="X219" s="362" t="str">
        <f>IF(T218="","",_xlfn.STDEV.S(T218:T220))</f>
        <v/>
      </c>
      <c r="Y219" s="161"/>
    </row>
    <row r="220" spans="1:29" ht="14.1" customHeight="1" thickBot="1">
      <c r="A220" s="146">
        <v>4</v>
      </c>
      <c r="B220" s="194"/>
      <c r="C220" s="136" t="s">
        <v>255</v>
      </c>
      <c r="D220" s="196" t="str">
        <f>IF(P215="","",P215)</f>
        <v/>
      </c>
      <c r="F220" s="136" t="s">
        <v>256</v>
      </c>
      <c r="G220" s="196" t="str">
        <f>IF(S215="","",S215)</f>
        <v/>
      </c>
      <c r="I220" s="118" t="s">
        <v>85</v>
      </c>
      <c r="J220" s="196" t="str">
        <f>IF(V215="","",V215)</f>
        <v>W/Rh</v>
      </c>
      <c r="M220" s="197"/>
      <c r="O220" s="159"/>
      <c r="P220" s="366">
        <v>6</v>
      </c>
      <c r="Q220" s="367"/>
      <c r="R220" s="368"/>
      <c r="S220" s="368"/>
      <c r="T220" s="368"/>
      <c r="U220" s="369" t="str">
        <f>IF(OR(T220="",$X$218=""),"",ABS(T220-$X$218)/$X$218)</f>
        <v/>
      </c>
      <c r="V220" s="154"/>
      <c r="W220" s="136" t="s">
        <v>263</v>
      </c>
      <c r="X220" s="370" t="str">
        <f>IF(OR(X218="",X219=""),"",X219/X218)</f>
        <v/>
      </c>
      <c r="Y220" s="161"/>
    </row>
    <row r="221" spans="1:29" ht="14.1" customHeight="1" thickBot="1">
      <c r="A221" s="146">
        <v>5</v>
      </c>
      <c r="B221" s="194"/>
      <c r="C221" s="130" t="s">
        <v>61</v>
      </c>
      <c r="H221" s="130"/>
      <c r="J221" s="154"/>
      <c r="M221" s="197"/>
      <c r="O221" s="159"/>
      <c r="P221" s="234" t="s">
        <v>193</v>
      </c>
      <c r="Q221" s="156" t="s">
        <v>266</v>
      </c>
      <c r="R221" s="271"/>
      <c r="S221" s="271"/>
      <c r="T221" s="271"/>
      <c r="U221" s="271"/>
      <c r="V221" s="154"/>
      <c r="W221" s="118" t="s">
        <v>207</v>
      </c>
      <c r="X221" s="268" t="str">
        <f>IF(U218="","",IF(AND(ABS(U218)&lt;0.1,ABS(U219)&lt;0.1,ABS(U220)&lt;0.1,X220&lt;0.05),"Pass","Fail"))</f>
        <v/>
      </c>
      <c r="Y221" s="161"/>
    </row>
    <row r="222" spans="1:29" ht="14.1" customHeight="1" thickBot="1">
      <c r="A222" s="146">
        <v>6</v>
      </c>
      <c r="B222" s="194"/>
      <c r="C222" s="130" t="s">
        <v>257</v>
      </c>
      <c r="D222" s="130" t="s">
        <v>479</v>
      </c>
      <c r="E222" s="130" t="s">
        <v>258</v>
      </c>
      <c r="F222" s="130" t="s">
        <v>63</v>
      </c>
      <c r="G222" s="130" t="s">
        <v>259</v>
      </c>
      <c r="H222" s="130" t="s">
        <v>260</v>
      </c>
      <c r="I222" s="130"/>
      <c r="J222" s="154"/>
      <c r="M222" s="197"/>
      <c r="O222" s="159"/>
      <c r="P222" s="154"/>
      <c r="Q222" s="156" t="s">
        <v>267</v>
      </c>
      <c r="S222" s="154"/>
      <c r="T222" s="154"/>
      <c r="W222" s="154"/>
      <c r="Y222" s="161"/>
    </row>
    <row r="223" spans="1:29" ht="14.1" customHeight="1">
      <c r="A223" s="146">
        <v>7</v>
      </c>
      <c r="B223" s="194"/>
      <c r="C223" s="284">
        <f t="shared" ref="C223:H225" si="26">IF(P218="","",P218)</f>
        <v>2</v>
      </c>
      <c r="D223" s="285" t="str">
        <f t="shared" si="26"/>
        <v/>
      </c>
      <c r="E223" s="285" t="str">
        <f t="shared" si="26"/>
        <v/>
      </c>
      <c r="F223" s="285" t="str">
        <f t="shared" si="26"/>
        <v/>
      </c>
      <c r="G223" s="285" t="str">
        <f t="shared" si="26"/>
        <v/>
      </c>
      <c r="H223" s="371" t="str">
        <f t="shared" si="26"/>
        <v/>
      </c>
      <c r="I223" s="372"/>
      <c r="J223" s="136" t="s">
        <v>261</v>
      </c>
      <c r="K223" s="373" t="str">
        <f>IF(X218="","",X218)</f>
        <v/>
      </c>
      <c r="M223" s="197"/>
      <c r="O223" s="159"/>
      <c r="S223" s="154"/>
      <c r="T223" s="154"/>
      <c r="W223" s="154"/>
      <c r="Y223" s="161"/>
    </row>
    <row r="224" spans="1:29" ht="14.1" customHeight="1">
      <c r="A224" s="146">
        <v>8</v>
      </c>
      <c r="B224" s="194"/>
      <c r="C224" s="287">
        <f t="shared" si="26"/>
        <v>4</v>
      </c>
      <c r="D224" s="122" t="str">
        <f t="shared" si="26"/>
        <v/>
      </c>
      <c r="E224" s="122" t="str">
        <f t="shared" si="26"/>
        <v/>
      </c>
      <c r="F224" s="122" t="str">
        <f t="shared" si="26"/>
        <v/>
      </c>
      <c r="G224" s="122" t="str">
        <f t="shared" si="26"/>
        <v/>
      </c>
      <c r="H224" s="374" t="str">
        <f t="shared" si="26"/>
        <v/>
      </c>
      <c r="I224" s="372"/>
      <c r="J224" s="136" t="s">
        <v>262</v>
      </c>
      <c r="K224" s="373" t="str">
        <f>IF(X219="","",X219)</f>
        <v/>
      </c>
      <c r="M224" s="197"/>
      <c r="O224" s="208"/>
      <c r="P224" s="118" t="s">
        <v>268</v>
      </c>
      <c r="Q224" s="154"/>
      <c r="R224" s="154"/>
      <c r="S224" s="154"/>
      <c r="T224" s="154"/>
      <c r="U224" s="154"/>
      <c r="V224" s="154"/>
      <c r="W224" s="154"/>
      <c r="Y224" s="161"/>
    </row>
    <row r="225" spans="1:27" ht="14.1" customHeight="1" thickBot="1">
      <c r="A225" s="146">
        <v>9</v>
      </c>
      <c r="B225" s="194"/>
      <c r="C225" s="296">
        <f t="shared" si="26"/>
        <v>6</v>
      </c>
      <c r="D225" s="297" t="str">
        <f t="shared" si="26"/>
        <v/>
      </c>
      <c r="E225" s="375" t="str">
        <f t="shared" si="26"/>
        <v/>
      </c>
      <c r="F225" s="375" t="str">
        <f t="shared" si="26"/>
        <v/>
      </c>
      <c r="G225" s="375" t="str">
        <f t="shared" si="26"/>
        <v/>
      </c>
      <c r="H225" s="376" t="str">
        <f t="shared" si="26"/>
        <v/>
      </c>
      <c r="I225" s="372"/>
      <c r="J225" s="136" t="s">
        <v>263</v>
      </c>
      <c r="K225" s="377" t="str">
        <f>IF(X220="","",X220)</f>
        <v/>
      </c>
      <c r="M225" s="197"/>
      <c r="O225" s="208"/>
      <c r="P225" s="118" t="s">
        <v>269</v>
      </c>
      <c r="Q225" s="154"/>
      <c r="R225" s="154"/>
      <c r="S225" s="154"/>
      <c r="T225" s="154"/>
      <c r="U225" s="154"/>
      <c r="V225" s="154" t="str">
        <f>IF(OR(T225="",$X$218=""),"",(T225-$X$218)/$X$218)</f>
        <v/>
      </c>
      <c r="W225" s="154"/>
      <c r="Y225" s="161"/>
    </row>
    <row r="226" spans="1:27" ht="14.1" customHeight="1" thickBot="1">
      <c r="A226" s="146">
        <v>10</v>
      </c>
      <c r="B226" s="194"/>
      <c r="C226" s="234" t="s">
        <v>193</v>
      </c>
      <c r="D226" s="156" t="s">
        <v>266</v>
      </c>
      <c r="E226" s="378"/>
      <c r="F226" s="378"/>
      <c r="G226" s="378"/>
      <c r="H226" s="379"/>
      <c r="I226" s="372"/>
      <c r="J226" s="118" t="s">
        <v>207</v>
      </c>
      <c r="K226" s="268" t="str">
        <f>IF(X221="","",X221)</f>
        <v/>
      </c>
      <c r="M226" s="197"/>
      <c r="O226" s="159"/>
      <c r="P226" s="154"/>
      <c r="Q226" s="154"/>
      <c r="R226" s="154"/>
      <c r="S226" s="154"/>
      <c r="T226" s="154"/>
      <c r="U226" s="154"/>
      <c r="V226" s="154"/>
      <c r="W226" s="154"/>
      <c r="Y226" s="161"/>
    </row>
    <row r="227" spans="1:27" ht="14.1" customHeight="1">
      <c r="A227" s="146">
        <v>11</v>
      </c>
      <c r="B227" s="194"/>
      <c r="C227" s="130"/>
      <c r="D227" s="156" t="s">
        <v>267</v>
      </c>
      <c r="E227" s="130"/>
      <c r="F227" s="130"/>
      <c r="G227" s="130"/>
      <c r="H227" s="130"/>
      <c r="I227" s="372"/>
      <c r="J227" s="154"/>
      <c r="M227" s="197"/>
      <c r="O227" s="265" t="s">
        <v>270</v>
      </c>
      <c r="P227" s="154"/>
      <c r="Q227" s="154"/>
      <c r="R227" s="154"/>
      <c r="S227" s="154"/>
      <c r="T227" s="154"/>
      <c r="U227" s="154"/>
      <c r="V227" s="154"/>
      <c r="Y227" s="161"/>
    </row>
    <row r="228" spans="1:27" ht="14.1" customHeight="1" thickBot="1">
      <c r="A228" s="146">
        <v>12</v>
      </c>
      <c r="B228" s="194"/>
      <c r="E228" s="130"/>
      <c r="F228" s="130"/>
      <c r="G228" s="130"/>
      <c r="H228" s="130"/>
      <c r="I228" s="372"/>
      <c r="J228" s="154"/>
      <c r="M228" s="197"/>
      <c r="O228" s="159" t="s">
        <v>255</v>
      </c>
      <c r="P228" s="261"/>
      <c r="R228" s="118" t="s">
        <v>85</v>
      </c>
      <c r="S228" s="261" t="s">
        <v>227</v>
      </c>
      <c r="T228" s="136" t="s">
        <v>163</v>
      </c>
      <c r="U228" s="261">
        <v>28</v>
      </c>
      <c r="V228" s="136" t="s">
        <v>794</v>
      </c>
      <c r="W228" s="118" t="e">
        <f>HLOOKUP(R18,Tables!A139:C140,2,FALSE)</f>
        <v>#N/A</v>
      </c>
      <c r="Y228" s="161"/>
    </row>
    <row r="229" spans="1:27" ht="14.1" customHeight="1" thickBot="1">
      <c r="A229" s="146">
        <v>13</v>
      </c>
      <c r="B229" s="194"/>
      <c r="C229" s="268" t="str">
        <f>IF(O224="","TBD",IF(O224=1,"YES",IF(O224=2,"NO",IF(O224=3,"NA",""))))</f>
        <v>TBD</v>
      </c>
      <c r="D229" s="118" t="s">
        <v>268</v>
      </c>
      <c r="E229" s="130"/>
      <c r="F229" s="130"/>
      <c r="G229" s="130"/>
      <c r="H229" s="130"/>
      <c r="I229" s="130"/>
      <c r="J229" s="372"/>
      <c r="K229" s="154"/>
      <c r="M229" s="197"/>
      <c r="O229" s="159"/>
      <c r="Y229" s="161"/>
    </row>
    <row r="230" spans="1:27" ht="14.1" customHeight="1" thickBot="1">
      <c r="A230" s="146">
        <v>14</v>
      </c>
      <c r="B230" s="194"/>
      <c r="C230" s="268" t="str">
        <f>IF(O225="","TBD",IF(O225=1,"YES",IF(O225=2,"NO",IF(O225=3,"NA",""))))</f>
        <v>TBD</v>
      </c>
      <c r="D230" s="118" t="s">
        <v>269</v>
      </c>
      <c r="E230" s="130"/>
      <c r="F230" s="130"/>
      <c r="G230" s="130"/>
      <c r="H230" s="130"/>
      <c r="I230" s="130"/>
      <c r="J230" s="372"/>
      <c r="K230" s="154"/>
      <c r="M230" s="197"/>
      <c r="O230" s="159"/>
      <c r="P230" s="130"/>
      <c r="R230" s="136"/>
      <c r="S230" s="130"/>
      <c r="T230" s="130"/>
      <c r="U230" s="154"/>
      <c r="V230" s="130" t="s">
        <v>271</v>
      </c>
      <c r="Y230" s="161"/>
    </row>
    <row r="231" spans="1:27" ht="14.1" customHeight="1" thickBot="1">
      <c r="A231" s="146">
        <v>15</v>
      </c>
      <c r="B231" s="352"/>
      <c r="C231" s="353"/>
      <c r="D231" s="353"/>
      <c r="E231" s="353"/>
      <c r="F231" s="353"/>
      <c r="G231" s="380"/>
      <c r="H231" s="266"/>
      <c r="I231" s="353"/>
      <c r="J231" s="353"/>
      <c r="K231" s="381"/>
      <c r="L231" s="353"/>
      <c r="M231" s="356"/>
      <c r="O231" s="159"/>
      <c r="P231" s="130" t="s">
        <v>63</v>
      </c>
      <c r="Q231" s="130" t="s">
        <v>272</v>
      </c>
      <c r="R231" s="130" t="s">
        <v>273</v>
      </c>
      <c r="S231" s="130" t="s">
        <v>274</v>
      </c>
      <c r="T231" s="130" t="s">
        <v>275</v>
      </c>
      <c r="U231" s="130" t="s">
        <v>276</v>
      </c>
      <c r="V231" s="118" t="s">
        <v>21</v>
      </c>
      <c r="X231" s="130" t="s">
        <v>277</v>
      </c>
      <c r="Y231" s="382" t="s">
        <v>278</v>
      </c>
    </row>
    <row r="232" spans="1:27" ht="14.1" customHeight="1">
      <c r="A232" s="146">
        <v>16</v>
      </c>
      <c r="B232" s="194"/>
      <c r="C232" s="117" t="s">
        <v>270</v>
      </c>
      <c r="M232" s="197"/>
      <c r="O232" s="159"/>
      <c r="P232" s="318"/>
      <c r="Q232" s="319"/>
      <c r="R232" s="319"/>
      <c r="S232" s="319"/>
      <c r="T232" s="383" t="str">
        <f>IF(OR(R232="",S232=""),"",(R232-$W$228)/S232)</f>
        <v/>
      </c>
      <c r="U232" s="384" t="str">
        <f>IF(OR(Q232="",R232="",S232=""),"",(R232-Q232)/S232)</f>
        <v/>
      </c>
      <c r="V232" s="385" t="str">
        <f>IF($S$399="","",$S$399*P232)</f>
        <v/>
      </c>
      <c r="X232" s="386" t="str">
        <f>IF(OR(Q232="",$Q$237=""),"",ABS(Q232-$Q$237)/$Q$237)</f>
        <v/>
      </c>
      <c r="Y232" s="387" t="str">
        <f>IF(OR(T232="",$T$237=""),"",ABS(T232-$T$237)/$T$237)</f>
        <v/>
      </c>
      <c r="AA232" s="388"/>
    </row>
    <row r="233" spans="1:27" ht="14.1" customHeight="1">
      <c r="A233" s="146">
        <v>17</v>
      </c>
      <c r="B233" s="194"/>
      <c r="C233" s="136" t="s">
        <v>255</v>
      </c>
      <c r="D233" s="196" t="str">
        <f>IF(P228="","",P228)</f>
        <v/>
      </c>
      <c r="F233" s="118" t="s">
        <v>85</v>
      </c>
      <c r="G233" s="196" t="str">
        <f>IF(S228="","",S228)</f>
        <v>W/Rh</v>
      </c>
      <c r="H233" s="136" t="s">
        <v>163</v>
      </c>
      <c r="I233" s="196">
        <f>IF(U228="","",U228)</f>
        <v>28</v>
      </c>
      <c r="M233" s="197"/>
      <c r="O233" s="159"/>
      <c r="P233" s="321"/>
      <c r="Q233" s="322"/>
      <c r="R233" s="322"/>
      <c r="S233" s="322"/>
      <c r="T233" s="314" t="str">
        <f t="shared" ref="T233:T236" si="27">IF(OR(R233="",S233=""),"",(R233-$W$228)/S233)</f>
        <v/>
      </c>
      <c r="U233" s="389" t="str">
        <f>IF(OR(Q233="",R233="",S233=""),"",(R233-Q233)/S233)</f>
        <v/>
      </c>
      <c r="V233" s="390" t="str">
        <f t="shared" ref="V233:V236" si="28">IF($S$399="","",$S$399*P233)</f>
        <v/>
      </c>
      <c r="X233" s="386" t="str">
        <f>IF(OR(Q233="",$Q$237=""),"",ABS(Q233-$Q$237)/$Q$237)</f>
        <v/>
      </c>
      <c r="Y233" s="387" t="str">
        <f>IF(OR(T233="",$T$237=""),"",ABS(T233-$T$237)/$T$237)</f>
        <v/>
      </c>
      <c r="AA233" s="388"/>
    </row>
    <row r="234" spans="1:27" ht="14.1" customHeight="1">
      <c r="A234" s="146">
        <v>18</v>
      </c>
      <c r="B234" s="194"/>
      <c r="I234" s="130"/>
      <c r="M234" s="197"/>
      <c r="O234" s="159"/>
      <c r="P234" s="321"/>
      <c r="Q234" s="322"/>
      <c r="R234" s="322"/>
      <c r="S234" s="322"/>
      <c r="T234" s="314" t="str">
        <f t="shared" si="27"/>
        <v/>
      </c>
      <c r="U234" s="389" t="str">
        <f>IF(OR(Q234="",R234="",S234=""),"",(R234-Q234)/S234)</f>
        <v/>
      </c>
      <c r="V234" s="390" t="str">
        <f t="shared" si="28"/>
        <v/>
      </c>
      <c r="X234" s="386" t="str">
        <f>IF(OR(Q234="",$Q$237=""),"",ABS(Q234-$Q$237)/$Q$237)</f>
        <v/>
      </c>
      <c r="Y234" s="387" t="str">
        <f>IF(OR(T234="",$T$237=""),"",ABS(T234-$T$237)/$T$237)</f>
        <v/>
      </c>
      <c r="AA234" s="388"/>
    </row>
    <row r="235" spans="1:27" ht="14.1" customHeight="1" thickBot="1">
      <c r="A235" s="146">
        <v>19</v>
      </c>
      <c r="B235" s="194"/>
      <c r="D235" s="130"/>
      <c r="F235" s="136"/>
      <c r="G235" s="130"/>
      <c r="H235" s="130"/>
      <c r="I235" s="154"/>
      <c r="J235" s="118" t="s">
        <v>271</v>
      </c>
      <c r="M235" s="197"/>
      <c r="O235" s="159"/>
      <c r="P235" s="321"/>
      <c r="Q235" s="322"/>
      <c r="R235" s="322"/>
      <c r="S235" s="322"/>
      <c r="T235" s="314" t="str">
        <f t="shared" si="27"/>
        <v/>
      </c>
      <c r="U235" s="389" t="str">
        <f>IF(OR(Q235="",R235="",S235=""),"",(R235-Q235)/S235)</f>
        <v/>
      </c>
      <c r="V235" s="390" t="str">
        <f t="shared" si="28"/>
        <v/>
      </c>
      <c r="X235" s="386" t="str">
        <f>IF(OR(Q235="",$Q$237=""),"",ABS(Q235-$Q$237)/$Q$237)</f>
        <v/>
      </c>
      <c r="Y235" s="387" t="str">
        <f>IF(OR(T235="",$T$237=""),"",ABS(T235-$T$237)/$T$237)</f>
        <v/>
      </c>
      <c r="AA235" s="388"/>
    </row>
    <row r="236" spans="1:27" ht="14.1" customHeight="1" thickBot="1">
      <c r="A236" s="146">
        <v>20</v>
      </c>
      <c r="B236" s="194"/>
      <c r="D236" s="391" t="s">
        <v>63</v>
      </c>
      <c r="E236" s="392" t="s">
        <v>272</v>
      </c>
      <c r="F236" s="392" t="s">
        <v>273</v>
      </c>
      <c r="G236" s="392" t="s">
        <v>274</v>
      </c>
      <c r="H236" s="392" t="s">
        <v>275</v>
      </c>
      <c r="I236" s="392" t="s">
        <v>276</v>
      </c>
      <c r="J236" s="393" t="s">
        <v>21</v>
      </c>
      <c r="K236" s="272" t="s">
        <v>277</v>
      </c>
      <c r="L236" s="394" t="s">
        <v>278</v>
      </c>
      <c r="M236" s="197"/>
      <c r="O236" s="159"/>
      <c r="P236" s="395"/>
      <c r="Q236" s="396"/>
      <c r="R236" s="396"/>
      <c r="S236" s="396"/>
      <c r="T236" s="397" t="str">
        <f t="shared" si="27"/>
        <v/>
      </c>
      <c r="U236" s="398" t="str">
        <f>IF(OR(Q236="",R236="",S236=""),"",(R236-Q236)/S236)</f>
        <v/>
      </c>
      <c r="V236" s="399" t="str">
        <f t="shared" si="28"/>
        <v/>
      </c>
      <c r="X236" s="386" t="str">
        <f>IF(OR(Q236="",$Q$237=""),"",ABS(Q236-$Q$237)/$Q$237)</f>
        <v/>
      </c>
      <c r="Y236" s="387" t="str">
        <f>IF(OR(T236="",$T$237=""),"",ABS(T236-$T$237)/$T$237)</f>
        <v/>
      </c>
      <c r="AA236" s="388"/>
    </row>
    <row r="237" spans="1:27" ht="14.1" customHeight="1" thickBot="1">
      <c r="A237" s="146">
        <v>21</v>
      </c>
      <c r="B237" s="194"/>
      <c r="D237" s="400" t="str">
        <f t="shared" ref="D237:J244" si="29">IF(P232="","",P232)</f>
        <v/>
      </c>
      <c r="E237" s="401" t="str">
        <f t="shared" si="29"/>
        <v/>
      </c>
      <c r="F237" s="401" t="str">
        <f t="shared" si="29"/>
        <v/>
      </c>
      <c r="G237" s="401" t="str">
        <f t="shared" si="29"/>
        <v/>
      </c>
      <c r="H237" s="401" t="str">
        <f t="shared" si="29"/>
        <v/>
      </c>
      <c r="I237" s="401" t="str">
        <f t="shared" si="29"/>
        <v/>
      </c>
      <c r="J237" s="402" t="str">
        <f t="shared" si="29"/>
        <v/>
      </c>
      <c r="K237" s="403" t="str">
        <f t="shared" ref="K237:L243" si="30">IF(X232="","",X232)</f>
        <v/>
      </c>
      <c r="L237" s="404" t="str">
        <f t="shared" si="30"/>
        <v/>
      </c>
      <c r="M237" s="197"/>
      <c r="O237" s="311" t="s">
        <v>261</v>
      </c>
      <c r="P237" s="405" t="str">
        <f t="shared" ref="P237:V237" si="31">IF(P232="","",AVERAGE(P232:P236))</f>
        <v/>
      </c>
      <c r="Q237" s="383" t="str">
        <f t="shared" si="31"/>
        <v/>
      </c>
      <c r="R237" s="383" t="str">
        <f t="shared" si="31"/>
        <v/>
      </c>
      <c r="S237" s="383" t="str">
        <f t="shared" si="31"/>
        <v/>
      </c>
      <c r="T237" s="383" t="str">
        <f t="shared" si="31"/>
        <v/>
      </c>
      <c r="U237" s="384" t="str">
        <f t="shared" si="31"/>
        <v/>
      </c>
      <c r="V237" s="385" t="str">
        <f t="shared" si="31"/>
        <v/>
      </c>
      <c r="W237" s="136" t="s">
        <v>281</v>
      </c>
      <c r="X237" s="370" t="str">
        <f>IF(X232="","",MAX(X232:X236))</f>
        <v/>
      </c>
      <c r="Y237" s="370" t="str">
        <f>IF(Y232="","",MAX(Y232:Y236))</f>
        <v/>
      </c>
      <c r="AA237" s="388"/>
    </row>
    <row r="238" spans="1:27" ht="14.1" customHeight="1" thickBot="1">
      <c r="A238" s="146">
        <v>22</v>
      </c>
      <c r="B238" s="194"/>
      <c r="D238" s="406" t="str">
        <f t="shared" si="29"/>
        <v/>
      </c>
      <c r="E238" s="407" t="str">
        <f t="shared" si="29"/>
        <v/>
      </c>
      <c r="F238" s="407" t="str">
        <f t="shared" si="29"/>
        <v/>
      </c>
      <c r="G238" s="407" t="str">
        <f t="shared" si="29"/>
        <v/>
      </c>
      <c r="H238" s="407" t="str">
        <f t="shared" si="29"/>
        <v/>
      </c>
      <c r="I238" s="407" t="str">
        <f t="shared" si="29"/>
        <v/>
      </c>
      <c r="J238" s="408" t="str">
        <f t="shared" si="29"/>
        <v/>
      </c>
      <c r="K238" s="403" t="str">
        <f t="shared" si="30"/>
        <v/>
      </c>
      <c r="L238" s="404" t="str">
        <f t="shared" si="30"/>
        <v/>
      </c>
      <c r="M238" s="197"/>
      <c r="O238" s="311" t="s">
        <v>262</v>
      </c>
      <c r="P238" s="409" t="str">
        <f>IF(P232="","",STDEV(P232:P236))</f>
        <v/>
      </c>
      <c r="Q238" s="314" t="str">
        <f t="shared" ref="Q238:V238" si="32">IF(Q232="","",STDEV(Q232:Q236))</f>
        <v/>
      </c>
      <c r="R238" s="314" t="str">
        <f t="shared" si="32"/>
        <v/>
      </c>
      <c r="S238" s="314" t="str">
        <f t="shared" si="32"/>
        <v/>
      </c>
      <c r="T238" s="314" t="str">
        <f t="shared" si="32"/>
        <v/>
      </c>
      <c r="U238" s="389" t="str">
        <f t="shared" si="32"/>
        <v/>
      </c>
      <c r="V238" s="390" t="str">
        <f t="shared" si="32"/>
        <v/>
      </c>
      <c r="X238" s="267" t="str">
        <f>IF(X237="","",IF(X237&lt;=0.15,"Pass","Fail"))</f>
        <v/>
      </c>
      <c r="Y238" s="267" t="str">
        <f>IF(Y237="","",IF(Y237&lt;=0.15,"Pass","Fail"))</f>
        <v/>
      </c>
      <c r="AA238" s="388"/>
    </row>
    <row r="239" spans="1:27" ht="14.1" customHeight="1" thickBot="1">
      <c r="A239" s="146">
        <v>23</v>
      </c>
      <c r="B239" s="194"/>
      <c r="D239" s="406" t="str">
        <f t="shared" si="29"/>
        <v/>
      </c>
      <c r="E239" s="407" t="str">
        <f t="shared" si="29"/>
        <v/>
      </c>
      <c r="F239" s="407" t="str">
        <f t="shared" si="29"/>
        <v/>
      </c>
      <c r="G239" s="407" t="str">
        <f t="shared" si="29"/>
        <v/>
      </c>
      <c r="H239" s="407" t="str">
        <f t="shared" si="29"/>
        <v/>
      </c>
      <c r="I239" s="407" t="str">
        <f t="shared" si="29"/>
        <v/>
      </c>
      <c r="J239" s="408" t="str">
        <f t="shared" si="29"/>
        <v/>
      </c>
      <c r="K239" s="403" t="str">
        <f t="shared" si="30"/>
        <v/>
      </c>
      <c r="L239" s="404" t="str">
        <f t="shared" si="30"/>
        <v/>
      </c>
      <c r="M239" s="197"/>
      <c r="O239" s="311" t="s">
        <v>263</v>
      </c>
      <c r="P239" s="410" t="str">
        <f t="shared" ref="P239:V239" si="33">IF(OR(P237="",P238=""),"",P238/P237)</f>
        <v/>
      </c>
      <c r="Q239" s="411" t="str">
        <f t="shared" si="33"/>
        <v/>
      </c>
      <c r="R239" s="411" t="str">
        <f t="shared" si="33"/>
        <v/>
      </c>
      <c r="S239" s="411" t="str">
        <f t="shared" si="33"/>
        <v/>
      </c>
      <c r="T239" s="411" t="str">
        <f t="shared" si="33"/>
        <v/>
      </c>
      <c r="U239" s="411" t="str">
        <f t="shared" si="33"/>
        <v/>
      </c>
      <c r="V239" s="412" t="str">
        <f t="shared" si="33"/>
        <v/>
      </c>
      <c r="X239" s="130"/>
      <c r="Y239" s="382"/>
      <c r="AA239" s="388"/>
    </row>
    <row r="240" spans="1:27" ht="14.1" customHeight="1" thickBot="1">
      <c r="A240" s="146">
        <v>24</v>
      </c>
      <c r="B240" s="194"/>
      <c r="D240" s="406" t="str">
        <f t="shared" si="29"/>
        <v/>
      </c>
      <c r="E240" s="407" t="str">
        <f t="shared" si="29"/>
        <v/>
      </c>
      <c r="F240" s="407" t="str">
        <f t="shared" si="29"/>
        <v/>
      </c>
      <c r="G240" s="407" t="str">
        <f t="shared" si="29"/>
        <v/>
      </c>
      <c r="H240" s="407" t="str">
        <f t="shared" si="29"/>
        <v/>
      </c>
      <c r="I240" s="407" t="str">
        <f t="shared" si="29"/>
        <v/>
      </c>
      <c r="J240" s="408" t="str">
        <f t="shared" si="29"/>
        <v/>
      </c>
      <c r="K240" s="403" t="str">
        <f t="shared" si="30"/>
        <v/>
      </c>
      <c r="L240" s="404" t="str">
        <f t="shared" si="30"/>
        <v/>
      </c>
      <c r="M240" s="197"/>
      <c r="O240" s="159"/>
      <c r="P240" s="267" t="str">
        <f>IF(P239="","",IF(P239&lt;=0.05,"Pass","Fail"))</f>
        <v/>
      </c>
      <c r="Q240" s="154"/>
      <c r="R240" s="154"/>
      <c r="S240" s="154"/>
      <c r="T240" s="154"/>
      <c r="U240" s="154"/>
      <c r="V240" s="267" t="str">
        <f>IF(V239="","",IF(V239&lt;=0.05,"Pass","Fail"))</f>
        <v/>
      </c>
      <c r="Y240" s="161"/>
      <c r="AA240" s="388"/>
    </row>
    <row r="241" spans="1:27" ht="14.1" customHeight="1" thickBot="1">
      <c r="A241" s="146">
        <v>25</v>
      </c>
      <c r="B241" s="194"/>
      <c r="D241" s="413" t="str">
        <f t="shared" si="29"/>
        <v/>
      </c>
      <c r="E241" s="414" t="str">
        <f t="shared" si="29"/>
        <v/>
      </c>
      <c r="F241" s="414" t="str">
        <f t="shared" si="29"/>
        <v/>
      </c>
      <c r="G241" s="414" t="str">
        <f t="shared" si="29"/>
        <v/>
      </c>
      <c r="H241" s="414" t="str">
        <f t="shared" si="29"/>
        <v/>
      </c>
      <c r="I241" s="414" t="str">
        <f t="shared" si="29"/>
        <v/>
      </c>
      <c r="J241" s="415" t="str">
        <f t="shared" si="29"/>
        <v/>
      </c>
      <c r="K241" s="416" t="str">
        <f t="shared" si="30"/>
        <v/>
      </c>
      <c r="L241" s="417" t="str">
        <f t="shared" si="30"/>
        <v/>
      </c>
      <c r="M241" s="197"/>
      <c r="O241" s="159"/>
      <c r="P241" s="234" t="s">
        <v>193</v>
      </c>
      <c r="Q241" s="156" t="s">
        <v>282</v>
      </c>
      <c r="Y241" s="161"/>
    </row>
    <row r="242" spans="1:27" ht="14.1" customHeight="1" thickBot="1">
      <c r="A242" s="146">
        <v>26</v>
      </c>
      <c r="B242" s="194"/>
      <c r="C242" s="418" t="s">
        <v>261</v>
      </c>
      <c r="D242" s="419" t="str">
        <f t="shared" si="29"/>
        <v/>
      </c>
      <c r="E242" s="420" t="str">
        <f t="shared" si="29"/>
        <v/>
      </c>
      <c r="F242" s="420" t="str">
        <f t="shared" si="29"/>
        <v/>
      </c>
      <c r="G242" s="420" t="str">
        <f t="shared" si="29"/>
        <v/>
      </c>
      <c r="H242" s="420" t="str">
        <f t="shared" si="29"/>
        <v/>
      </c>
      <c r="I242" s="420" t="str">
        <f t="shared" si="29"/>
        <v/>
      </c>
      <c r="J242" s="421" t="str">
        <f t="shared" si="29"/>
        <v/>
      </c>
      <c r="K242" s="422" t="str">
        <f t="shared" si="30"/>
        <v/>
      </c>
      <c r="L242" s="422" t="str">
        <f t="shared" si="30"/>
        <v/>
      </c>
      <c r="M242" s="197"/>
      <c r="O242" s="159"/>
      <c r="Q242" s="156" t="s">
        <v>283</v>
      </c>
      <c r="Y242" s="161"/>
    </row>
    <row r="243" spans="1:27" ht="14.1" customHeight="1" thickBot="1">
      <c r="A243" s="146">
        <v>27</v>
      </c>
      <c r="B243" s="194"/>
      <c r="C243" s="418" t="s">
        <v>262</v>
      </c>
      <c r="D243" s="406" t="str">
        <f t="shared" si="29"/>
        <v/>
      </c>
      <c r="E243" s="407" t="str">
        <f t="shared" si="29"/>
        <v/>
      </c>
      <c r="F243" s="407" t="str">
        <f t="shared" si="29"/>
        <v/>
      </c>
      <c r="G243" s="407" t="str">
        <f t="shared" si="29"/>
        <v/>
      </c>
      <c r="H243" s="407" t="str">
        <f t="shared" si="29"/>
        <v/>
      </c>
      <c r="I243" s="407" t="str">
        <f t="shared" si="29"/>
        <v/>
      </c>
      <c r="J243" s="408" t="str">
        <f t="shared" si="29"/>
        <v/>
      </c>
      <c r="K243" s="422" t="str">
        <f t="shared" si="30"/>
        <v/>
      </c>
      <c r="L243" s="422" t="str">
        <f t="shared" si="30"/>
        <v/>
      </c>
      <c r="M243" s="197"/>
      <c r="O243" s="423"/>
      <c r="P243" s="357"/>
      <c r="Q243" s="357"/>
      <c r="R243" s="357"/>
      <c r="S243" s="357"/>
      <c r="T243" s="357"/>
      <c r="U243" s="357"/>
      <c r="V243" s="357"/>
      <c r="W243" s="357"/>
      <c r="X243" s="357"/>
      <c r="Y243" s="424"/>
    </row>
    <row r="244" spans="1:27" ht="14.1" customHeight="1" thickBot="1">
      <c r="A244" s="146">
        <v>28</v>
      </c>
      <c r="B244" s="194"/>
      <c r="C244" s="418" t="s">
        <v>263</v>
      </c>
      <c r="D244" s="425" t="str">
        <f t="shared" si="29"/>
        <v/>
      </c>
      <c r="E244" s="426" t="str">
        <f t="shared" si="29"/>
        <v/>
      </c>
      <c r="F244" s="426" t="str">
        <f t="shared" si="29"/>
        <v/>
      </c>
      <c r="G244" s="426" t="str">
        <f t="shared" si="29"/>
        <v/>
      </c>
      <c r="H244" s="426" t="str">
        <f t="shared" si="29"/>
        <v/>
      </c>
      <c r="I244" s="426" t="str">
        <f t="shared" si="29"/>
        <v/>
      </c>
      <c r="J244" s="427" t="str">
        <f t="shared" si="29"/>
        <v/>
      </c>
      <c r="M244" s="197"/>
      <c r="O244" s="260" t="s">
        <v>284</v>
      </c>
      <c r="P244" s="428"/>
      <c r="Q244" s="428"/>
      <c r="R244" s="428"/>
      <c r="S244" s="428"/>
      <c r="T244" s="428"/>
      <c r="U244" s="428"/>
      <c r="V244" s="428"/>
      <c r="W244" s="428"/>
      <c r="X244" s="428"/>
      <c r="Y244" s="429"/>
    </row>
    <row r="245" spans="1:27" ht="14.1" customHeight="1" thickBot="1">
      <c r="A245" s="146">
        <v>29</v>
      </c>
      <c r="B245" s="194"/>
      <c r="D245" s="430" t="str">
        <f>IF(P240="","",P240)</f>
        <v/>
      </c>
      <c r="E245" s="310"/>
      <c r="F245" s="310"/>
      <c r="G245" s="310"/>
      <c r="H245" s="310"/>
      <c r="I245" s="310"/>
      <c r="J245" s="430" t="str">
        <f>IF(V240="","",V240)</f>
        <v/>
      </c>
      <c r="M245" s="197"/>
      <c r="O245" s="431"/>
      <c r="P245" s="432" t="s">
        <v>62</v>
      </c>
      <c r="Q245" s="129" t="str">
        <f>Q160&amp;"/"&amp;Q161&amp;"-"&amp;Q162</f>
        <v>/-</v>
      </c>
      <c r="R245" s="129" t="str">
        <f t="shared" ref="R245:S245" si="34">R160&amp;"/"&amp;R161&amp;"-"&amp;R162</f>
        <v>/-</v>
      </c>
      <c r="S245" s="129" t="str">
        <f t="shared" si="34"/>
        <v>/-</v>
      </c>
      <c r="T245" s="154"/>
      <c r="U245" s="753" t="s">
        <v>285</v>
      </c>
      <c r="V245" s="753"/>
      <c r="W245" s="753"/>
      <c r="X245" s="154"/>
      <c r="Y245" s="433"/>
      <c r="Z245" s="130"/>
      <c r="AA245" s="154"/>
    </row>
    <row r="246" spans="1:27" ht="14.1" customHeight="1">
      <c r="A246" s="146">
        <v>30</v>
      </c>
      <c r="B246" s="194"/>
      <c r="C246" s="234" t="s">
        <v>193</v>
      </c>
      <c r="D246" s="156" t="s">
        <v>282</v>
      </c>
      <c r="M246" s="197"/>
      <c r="O246" s="431"/>
      <c r="P246" s="145" t="s">
        <v>258</v>
      </c>
      <c r="Q246" s="122" t="str">
        <f>IF(Q163="","",Q163)</f>
        <v/>
      </c>
      <c r="R246" s="122" t="str">
        <f t="shared" ref="R246:S246" si="35">IF(R163="","",R163)</f>
        <v/>
      </c>
      <c r="S246" s="122" t="str">
        <f t="shared" si="35"/>
        <v/>
      </c>
      <c r="T246" s="154"/>
      <c r="U246" s="129" t="str">
        <f>IF(Q245="","",Q245)</f>
        <v>/-</v>
      </c>
      <c r="V246" s="129" t="str">
        <f t="shared" ref="V246:W246" si="36">IF(R245="","",R245)</f>
        <v>/-</v>
      </c>
      <c r="W246" s="129" t="str">
        <f t="shared" si="36"/>
        <v>/-</v>
      </c>
      <c r="X246" s="154"/>
      <c r="Y246" s="433"/>
      <c r="Z246" s="130"/>
      <c r="AA246" s="154"/>
    </row>
    <row r="247" spans="1:27" ht="14.1" customHeight="1">
      <c r="A247" s="146">
        <v>31</v>
      </c>
      <c r="B247" s="194"/>
      <c r="D247" s="156" t="s">
        <v>283</v>
      </c>
      <c r="M247" s="197"/>
      <c r="O247" s="431"/>
      <c r="P247" s="145" t="s">
        <v>63</v>
      </c>
      <c r="Q247" s="141" t="str">
        <f t="shared" ref="Q247:S247" si="37">IF(Q164="","",Q164)</f>
        <v/>
      </c>
      <c r="R247" s="141" t="str">
        <f t="shared" si="37"/>
        <v/>
      </c>
      <c r="S247" s="141" t="str">
        <f t="shared" si="37"/>
        <v/>
      </c>
      <c r="T247" s="154"/>
      <c r="U247" s="434" t="str">
        <f>IF(Q248="","",ABS(Q248-Q$253)/Q$253)</f>
        <v/>
      </c>
      <c r="V247" s="434" t="str">
        <f>IF(R248="","",ABS(R248-R$253)/R$253)</f>
        <v/>
      </c>
      <c r="W247" s="434" t="str">
        <f>IF(S248="","",ABS(S248-S$253)/S$253)</f>
        <v/>
      </c>
      <c r="X247" s="154"/>
      <c r="Y247" s="433"/>
      <c r="Z247" s="130"/>
      <c r="AA247" s="156"/>
    </row>
    <row r="248" spans="1:27" ht="14.1" customHeight="1" thickBot="1">
      <c r="A248" s="146">
        <v>32</v>
      </c>
      <c r="B248" s="282"/>
      <c r="C248" s="169"/>
      <c r="D248" s="169"/>
      <c r="E248" s="169"/>
      <c r="F248" s="169"/>
      <c r="G248" s="169"/>
      <c r="H248" s="169"/>
      <c r="I248" s="169"/>
      <c r="J248" s="169"/>
      <c r="K248" s="169"/>
      <c r="L248" s="169"/>
      <c r="M248" s="283"/>
      <c r="O248" s="431"/>
      <c r="P248" s="432" t="s">
        <v>286</v>
      </c>
      <c r="Q248" s="435"/>
      <c r="R248" s="435"/>
      <c r="S248" s="435"/>
      <c r="T248" s="154"/>
      <c r="U248" s="434" t="str">
        <f t="shared" ref="U248:U251" si="38">IF(Q249="","",ABS(Q249-Q$253)/Q$253)</f>
        <v/>
      </c>
      <c r="V248" s="434" t="str">
        <f t="shared" ref="V248:V251" si="39">IF(R249="","",ABS(R249-R$253)/R$253)</f>
        <v/>
      </c>
      <c r="W248" s="434" t="str">
        <f t="shared" ref="W248:W251" si="40">IF(S249="","",ABS(S249-S$253)/S$253)</f>
        <v/>
      </c>
      <c r="X248" s="154"/>
      <c r="Y248" s="433"/>
    </row>
    <row r="249" spans="1:27" ht="14.1" customHeight="1" thickBot="1">
      <c r="A249" s="146">
        <v>33</v>
      </c>
      <c r="B249" s="194"/>
      <c r="C249" s="117" t="s">
        <v>284</v>
      </c>
      <c r="M249" s="197"/>
      <c r="O249" s="431"/>
      <c r="P249" s="145" t="s">
        <v>288</v>
      </c>
      <c r="Q249" s="436"/>
      <c r="R249" s="436"/>
      <c r="S249" s="436"/>
      <c r="T249" s="154"/>
      <c r="U249" s="434" t="str">
        <f t="shared" si="38"/>
        <v/>
      </c>
      <c r="V249" s="434" t="str">
        <f t="shared" si="39"/>
        <v/>
      </c>
      <c r="W249" s="434" t="str">
        <f t="shared" si="40"/>
        <v/>
      </c>
      <c r="X249" s="154"/>
      <c r="Y249" s="433"/>
    </row>
    <row r="250" spans="1:27" ht="14.1" customHeight="1">
      <c r="A250" s="146">
        <v>34</v>
      </c>
      <c r="B250" s="194"/>
      <c r="C250" s="437" t="s">
        <v>62</v>
      </c>
      <c r="D250" s="273" t="str">
        <f t="shared" ref="D250:D251" si="41">IF(Q245="","",Q245)</f>
        <v>/-</v>
      </c>
      <c r="E250" s="273" t="str">
        <f t="shared" ref="E250:E251" si="42">IF(R245="","",R245)</f>
        <v>/-</v>
      </c>
      <c r="F250" s="274" t="str">
        <f t="shared" ref="F250:F251" si="43">IF(S245="","",S245)</f>
        <v>/-</v>
      </c>
      <c r="H250" s="757" t="s">
        <v>285</v>
      </c>
      <c r="I250" s="758"/>
      <c r="J250" s="759"/>
      <c r="M250" s="197"/>
      <c r="O250" s="431"/>
      <c r="P250" s="145" t="s">
        <v>289</v>
      </c>
      <c r="Q250" s="436"/>
      <c r="R250" s="436"/>
      <c r="S250" s="436"/>
      <c r="T250" s="154"/>
      <c r="U250" s="434" t="str">
        <f t="shared" si="38"/>
        <v/>
      </c>
      <c r="V250" s="434" t="str">
        <f t="shared" si="39"/>
        <v/>
      </c>
      <c r="W250" s="434" t="str">
        <f t="shared" si="40"/>
        <v/>
      </c>
      <c r="X250" s="154"/>
      <c r="Y250" s="433"/>
    </row>
    <row r="251" spans="1:27" ht="14.1" customHeight="1">
      <c r="A251" s="146">
        <v>35</v>
      </c>
      <c r="B251" s="194"/>
      <c r="C251" s="438" t="s">
        <v>258</v>
      </c>
      <c r="D251" s="135" t="str">
        <f t="shared" si="41"/>
        <v/>
      </c>
      <c r="E251" s="135" t="str">
        <f t="shared" si="42"/>
        <v/>
      </c>
      <c r="F251" s="276" t="str">
        <f t="shared" si="43"/>
        <v/>
      </c>
      <c r="H251" s="275" t="str">
        <f t="shared" ref="H251" si="44">IF(U246="","",U246)</f>
        <v>/-</v>
      </c>
      <c r="I251" s="135" t="str">
        <f t="shared" ref="I251" si="45">IF(V246="","",V246)</f>
        <v>/-</v>
      </c>
      <c r="J251" s="276" t="str">
        <f t="shared" ref="J251" si="46">IF(W246="","",W246)</f>
        <v>/-</v>
      </c>
      <c r="M251" s="197"/>
      <c r="O251" s="431"/>
      <c r="P251" s="145" t="s">
        <v>291</v>
      </c>
      <c r="Q251" s="436"/>
      <c r="R251" s="436"/>
      <c r="S251" s="436"/>
      <c r="T251" s="154"/>
      <c r="U251" s="434" t="str">
        <f t="shared" si="38"/>
        <v/>
      </c>
      <c r="V251" s="434" t="str">
        <f t="shared" si="39"/>
        <v/>
      </c>
      <c r="W251" s="434" t="str">
        <f t="shared" si="40"/>
        <v/>
      </c>
      <c r="X251" s="154"/>
      <c r="Y251" s="433"/>
    </row>
    <row r="252" spans="1:27" ht="14.1" customHeight="1">
      <c r="A252" s="146">
        <v>36</v>
      </c>
      <c r="B252" s="194"/>
      <c r="C252" s="438" t="s">
        <v>63</v>
      </c>
      <c r="D252" s="135" t="str">
        <f t="shared" ref="D252:D260" si="47">IF(Q247="","",Q247)</f>
        <v/>
      </c>
      <c r="E252" s="135" t="str">
        <f t="shared" ref="E252:E260" si="48">IF(R247="","",R247)</f>
        <v/>
      </c>
      <c r="F252" s="276" t="str">
        <f t="shared" ref="F252:F260" si="49">IF(S247="","",S247)</f>
        <v/>
      </c>
      <c r="H252" s="439" t="str">
        <f t="shared" ref="H252:J256" si="50">IF(U247="","",U247)</f>
        <v/>
      </c>
      <c r="I252" s="440" t="str">
        <f t="shared" si="50"/>
        <v/>
      </c>
      <c r="J252" s="441" t="str">
        <f t="shared" si="50"/>
        <v/>
      </c>
      <c r="M252" s="197"/>
      <c r="O252" s="431"/>
      <c r="P252" s="145" t="s">
        <v>295</v>
      </c>
      <c r="Q252" s="436"/>
      <c r="R252" s="436"/>
      <c r="S252" s="436"/>
      <c r="T252" s="154"/>
      <c r="U252" s="154"/>
      <c r="V252" s="154"/>
      <c r="W252" s="154"/>
      <c r="X252" s="154"/>
      <c r="Y252" s="433"/>
    </row>
    <row r="253" spans="1:27" ht="14.1" customHeight="1">
      <c r="A253" s="146">
        <v>37</v>
      </c>
      <c r="B253" s="194"/>
      <c r="C253" s="438" t="s">
        <v>286</v>
      </c>
      <c r="D253" s="407" t="str">
        <f t="shared" si="47"/>
        <v/>
      </c>
      <c r="E253" s="135" t="str">
        <f t="shared" si="48"/>
        <v/>
      </c>
      <c r="F253" s="276" t="str">
        <f t="shared" si="49"/>
        <v/>
      </c>
      <c r="H253" s="439" t="str">
        <f t="shared" si="50"/>
        <v/>
      </c>
      <c r="I253" s="440" t="str">
        <f t="shared" si="50"/>
        <v/>
      </c>
      <c r="J253" s="441" t="str">
        <f t="shared" si="50"/>
        <v/>
      </c>
      <c r="M253" s="197"/>
      <c r="O253" s="431"/>
      <c r="P253" s="145" t="s">
        <v>297</v>
      </c>
      <c r="Q253" s="314" t="str">
        <f>IF(Q248="","",AVERAGE(Q248:Q252))</f>
        <v/>
      </c>
      <c r="R253" s="314" t="str">
        <f>IF(R248="","",AVERAGE(R248:R252))</f>
        <v/>
      </c>
      <c r="S253" s="314" t="str">
        <f>IF(S248="","",AVERAGE(S248:S252))</f>
        <v/>
      </c>
      <c r="T253" s="154"/>
      <c r="U253" s="154"/>
      <c r="V253" s="154"/>
      <c r="W253" s="154"/>
      <c r="X253" s="154"/>
      <c r="Y253" s="433"/>
    </row>
    <row r="254" spans="1:27" ht="14.1" customHeight="1">
      <c r="A254" s="146">
        <v>38</v>
      </c>
      <c r="B254" s="194"/>
      <c r="C254" s="438" t="s">
        <v>288</v>
      </c>
      <c r="D254" s="407" t="str">
        <f t="shared" si="47"/>
        <v/>
      </c>
      <c r="E254" s="135" t="str">
        <f t="shared" si="48"/>
        <v/>
      </c>
      <c r="F254" s="276" t="str">
        <f t="shared" si="49"/>
        <v/>
      </c>
      <c r="H254" s="439" t="str">
        <f t="shared" si="50"/>
        <v/>
      </c>
      <c r="I254" s="440" t="str">
        <f t="shared" si="50"/>
        <v/>
      </c>
      <c r="J254" s="441" t="str">
        <f t="shared" si="50"/>
        <v/>
      </c>
      <c r="M254" s="197"/>
      <c r="O254" s="431"/>
      <c r="P254" s="145" t="s">
        <v>299</v>
      </c>
      <c r="Q254" s="442" t="str">
        <f>IF(U247="","",MAX(U247:U251))</f>
        <v/>
      </c>
      <c r="R254" s="442" t="str">
        <f t="shared" ref="R254:S254" si="51">IF(V247="","",MAX(V247:V251))</f>
        <v/>
      </c>
      <c r="S254" s="442" t="str">
        <f t="shared" si="51"/>
        <v/>
      </c>
      <c r="T254" s="154"/>
      <c r="U254" s="154"/>
      <c r="V254" s="154"/>
      <c r="W254" s="154"/>
      <c r="X254" s="154"/>
      <c r="Y254" s="433"/>
    </row>
    <row r="255" spans="1:27" ht="14.1" customHeight="1">
      <c r="A255" s="146">
        <v>39</v>
      </c>
      <c r="B255" s="194"/>
      <c r="C255" s="438" t="s">
        <v>289</v>
      </c>
      <c r="D255" s="407" t="str">
        <f t="shared" si="47"/>
        <v/>
      </c>
      <c r="E255" s="135" t="str">
        <f t="shared" si="48"/>
        <v/>
      </c>
      <c r="F255" s="276" t="str">
        <f t="shared" si="49"/>
        <v/>
      </c>
      <c r="H255" s="439" t="str">
        <f t="shared" si="50"/>
        <v/>
      </c>
      <c r="I255" s="440" t="str">
        <f t="shared" si="50"/>
        <v/>
      </c>
      <c r="J255" s="441" t="str">
        <f t="shared" si="50"/>
        <v/>
      </c>
      <c r="M255" s="197"/>
      <c r="O255" s="431"/>
      <c r="Q255" s="263" t="str">
        <f>IF(Q254="","",IF(Q254&lt;=0.07,"Pass","Fail"))</f>
        <v/>
      </c>
      <c r="R255" s="263" t="str">
        <f t="shared" ref="R255:S255" si="52">IF(R254="","",IF(R254&lt;=0.07,"Pass","Fail"))</f>
        <v/>
      </c>
      <c r="S255" s="263" t="str">
        <f t="shared" si="52"/>
        <v/>
      </c>
      <c r="T255" s="154"/>
      <c r="U255" s="154"/>
      <c r="V255" s="154"/>
      <c r="W255" s="154"/>
      <c r="X255" s="154"/>
      <c r="Y255" s="433"/>
    </row>
    <row r="256" spans="1:27" ht="14.1" customHeight="1" thickBot="1">
      <c r="A256" s="146">
        <v>40</v>
      </c>
      <c r="B256" s="194"/>
      <c r="C256" s="438" t="s">
        <v>291</v>
      </c>
      <c r="D256" s="407" t="str">
        <f t="shared" si="47"/>
        <v/>
      </c>
      <c r="E256" s="135" t="str">
        <f t="shared" si="48"/>
        <v/>
      </c>
      <c r="F256" s="276" t="str">
        <f t="shared" si="49"/>
        <v/>
      </c>
      <c r="H256" s="443" t="str">
        <f t="shared" si="50"/>
        <v/>
      </c>
      <c r="I256" s="444" t="str">
        <f t="shared" si="50"/>
        <v/>
      </c>
      <c r="J256" s="445" t="str">
        <f t="shared" si="50"/>
        <v/>
      </c>
      <c r="M256" s="197"/>
      <c r="O256" s="431"/>
      <c r="P256" s="234" t="s">
        <v>193</v>
      </c>
      <c r="Q256" s="156" t="str">
        <f>IF(R18="B.brilliant", "Maximum deviation from average is &lt;= 5%", "Maximum deviation from average is &lt;= 7%")</f>
        <v>Maximum deviation from average is &lt;= 7%</v>
      </c>
      <c r="T256" s="154"/>
      <c r="U256" s="154"/>
      <c r="V256" s="154"/>
      <c r="W256" s="154"/>
      <c r="X256" s="154"/>
      <c r="Y256" s="433"/>
    </row>
    <row r="257" spans="1:33" ht="14.1" customHeight="1" thickBot="1">
      <c r="A257" s="146">
        <v>41</v>
      </c>
      <c r="B257" s="194"/>
      <c r="C257" s="438" t="s">
        <v>295</v>
      </c>
      <c r="D257" s="407" t="str">
        <f t="shared" si="47"/>
        <v/>
      </c>
      <c r="E257" s="135" t="str">
        <f t="shared" si="48"/>
        <v/>
      </c>
      <c r="F257" s="276" t="str">
        <f t="shared" si="49"/>
        <v/>
      </c>
      <c r="M257" s="197"/>
      <c r="O257" s="423"/>
      <c r="P257" s="357"/>
      <c r="Q257" s="357"/>
      <c r="R257" s="357"/>
      <c r="S257" s="357"/>
      <c r="T257" s="357"/>
      <c r="U257" s="357"/>
      <c r="V257" s="357"/>
      <c r="W257" s="357"/>
      <c r="X257" s="357"/>
      <c r="Y257" s="424"/>
    </row>
    <row r="258" spans="1:33" ht="14.1" customHeight="1">
      <c r="A258" s="146">
        <v>42</v>
      </c>
      <c r="B258" s="194"/>
      <c r="C258" s="438" t="s">
        <v>297</v>
      </c>
      <c r="D258" s="407" t="str">
        <f t="shared" si="47"/>
        <v/>
      </c>
      <c r="E258" s="135" t="str">
        <f t="shared" si="48"/>
        <v/>
      </c>
      <c r="F258" s="276" t="str">
        <f t="shared" si="49"/>
        <v/>
      </c>
      <c r="M258" s="197"/>
      <c r="O258" s="260" t="s">
        <v>533</v>
      </c>
      <c r="P258" s="151"/>
      <c r="Q258" s="151"/>
      <c r="R258" s="151"/>
      <c r="S258" s="151"/>
      <c r="T258" s="151"/>
      <c r="U258" s="151"/>
      <c r="V258" s="151"/>
      <c r="W258" s="151"/>
      <c r="X258" s="151"/>
      <c r="Y258" s="152"/>
    </row>
    <row r="259" spans="1:33" ht="14.1" customHeight="1" thickBot="1">
      <c r="A259" s="146">
        <v>43</v>
      </c>
      <c r="B259" s="194"/>
      <c r="C259" s="446" t="s">
        <v>299</v>
      </c>
      <c r="D259" s="426" t="str">
        <f t="shared" si="47"/>
        <v/>
      </c>
      <c r="E259" s="426" t="str">
        <f t="shared" si="48"/>
        <v/>
      </c>
      <c r="F259" s="427" t="str">
        <f t="shared" si="49"/>
        <v/>
      </c>
      <c r="M259" s="197"/>
      <c r="O259" s="159"/>
      <c r="P259" s="136" t="s">
        <v>287</v>
      </c>
      <c r="Q259" s="447"/>
      <c r="S259" s="136" t="s">
        <v>163</v>
      </c>
      <c r="T259" s="261">
        <v>28</v>
      </c>
      <c r="V259" s="154"/>
      <c r="W259" s="154"/>
      <c r="Y259" s="161"/>
      <c r="AA259" s="154"/>
    </row>
    <row r="260" spans="1:33" ht="14.1" customHeight="1" thickBot="1">
      <c r="A260" s="146">
        <v>44</v>
      </c>
      <c r="B260" s="194"/>
      <c r="D260" s="268" t="str">
        <f t="shared" si="47"/>
        <v/>
      </c>
      <c r="E260" s="268" t="str">
        <f t="shared" si="48"/>
        <v/>
      </c>
      <c r="F260" s="268" t="str">
        <f t="shared" si="49"/>
        <v/>
      </c>
      <c r="M260" s="197"/>
      <c r="O260" s="159"/>
      <c r="P260" s="136" t="s">
        <v>85</v>
      </c>
      <c r="Q260" s="261" t="s">
        <v>227</v>
      </c>
      <c r="S260" s="136" t="s">
        <v>166</v>
      </c>
      <c r="T260" s="261">
        <v>100</v>
      </c>
      <c r="Y260" s="161"/>
      <c r="AA260" s="154"/>
      <c r="AD260" s="130"/>
      <c r="AE260" s="130"/>
      <c r="AF260" s="130"/>
      <c r="AG260" s="130"/>
    </row>
    <row r="261" spans="1:33" ht="14.1" customHeight="1">
      <c r="A261" s="146">
        <v>45</v>
      </c>
      <c r="B261" s="194"/>
      <c r="C261" s="234" t="s">
        <v>193</v>
      </c>
      <c r="D261" s="156" t="s">
        <v>302</v>
      </c>
      <c r="M261" s="197"/>
      <c r="O261" s="159"/>
      <c r="S261" s="130" t="s">
        <v>264</v>
      </c>
      <c r="U261" s="118" t="s">
        <v>290</v>
      </c>
      <c r="Y261" s="161"/>
      <c r="AA261" s="154"/>
    </row>
    <row r="262" spans="1:33" ht="14.1" customHeight="1" thickBot="1">
      <c r="A262" s="146">
        <v>46</v>
      </c>
      <c r="B262" s="282"/>
      <c r="C262" s="169"/>
      <c r="D262" s="169"/>
      <c r="E262" s="169"/>
      <c r="F262" s="169"/>
      <c r="G262" s="169"/>
      <c r="H262" s="169"/>
      <c r="I262" s="169"/>
      <c r="J262" s="169"/>
      <c r="K262" s="169"/>
      <c r="L262" s="169"/>
      <c r="M262" s="283"/>
      <c r="O262" s="431"/>
      <c r="Q262" s="130" t="s">
        <v>63</v>
      </c>
      <c r="R262" s="130" t="s">
        <v>273</v>
      </c>
      <c r="S262" s="130" t="s">
        <v>265</v>
      </c>
      <c r="T262" s="130" t="s">
        <v>292</v>
      </c>
      <c r="U262" s="130" t="s">
        <v>293</v>
      </c>
      <c r="W262" s="136" t="s">
        <v>294</v>
      </c>
      <c r="X262" s="140" t="e">
        <f>IF($T$259="","",$T$259*HLOOKUP($Q$260,Tables!$B$83:$D$85,2,FALSE)+HLOOKUP(Sheet1!$Q$260,Tables!$B$83:$D$85,3,FALSE))</f>
        <v>#N/A</v>
      </c>
      <c r="Y262" s="161"/>
      <c r="AA262" s="154"/>
    </row>
    <row r="263" spans="1:33" ht="14.1" customHeight="1">
      <c r="A263" s="146">
        <v>47</v>
      </c>
      <c r="B263" s="194"/>
      <c r="C263" s="117" t="str">
        <f>O258</f>
        <v>Mean Glandular Dose - 2D</v>
      </c>
      <c r="M263" s="197"/>
      <c r="O263" s="431"/>
      <c r="Q263" s="322">
        <f>P232</f>
        <v>0</v>
      </c>
      <c r="R263" s="322">
        <f>R232</f>
        <v>0</v>
      </c>
      <c r="S263" s="277"/>
      <c r="T263" s="448">
        <f>IF(Q263="","",Q263/$T$260)</f>
        <v>0</v>
      </c>
      <c r="U263" s="373" t="e">
        <f>IF(Q263="","",($T$259*HLOOKUP($Q$260,Tables!$B$70:$D$72,2,FALSE)+HLOOKUP(Sheet1!$Q$260,Tables!$B$70:$D$72,3,FALSE))*Q263)</f>
        <v>#N/A</v>
      </c>
      <c r="W263" s="136" t="s">
        <v>296</v>
      </c>
      <c r="X263" s="140" t="e">
        <f>IF(U267="","",U267)</f>
        <v>#N/A</v>
      </c>
      <c r="Y263" s="161"/>
      <c r="AA263" s="154"/>
    </row>
    <row r="264" spans="1:33" ht="14.1" customHeight="1">
      <c r="A264" s="146">
        <v>48</v>
      </c>
      <c r="B264" s="194"/>
      <c r="C264" s="136" t="s">
        <v>287</v>
      </c>
      <c r="D264" s="195" t="str">
        <f>IF(Q259="","",Q259)</f>
        <v/>
      </c>
      <c r="F264" s="136" t="s">
        <v>163</v>
      </c>
      <c r="G264" s="196">
        <f>IF(T259="","",T259)</f>
        <v>28</v>
      </c>
      <c r="M264" s="197"/>
      <c r="O264" s="431"/>
      <c r="Q264" s="322">
        <f t="shared" ref="Q264:Q266" si="53">P233</f>
        <v>0</v>
      </c>
      <c r="R264" s="322">
        <f t="shared" ref="R264:R266" si="54">R233</f>
        <v>0</v>
      </c>
      <c r="S264" s="277"/>
      <c r="T264" s="448">
        <f>IF(Q264="","",Q264/$T$260)</f>
        <v>0</v>
      </c>
      <c r="U264" s="373" t="e">
        <f>IF(Q264="","",($T$259*HLOOKUP($Q$260,Tables!$B$70:$D$72,2,FALSE)+HLOOKUP(Sheet1!$Q$260,Tables!$B$70:$D$72,3,FALSE))*Q264)</f>
        <v>#N/A</v>
      </c>
      <c r="W264" s="136" t="s">
        <v>298</v>
      </c>
      <c r="X264" s="449" t="e">
        <f>IF($Q$260="","",HLOOKUP($Q$260,Tables!$A$88:$F$89,2))</f>
        <v>#N/A</v>
      </c>
      <c r="Y264" s="161"/>
      <c r="AA264" s="154"/>
    </row>
    <row r="265" spans="1:33" ht="14.1" customHeight="1">
      <c r="A265" s="146">
        <v>49</v>
      </c>
      <c r="B265" s="194"/>
      <c r="C265" s="136" t="s">
        <v>85</v>
      </c>
      <c r="D265" s="196" t="str">
        <f>IF(Q260="","",Q260)</f>
        <v>W/Rh</v>
      </c>
      <c r="F265" s="136" t="s">
        <v>166</v>
      </c>
      <c r="G265" s="196">
        <f>IF(T260="","",T260)</f>
        <v>100</v>
      </c>
      <c r="M265" s="197"/>
      <c r="O265" s="431"/>
      <c r="Q265" s="322">
        <f t="shared" si="53"/>
        <v>0</v>
      </c>
      <c r="R265" s="322">
        <f t="shared" si="54"/>
        <v>0</v>
      </c>
      <c r="S265" s="277"/>
      <c r="T265" s="448">
        <f>IF(Q265="","",Q265/$T$260)</f>
        <v>0</v>
      </c>
      <c r="U265" s="373" t="e">
        <f>IF(Q265="","",($T$259*HLOOKUP($Q$260,Tables!$B$70:$D$72,2,FALSE)+HLOOKUP(Sheet1!$Q$260,Tables!$B$70:$D$72,3,FALSE))*Q265)</f>
        <v>#N/A</v>
      </c>
      <c r="W265" s="136" t="s">
        <v>300</v>
      </c>
      <c r="X265" s="269" t="e">
        <f>IF(ESE="","",Tables!K58)</f>
        <v>#N/A</v>
      </c>
      <c r="Y265" s="161"/>
      <c r="AA265" s="154"/>
    </row>
    <row r="266" spans="1:33" ht="14.1" customHeight="1">
      <c r="A266" s="146">
        <v>50</v>
      </c>
      <c r="B266" s="194"/>
      <c r="F266" s="130" t="s">
        <v>264</v>
      </c>
      <c r="H266" s="118" t="s">
        <v>290</v>
      </c>
      <c r="M266" s="197"/>
      <c r="O266" s="431"/>
      <c r="Q266" s="322">
        <f t="shared" si="53"/>
        <v>0</v>
      </c>
      <c r="R266" s="322">
        <f t="shared" si="54"/>
        <v>0</v>
      </c>
      <c r="S266" s="277"/>
      <c r="T266" s="448">
        <f>IF(Q266="","",Q266/$T$260)</f>
        <v>0</v>
      </c>
      <c r="U266" s="373" t="e">
        <f>IF(Q266="","",($T$259*HLOOKUP($Q$260,Tables!$B$70:$D$72,2,FALSE)+HLOOKUP(Sheet1!$Q$260,Tables!$B$70:$D$72,3,FALSE))*Q266)</f>
        <v>#N/A</v>
      </c>
      <c r="W266" s="136" t="s">
        <v>301</v>
      </c>
      <c r="X266" s="450" t="str">
        <f>IF(AB85="","",AB85)</f>
        <v/>
      </c>
      <c r="Y266" s="161"/>
      <c r="AA266" s="154"/>
    </row>
    <row r="267" spans="1:33" ht="14.1" customHeight="1" thickBot="1">
      <c r="A267" s="146">
        <v>51</v>
      </c>
      <c r="B267" s="194"/>
      <c r="C267" s="130"/>
      <c r="D267" s="130" t="s">
        <v>63</v>
      </c>
      <c r="E267" s="130" t="s">
        <v>273</v>
      </c>
      <c r="F267" s="130" t="s">
        <v>265</v>
      </c>
      <c r="G267" s="130" t="s">
        <v>292</v>
      </c>
      <c r="H267" s="130" t="s">
        <v>293</v>
      </c>
      <c r="J267" s="136" t="s">
        <v>294</v>
      </c>
      <c r="K267" s="269" t="e">
        <f t="shared" ref="K267:K272" si="55">IF(X262="","",X262)</f>
        <v>#N/A</v>
      </c>
      <c r="M267" s="197"/>
      <c r="O267" s="431"/>
      <c r="P267" s="136" t="s">
        <v>261</v>
      </c>
      <c r="Q267" s="314">
        <f>IF(OR(Q263="",Q264="",Q265="",Q266=""),"",AVERAGE(Q263:Q266))</f>
        <v>0</v>
      </c>
      <c r="R267" s="451">
        <f>IF(OR(R263="",R264="",R265="",R266=""),"",AVERAGE(R263:R266))</f>
        <v>0</v>
      </c>
      <c r="S267" s="389" t="str">
        <f>IF(OR(S263="",S264="",S265="",S266=""),"",AVERAGE(S263:S266))</f>
        <v/>
      </c>
      <c r="T267" s="133">
        <f>IF(OR(T263="",T264="",T265="",T266=""),"",AVERAGE(T263:T266))</f>
        <v>0</v>
      </c>
      <c r="U267" s="452" t="e">
        <f>IF(OR(U263="",U264="",U265="",U266=""),"",AVERAGE(U263:U266))</f>
        <v>#N/A</v>
      </c>
      <c r="W267" s="136" t="s">
        <v>303</v>
      </c>
      <c r="X267" s="453" t="e">
        <f>IF(OR(X265="",X266=""),"",(X265-X266)/X266)</f>
        <v>#N/A</v>
      </c>
      <c r="Y267" s="161"/>
    </row>
    <row r="268" spans="1:33" ht="14.1" customHeight="1">
      <c r="A268" s="146">
        <v>52</v>
      </c>
      <c r="B268" s="194"/>
      <c r="D268" s="405">
        <f t="shared" ref="D268:H273" si="56">IF(Q263="","",Q263)</f>
        <v>0</v>
      </c>
      <c r="E268" s="383">
        <f t="shared" si="56"/>
        <v>0</v>
      </c>
      <c r="F268" s="127" t="str">
        <f t="shared" si="56"/>
        <v/>
      </c>
      <c r="G268" s="454">
        <f t="shared" si="56"/>
        <v>0</v>
      </c>
      <c r="H268" s="455" t="e">
        <f t="shared" si="56"/>
        <v>#N/A</v>
      </c>
      <c r="J268" s="136" t="s">
        <v>296</v>
      </c>
      <c r="K268" s="270" t="e">
        <f t="shared" si="55"/>
        <v>#N/A</v>
      </c>
      <c r="M268" s="197"/>
      <c r="O268" s="431"/>
      <c r="P268" s="136" t="s">
        <v>263</v>
      </c>
      <c r="Q268" s="434" t="e">
        <f>IF(Q267="","",_xlfn.STDEV.S(Q263:Q266)/Q267)</f>
        <v>#DIV/0!</v>
      </c>
      <c r="R268" s="434" t="e">
        <f>IF(R267="","",_xlfn.STDEV.S(R263:R266)/R267)</f>
        <v>#DIV/0!</v>
      </c>
      <c r="S268" s="434" t="str">
        <f>IF(S267="","",_xlfn.STDEV.S(S263:S266)/S267)</f>
        <v/>
      </c>
      <c r="T268" s="434" t="e">
        <f>IF(T267="","",_xlfn.STDEV.S(T263:T266)/T267)</f>
        <v>#DIV/0!</v>
      </c>
      <c r="U268" s="434" t="e">
        <f>IF(U267="","",_xlfn.STDEV.S(U263:U266)/U267)</f>
        <v>#N/A</v>
      </c>
      <c r="W268" s="154"/>
      <c r="X268" s="154"/>
      <c r="Y268" s="161"/>
    </row>
    <row r="269" spans="1:33" ht="14.1" customHeight="1">
      <c r="A269" s="146">
        <v>53</v>
      </c>
      <c r="B269" s="194"/>
      <c r="D269" s="409">
        <f t="shared" si="56"/>
        <v>0</v>
      </c>
      <c r="E269" s="314">
        <f t="shared" si="56"/>
        <v>0</v>
      </c>
      <c r="F269" s="122" t="str">
        <f t="shared" si="56"/>
        <v/>
      </c>
      <c r="G269" s="133">
        <f t="shared" si="56"/>
        <v>0</v>
      </c>
      <c r="H269" s="456" t="e">
        <f t="shared" si="56"/>
        <v>#N/A</v>
      </c>
      <c r="J269" s="136" t="s">
        <v>298</v>
      </c>
      <c r="K269" s="457" t="e">
        <f t="shared" si="55"/>
        <v>#N/A</v>
      </c>
      <c r="M269" s="197"/>
      <c r="O269" s="159"/>
      <c r="P269" s="234" t="s">
        <v>193</v>
      </c>
      <c r="Q269" s="156" t="s">
        <v>749</v>
      </c>
      <c r="W269" s="136" t="s">
        <v>305</v>
      </c>
      <c r="X269" s="453" t="e">
        <f>IF(X265="","",(X265-S267)/S267)</f>
        <v>#N/A</v>
      </c>
      <c r="Y269" s="161"/>
    </row>
    <row r="270" spans="1:33" ht="14.1" customHeight="1">
      <c r="A270" s="146">
        <v>54</v>
      </c>
      <c r="B270" s="194"/>
      <c r="D270" s="409">
        <f t="shared" si="56"/>
        <v>0</v>
      </c>
      <c r="E270" s="314">
        <f t="shared" si="56"/>
        <v>0</v>
      </c>
      <c r="F270" s="122" t="str">
        <f t="shared" si="56"/>
        <v/>
      </c>
      <c r="G270" s="133">
        <f t="shared" si="56"/>
        <v>0</v>
      </c>
      <c r="H270" s="456" t="e">
        <f t="shared" si="56"/>
        <v>#N/A</v>
      </c>
      <c r="J270" s="136" t="s">
        <v>300</v>
      </c>
      <c r="K270" s="270" t="e">
        <f t="shared" si="55"/>
        <v>#N/A</v>
      </c>
      <c r="M270" s="197"/>
      <c r="O270" s="159"/>
      <c r="P270" s="156"/>
      <c r="Q270" s="156" t="s">
        <v>482</v>
      </c>
      <c r="W270" s="136" t="s">
        <v>307</v>
      </c>
      <c r="X270" s="449" t="e">
        <f>IF(OR(X265="",Q267=""),"",3/(X265/Q267))</f>
        <v>#N/A</v>
      </c>
      <c r="Y270" s="161"/>
    </row>
    <row r="271" spans="1:33" ht="14.1" customHeight="1" thickBot="1">
      <c r="A271" s="146">
        <v>55</v>
      </c>
      <c r="B271" s="194"/>
      <c r="D271" s="458">
        <f t="shared" si="56"/>
        <v>0</v>
      </c>
      <c r="E271" s="459">
        <f t="shared" si="56"/>
        <v>0</v>
      </c>
      <c r="F271" s="125" t="str">
        <f t="shared" si="56"/>
        <v/>
      </c>
      <c r="G271" s="460">
        <f t="shared" si="56"/>
        <v>0</v>
      </c>
      <c r="H271" s="461" t="e">
        <f t="shared" si="56"/>
        <v>#N/A</v>
      </c>
      <c r="J271" s="136" t="s">
        <v>301</v>
      </c>
      <c r="K271" s="270" t="str">
        <f t="shared" si="55"/>
        <v/>
      </c>
      <c r="M271" s="197"/>
      <c r="O271" s="159"/>
      <c r="Y271" s="161"/>
      <c r="Z271" s="271"/>
      <c r="AA271" s="271"/>
      <c r="AB271" s="271"/>
      <c r="AC271" s="271"/>
      <c r="AD271" s="271"/>
      <c r="AE271" s="271"/>
      <c r="AF271" s="271"/>
      <c r="AG271" s="271"/>
    </row>
    <row r="272" spans="1:33" ht="14.1" customHeight="1" thickBot="1">
      <c r="A272" s="146">
        <v>56</v>
      </c>
      <c r="B272" s="194"/>
      <c r="C272" s="136" t="s">
        <v>261</v>
      </c>
      <c r="D272" s="409">
        <f t="shared" si="56"/>
        <v>0</v>
      </c>
      <c r="E272" s="314">
        <f t="shared" si="56"/>
        <v>0</v>
      </c>
      <c r="F272" s="389" t="str">
        <f t="shared" si="56"/>
        <v/>
      </c>
      <c r="G272" s="133">
        <f t="shared" si="56"/>
        <v>0</v>
      </c>
      <c r="H272" s="456" t="e">
        <f t="shared" si="56"/>
        <v>#N/A</v>
      </c>
      <c r="J272" s="136" t="s">
        <v>303</v>
      </c>
      <c r="K272" s="462" t="e">
        <f t="shared" si="55"/>
        <v>#N/A</v>
      </c>
      <c r="M272" s="197"/>
      <c r="O272" s="265" t="s">
        <v>612</v>
      </c>
      <c r="Y272" s="161"/>
      <c r="Z272" s="271"/>
      <c r="AA272" s="271"/>
      <c r="AB272" s="271"/>
      <c r="AC272" s="271"/>
      <c r="AD272" s="271"/>
      <c r="AE272" s="271"/>
      <c r="AF272" s="271"/>
      <c r="AG272" s="271"/>
    </row>
    <row r="273" spans="1:33" ht="14.1" customHeight="1" thickBot="1">
      <c r="A273" s="146">
        <v>57</v>
      </c>
      <c r="B273" s="194"/>
      <c r="C273" s="136" t="s">
        <v>263</v>
      </c>
      <c r="D273" s="410" t="e">
        <f t="shared" si="56"/>
        <v>#DIV/0!</v>
      </c>
      <c r="E273" s="411" t="e">
        <f t="shared" si="56"/>
        <v>#DIV/0!</v>
      </c>
      <c r="F273" s="411" t="str">
        <f t="shared" si="56"/>
        <v/>
      </c>
      <c r="G273" s="411" t="e">
        <f t="shared" si="56"/>
        <v>#DIV/0!</v>
      </c>
      <c r="H273" s="369" t="e">
        <f t="shared" si="56"/>
        <v>#N/A</v>
      </c>
      <c r="M273" s="197"/>
      <c r="O273" s="159"/>
      <c r="P273" s="347" t="s">
        <v>534</v>
      </c>
      <c r="Q273" s="273" t="s">
        <v>258</v>
      </c>
      <c r="R273" s="273" t="s">
        <v>63</v>
      </c>
      <c r="S273" s="273" t="s">
        <v>265</v>
      </c>
      <c r="T273" s="273" t="s">
        <v>573</v>
      </c>
      <c r="U273" s="273" t="s">
        <v>535</v>
      </c>
      <c r="V273" s="274" t="s">
        <v>280</v>
      </c>
      <c r="Y273" s="161"/>
      <c r="Z273" s="271"/>
      <c r="AA273" s="271"/>
      <c r="AB273" s="271"/>
      <c r="AC273" s="271"/>
      <c r="AD273" s="271"/>
      <c r="AE273" s="271"/>
      <c r="AF273" s="271"/>
      <c r="AG273" s="271"/>
    </row>
    <row r="274" spans="1:33" ht="14.1" customHeight="1">
      <c r="A274" s="146">
        <v>58</v>
      </c>
      <c r="B274" s="194"/>
      <c r="C274" s="234" t="s">
        <v>193</v>
      </c>
      <c r="D274" s="156" t="s">
        <v>749</v>
      </c>
      <c r="J274" s="136" t="s">
        <v>305</v>
      </c>
      <c r="K274" s="453" t="e">
        <f>IF(X269="","",X269)</f>
        <v>#N/A</v>
      </c>
      <c r="M274" s="197"/>
      <c r="O274" s="159"/>
      <c r="P274" s="275">
        <v>20</v>
      </c>
      <c r="Q274" s="135">
        <f>IF($R$18="B.brilliant",25,26)</f>
        <v>26</v>
      </c>
      <c r="R274" s="463"/>
      <c r="S274" s="463"/>
      <c r="T274" s="464" t="str">
        <f>IF(AB124="","",AB124)</f>
        <v/>
      </c>
      <c r="U274" s="407" t="e">
        <f>VLOOKUP(P274,Tables!$A$133:$D$136,MATCH(Sheet1!$R$18,Tables!$A$133:$D$133,0))</f>
        <v>#N/A</v>
      </c>
      <c r="V274" s="276" t="str">
        <f>IF(S274="","",IF(S274&lt;=U274, "Pass","Fail"))</f>
        <v/>
      </c>
      <c r="Y274" s="161"/>
      <c r="Z274" s="271"/>
      <c r="AA274" s="271"/>
      <c r="AB274" s="271"/>
      <c r="AC274" s="271"/>
      <c r="AD274" s="271"/>
      <c r="AE274" s="271"/>
      <c r="AF274" s="271"/>
      <c r="AG274" s="271"/>
    </row>
    <row r="275" spans="1:33" ht="14.1" customHeight="1">
      <c r="A275" s="146">
        <v>59</v>
      </c>
      <c r="B275" s="194"/>
      <c r="D275" s="156" t="s">
        <v>306</v>
      </c>
      <c r="J275" s="136" t="s">
        <v>307</v>
      </c>
      <c r="K275" s="449" t="e">
        <f>IF(X270="","",X270)</f>
        <v>#N/A</v>
      </c>
      <c r="M275" s="197"/>
      <c r="O275" s="159"/>
      <c r="P275" s="275">
        <v>40</v>
      </c>
      <c r="Q275" s="135">
        <f>IF($R$18="B.brilliant",26,28)</f>
        <v>28</v>
      </c>
      <c r="R275" s="463"/>
      <c r="S275" s="463"/>
      <c r="T275" s="464" t="str">
        <f>IF(AB125="","",AB125)</f>
        <v/>
      </c>
      <c r="U275" s="407" t="e">
        <f>VLOOKUP(P275,Tables!$A$133:$D$136,MATCH(Sheet1!$R$18,Tables!$A$133:$D$133,0))</f>
        <v>#N/A</v>
      </c>
      <c r="V275" s="276" t="str">
        <f>IF(S275="","",IF(S275&lt;=U275, "Pass","Fail"))</f>
        <v/>
      </c>
      <c r="Y275" s="161"/>
      <c r="Z275" s="271"/>
      <c r="AA275" s="271"/>
      <c r="AB275" s="271"/>
      <c r="AC275" s="271"/>
      <c r="AD275" s="271"/>
      <c r="AE275" s="271"/>
      <c r="AF275" s="271"/>
      <c r="AG275" s="271"/>
    </row>
    <row r="276" spans="1:33" ht="14.1" customHeight="1" thickBot="1">
      <c r="A276" s="146">
        <v>60</v>
      </c>
      <c r="B276" s="194"/>
      <c r="M276" s="197"/>
      <c r="O276" s="159"/>
      <c r="P276" s="279">
        <v>60</v>
      </c>
      <c r="Q276" s="280">
        <f>IF($R$18="B.brilliant",27,30)</f>
        <v>30</v>
      </c>
      <c r="R276" s="465"/>
      <c r="S276" s="465"/>
      <c r="T276" s="466" t="str">
        <f>IF(AB126="","",AB126)</f>
        <v/>
      </c>
      <c r="U276" s="467" t="e">
        <f>VLOOKUP(P276,Tables!$A$133:$D$136,MATCH(Sheet1!$R$18,Tables!$A$133:$D$133,0))</f>
        <v>#N/A</v>
      </c>
      <c r="V276" s="281" t="str">
        <f>IF(S276="","",IF(S276&lt;=U276, "Pass","Fail"))</f>
        <v/>
      </c>
      <c r="Y276" s="161"/>
      <c r="Z276" s="271"/>
      <c r="AA276" s="271"/>
      <c r="AB276" s="271"/>
      <c r="AC276" s="271"/>
      <c r="AD276" s="271"/>
      <c r="AE276" s="271"/>
      <c r="AF276" s="271"/>
      <c r="AG276" s="271"/>
    </row>
    <row r="277" spans="1:33" ht="14.1" customHeight="1" thickBot="1">
      <c r="A277" s="146">
        <v>61</v>
      </c>
      <c r="B277" s="194"/>
      <c r="C277" s="117" t="str">
        <f>O272</f>
        <v>Mean Glandular Dose - Tomo</v>
      </c>
      <c r="J277" s="117" t="str">
        <f>O279</f>
        <v>Mean Glandular Dose - 2D + Tomo</v>
      </c>
      <c r="M277" s="197"/>
      <c r="O277" s="159"/>
      <c r="P277" s="234" t="s">
        <v>193</v>
      </c>
      <c r="Q277" s="156" t="s">
        <v>536</v>
      </c>
      <c r="Y277" s="161"/>
      <c r="Z277" s="271"/>
      <c r="AA277" s="271"/>
      <c r="AB277" s="271"/>
      <c r="AC277" s="271"/>
      <c r="AD277" s="271"/>
      <c r="AE277" s="271"/>
      <c r="AF277" s="271"/>
      <c r="AG277" s="271"/>
    </row>
    <row r="278" spans="1:33" ht="14.1" customHeight="1">
      <c r="A278" s="146">
        <v>62</v>
      </c>
      <c r="B278" s="194"/>
      <c r="C278" s="347" t="s">
        <v>534</v>
      </c>
      <c r="D278" s="273" t="s">
        <v>258</v>
      </c>
      <c r="E278" s="273" t="s">
        <v>63</v>
      </c>
      <c r="F278" s="273" t="s">
        <v>265</v>
      </c>
      <c r="G278" s="273" t="s">
        <v>535</v>
      </c>
      <c r="H278" s="274" t="s">
        <v>280</v>
      </c>
      <c r="J278" s="136"/>
      <c r="K278" s="130"/>
      <c r="M278" s="197" t="s">
        <v>698</v>
      </c>
      <c r="O278" s="468"/>
      <c r="Y278" s="469"/>
      <c r="Z278" s="271"/>
      <c r="AA278" s="271"/>
      <c r="AB278" s="271"/>
      <c r="AC278" s="271"/>
      <c r="AD278" s="271"/>
      <c r="AE278" s="271"/>
      <c r="AF278" s="271"/>
      <c r="AG278" s="271"/>
    </row>
    <row r="279" spans="1:33" ht="14.1" customHeight="1" thickBot="1">
      <c r="A279" s="146">
        <v>63</v>
      </c>
      <c r="B279" s="194"/>
      <c r="C279" s="275">
        <v>20</v>
      </c>
      <c r="D279" s="135">
        <v>26</v>
      </c>
      <c r="E279" s="135" t="str">
        <f t="shared" ref="E279:F281" si="57">IF(R274="","",R274)</f>
        <v/>
      </c>
      <c r="F279" s="135" t="str">
        <f t="shared" si="57"/>
        <v/>
      </c>
      <c r="G279" s="407" t="e">
        <f>IF(U274="","",U274)</f>
        <v>#N/A</v>
      </c>
      <c r="H279" s="276" t="str">
        <f>IF(V274="","",V274)</f>
        <v/>
      </c>
      <c r="K279" s="130" t="s">
        <v>258</v>
      </c>
      <c r="L279" s="130" t="s">
        <v>63</v>
      </c>
      <c r="M279" s="470" t="s">
        <v>598</v>
      </c>
      <c r="O279" s="471" t="s">
        <v>613</v>
      </c>
      <c r="P279" s="136"/>
      <c r="Q279" s="130"/>
      <c r="Y279" s="469"/>
      <c r="Z279" s="271"/>
      <c r="AA279" s="271"/>
      <c r="AB279" s="271"/>
      <c r="AC279" s="271"/>
      <c r="AD279" s="271"/>
      <c r="AE279" s="271"/>
      <c r="AF279" s="271"/>
      <c r="AG279" s="271"/>
    </row>
    <row r="280" spans="1:33" ht="14.1" customHeight="1">
      <c r="A280" s="146">
        <v>64</v>
      </c>
      <c r="B280" s="194"/>
      <c r="C280" s="275">
        <v>40</v>
      </c>
      <c r="D280" s="135">
        <v>28</v>
      </c>
      <c r="E280" s="135" t="str">
        <f t="shared" si="57"/>
        <v/>
      </c>
      <c r="F280" s="135" t="str">
        <f t="shared" si="57"/>
        <v/>
      </c>
      <c r="G280" s="407" t="e">
        <f t="shared" ref="G280:G281" si="58">IF(U275="","",U275)</f>
        <v>#N/A</v>
      </c>
      <c r="H280" s="276" t="str">
        <f>IF(V275="","",V275)</f>
        <v/>
      </c>
      <c r="J280" s="136" t="s">
        <v>595</v>
      </c>
      <c r="K280" s="347">
        <f>IF(Q304="","",Q304)</f>
        <v>28</v>
      </c>
      <c r="L280" s="273" t="str">
        <f>IF(R304="","",R304)</f>
        <v/>
      </c>
      <c r="M280" s="472" t="str">
        <f>IF(T304="","",T304)</f>
        <v/>
      </c>
      <c r="O280" s="468"/>
      <c r="P280" s="117" t="s">
        <v>601</v>
      </c>
      <c r="S280" s="130" t="s">
        <v>264</v>
      </c>
      <c r="U280" s="118" t="s">
        <v>290</v>
      </c>
      <c r="V280" s="130"/>
      <c r="Y280" s="469"/>
      <c r="Z280" s="271"/>
      <c r="AA280" s="271"/>
      <c r="AB280" s="271"/>
      <c r="AC280" s="271"/>
      <c r="AD280" s="271"/>
      <c r="AE280" s="271"/>
      <c r="AF280" s="271"/>
      <c r="AG280" s="271"/>
    </row>
    <row r="281" spans="1:33" ht="14.1" customHeight="1" thickBot="1">
      <c r="A281" s="146">
        <v>65</v>
      </c>
      <c r="B281" s="194"/>
      <c r="C281" s="279">
        <v>60</v>
      </c>
      <c r="D281" s="280">
        <v>30</v>
      </c>
      <c r="E281" s="280" t="str">
        <f t="shared" si="57"/>
        <v/>
      </c>
      <c r="F281" s="280" t="str">
        <f t="shared" si="57"/>
        <v/>
      </c>
      <c r="G281" s="467" t="e">
        <f t="shared" si="58"/>
        <v>#N/A</v>
      </c>
      <c r="H281" s="281" t="str">
        <f>IF(V276="","",V276)</f>
        <v/>
      </c>
      <c r="J281" s="136" t="s">
        <v>596</v>
      </c>
      <c r="K281" s="279">
        <f>IF(Q305="","",Q305)</f>
        <v>28</v>
      </c>
      <c r="L281" s="280" t="str">
        <f>IF(R305="","",R305)</f>
        <v/>
      </c>
      <c r="M281" s="473" t="str">
        <f>IF(T305="","",T305)</f>
        <v/>
      </c>
      <c r="O281" s="468"/>
      <c r="Q281" s="130" t="s">
        <v>63</v>
      </c>
      <c r="R281" s="130" t="s">
        <v>273</v>
      </c>
      <c r="S281" s="130" t="s">
        <v>265</v>
      </c>
      <c r="T281" s="130" t="s">
        <v>292</v>
      </c>
      <c r="U281" s="130" t="s">
        <v>293</v>
      </c>
      <c r="V281" s="130"/>
      <c r="W281" s="136" t="s">
        <v>294</v>
      </c>
      <c r="X281" s="140" t="e">
        <f>IF($T$259="","",$T$259*HLOOKUP($Q$260,Tables!$B$83:$D$85,2,FALSE)+HLOOKUP(Sheet1!$Q$260,Tables!$B$83:$D$85,3,FALSE))</f>
        <v>#N/A</v>
      </c>
      <c r="Y281" s="469"/>
      <c r="Z281" s="271"/>
      <c r="AA281" s="271"/>
      <c r="AB281" s="271"/>
      <c r="AC281" s="271"/>
      <c r="AD281" s="271"/>
      <c r="AE281" s="271"/>
      <c r="AF281" s="271"/>
      <c r="AG281" s="271"/>
    </row>
    <row r="282" spans="1:33" ht="14.1" customHeight="1" thickBot="1">
      <c r="A282" s="146">
        <v>66</v>
      </c>
      <c r="B282" s="194"/>
      <c r="C282" s="234" t="s">
        <v>193</v>
      </c>
      <c r="D282" s="156" t="s">
        <v>536</v>
      </c>
      <c r="L282" s="136" t="s">
        <v>599</v>
      </c>
      <c r="M282" s="474" t="str">
        <f>IF(T306="","",T306)</f>
        <v/>
      </c>
      <c r="O282" s="468"/>
      <c r="Q282" s="277"/>
      <c r="R282" s="277"/>
      <c r="S282" s="277"/>
      <c r="T282" s="448" t="str">
        <f>IF(Q282="","",Q282/$T$260)</f>
        <v/>
      </c>
      <c r="U282" s="373" t="str">
        <f>IF(Q282="","",($T$259*HLOOKUP($Q$260,Tables!$B$70:$D$72,2,FALSE)+HLOOKUP(Sheet1!$Q$260,Tables!$B$70:$D$72,3,FALSE))*Q282)</f>
        <v/>
      </c>
      <c r="W282" s="136" t="s">
        <v>296</v>
      </c>
      <c r="X282" s="140" t="str">
        <f>IF(U286="","",U286)</f>
        <v/>
      </c>
      <c r="Y282" s="469"/>
      <c r="Z282" s="271"/>
      <c r="AA282" s="271"/>
      <c r="AB282" s="271"/>
      <c r="AC282" s="271"/>
      <c r="AD282" s="271"/>
      <c r="AE282" s="271"/>
      <c r="AF282" s="271"/>
      <c r="AG282" s="271"/>
    </row>
    <row r="283" spans="1:33" ht="14.1" customHeight="1" thickBot="1">
      <c r="A283" s="146">
        <v>67</v>
      </c>
      <c r="B283" s="194"/>
      <c r="L283" s="136" t="s">
        <v>207</v>
      </c>
      <c r="M283" s="475" t="str">
        <f>IF(V304="","",V304)</f>
        <v/>
      </c>
      <c r="O283" s="468"/>
      <c r="Q283" s="277"/>
      <c r="R283" s="277"/>
      <c r="S283" s="277"/>
      <c r="T283" s="448" t="str">
        <f>IF(Q283="","",Q283/$T$260)</f>
        <v/>
      </c>
      <c r="U283" s="373" t="str">
        <f>IF(Q283="","",($T$259*HLOOKUP($Q$260,Tables!$B$70:$D$72,2,FALSE)+HLOOKUP(Sheet1!$Q$260,Tables!$B$70:$D$72,3,FALSE))*Q283)</f>
        <v/>
      </c>
      <c r="W283" s="136" t="s">
        <v>298</v>
      </c>
      <c r="X283" s="449" t="e">
        <f>IF($Q$260="","",HLOOKUP($Q$260,Tables!$A$88:$F$89,2))</f>
        <v>#N/A</v>
      </c>
      <c r="Y283" s="469"/>
      <c r="Z283" s="271"/>
      <c r="AA283" s="271"/>
      <c r="AB283" s="271"/>
      <c r="AC283" s="271"/>
      <c r="AD283" s="271"/>
      <c r="AE283" s="271"/>
      <c r="AF283" s="271"/>
      <c r="AG283" s="271"/>
    </row>
    <row r="284" spans="1:33" ht="14.1" customHeight="1">
      <c r="A284" s="146">
        <v>68</v>
      </c>
      <c r="B284" s="194"/>
      <c r="M284" s="197"/>
      <c r="O284" s="468"/>
      <c r="Q284" s="277"/>
      <c r="R284" s="277"/>
      <c r="S284" s="277"/>
      <c r="T284" s="448" t="str">
        <f>IF(Q284="","",Q284/$T$260)</f>
        <v/>
      </c>
      <c r="U284" s="373" t="str">
        <f>IF(Q284="","",($T$259*HLOOKUP($Q$260,Tables!$B$70:$D$72,2,FALSE)+HLOOKUP(Sheet1!$Q$260,Tables!$B$70:$D$72,3,FALSE))*Q284)</f>
        <v/>
      </c>
      <c r="W284" s="136" t="s">
        <v>300</v>
      </c>
      <c r="X284" s="269" t="str">
        <f>IF(X282="","",Tables!K59)</f>
        <v/>
      </c>
      <c r="Y284" s="469"/>
      <c r="Z284" s="271"/>
      <c r="AA284" s="271"/>
      <c r="AB284" s="271"/>
      <c r="AC284" s="271"/>
      <c r="AD284" s="271"/>
      <c r="AE284" s="271"/>
      <c r="AF284" s="271"/>
      <c r="AG284" s="271"/>
    </row>
    <row r="285" spans="1:33" ht="14.1" customHeight="1">
      <c r="A285" s="146">
        <v>69</v>
      </c>
      <c r="B285" s="194"/>
      <c r="M285" s="197"/>
      <c r="O285" s="468"/>
      <c r="Q285" s="277"/>
      <c r="R285" s="277"/>
      <c r="S285" s="277"/>
      <c r="T285" s="448" t="str">
        <f>IF(Q285="","",Q285/$T$260)</f>
        <v/>
      </c>
      <c r="U285" s="373" t="str">
        <f>IF(Q285="","",($T$259*HLOOKUP($Q$260,Tables!$B$70:$D$72,2,FALSE)+HLOOKUP(Sheet1!$Q$260,Tables!$B$70:$D$72,3,FALSE))*Q285)</f>
        <v/>
      </c>
      <c r="W285" s="136" t="s">
        <v>301</v>
      </c>
      <c r="X285" s="450" t="str">
        <f>IF(AB86="","",AB86)</f>
        <v/>
      </c>
      <c r="Y285" s="469"/>
      <c r="Z285" s="271"/>
      <c r="AA285" s="271"/>
      <c r="AB285" s="271"/>
      <c r="AC285" s="271"/>
      <c r="AD285" s="271"/>
      <c r="AE285" s="271"/>
      <c r="AF285" s="271"/>
      <c r="AG285" s="271"/>
    </row>
    <row r="286" spans="1:33" ht="14.1" customHeight="1" thickBot="1">
      <c r="A286" s="146">
        <v>70</v>
      </c>
      <c r="B286" s="205"/>
      <c r="C286" s="206"/>
      <c r="D286" s="206"/>
      <c r="E286" s="206"/>
      <c r="F286" s="206"/>
      <c r="G286" s="206"/>
      <c r="H286" s="206"/>
      <c r="I286" s="206"/>
      <c r="J286" s="206"/>
      <c r="K286" s="206"/>
      <c r="L286" s="206"/>
      <c r="M286" s="207"/>
      <c r="O286" s="468"/>
      <c r="P286" s="136" t="s">
        <v>261</v>
      </c>
      <c r="Q286" s="314" t="str">
        <f t="shared" ref="Q286:U286" si="59">IF(OR(Q282="",Q283="",Q284="",Q285=""),"",AVERAGE(Q282:Q285))</f>
        <v/>
      </c>
      <c r="R286" s="451" t="str">
        <f t="shared" si="59"/>
        <v/>
      </c>
      <c r="S286" s="389" t="str">
        <f t="shared" si="59"/>
        <v/>
      </c>
      <c r="T286" s="133" t="str">
        <f t="shared" si="59"/>
        <v/>
      </c>
      <c r="U286" s="452" t="str">
        <f t="shared" si="59"/>
        <v/>
      </c>
      <c r="V286" s="476"/>
      <c r="W286" s="136" t="s">
        <v>303</v>
      </c>
      <c r="X286" s="453" t="str">
        <f>IF(OR(X284="",X285=""),"",(X284-X285)/X285)</f>
        <v/>
      </c>
      <c r="Y286" s="469"/>
      <c r="Z286" s="271"/>
      <c r="AA286" s="271"/>
      <c r="AB286" s="271"/>
      <c r="AC286" s="271"/>
      <c r="AD286" s="271"/>
      <c r="AE286" s="271"/>
      <c r="AF286" s="271"/>
      <c r="AG286" s="271"/>
    </row>
    <row r="287" spans="1:33" ht="14.1" customHeight="1" thickTop="1">
      <c r="A287" s="146">
        <v>71</v>
      </c>
      <c r="C287" s="230" t="s">
        <v>8</v>
      </c>
      <c r="D287" s="231" t="str">
        <f>IF($P$7="","",$P$7)</f>
        <v/>
      </c>
      <c r="E287" s="156"/>
      <c r="F287" s="156"/>
      <c r="G287" s="156"/>
      <c r="H287" s="156"/>
      <c r="I287" s="156"/>
      <c r="J287" s="156"/>
      <c r="K287" s="156"/>
      <c r="L287" s="230" t="s">
        <v>9</v>
      </c>
      <c r="M287" s="232" t="str">
        <f>IF($X$7="","",$X$7)</f>
        <v>Eugene Mah</v>
      </c>
      <c r="O287" s="468"/>
      <c r="P287" s="136" t="s">
        <v>263</v>
      </c>
      <c r="Q287" s="434" t="str">
        <f t="shared" ref="Q287:U287" si="60">IF(Q286="","",_xlfn.STDEV.S(Q282:Q285)/Q286)</f>
        <v/>
      </c>
      <c r="R287" s="434" t="str">
        <f t="shared" si="60"/>
        <v/>
      </c>
      <c r="S287" s="434" t="str">
        <f t="shared" si="60"/>
        <v/>
      </c>
      <c r="T287" s="434" t="str">
        <f t="shared" si="60"/>
        <v/>
      </c>
      <c r="U287" s="434" t="str">
        <f t="shared" si="60"/>
        <v/>
      </c>
      <c r="V287" s="477"/>
      <c r="W287" s="154"/>
      <c r="X287" s="154"/>
      <c r="Y287" s="469"/>
      <c r="Z287" s="271"/>
      <c r="AA287" s="271"/>
      <c r="AB287" s="271"/>
      <c r="AC287" s="271"/>
      <c r="AD287" s="271"/>
      <c r="AE287" s="271"/>
      <c r="AF287" s="271"/>
      <c r="AG287" s="271"/>
    </row>
    <row r="288" spans="1:33" ht="14.1" customHeight="1">
      <c r="A288" s="146">
        <v>72</v>
      </c>
      <c r="C288" s="230" t="s">
        <v>111</v>
      </c>
      <c r="D288" s="232" t="str">
        <f>IF($R$14="","",$R$14)</f>
        <v/>
      </c>
      <c r="E288" s="156"/>
      <c r="F288" s="156"/>
      <c r="G288" s="156"/>
      <c r="H288" s="156"/>
      <c r="I288" s="156"/>
      <c r="J288" s="156"/>
      <c r="K288" s="156"/>
      <c r="L288" s="230" t="s">
        <v>29</v>
      </c>
      <c r="M288" s="232" t="str">
        <f>IF($R$13="","",$R$13)</f>
        <v/>
      </c>
      <c r="O288" s="468"/>
      <c r="P288" s="234" t="s">
        <v>193</v>
      </c>
      <c r="Q288" s="156" t="s">
        <v>304</v>
      </c>
      <c r="W288" s="136" t="s">
        <v>305</v>
      </c>
      <c r="X288" s="453" t="str">
        <f>IF(X284="","",(X284-S286)/S286)</f>
        <v/>
      </c>
      <c r="Y288" s="469"/>
      <c r="Z288" s="271"/>
      <c r="AA288" s="271"/>
      <c r="AB288" s="271"/>
      <c r="AC288" s="271"/>
      <c r="AD288" s="271"/>
      <c r="AE288" s="271"/>
      <c r="AF288" s="271"/>
      <c r="AG288" s="271"/>
    </row>
    <row r="289" spans="1:33" ht="14.1" customHeight="1">
      <c r="A289" s="146">
        <v>1</v>
      </c>
      <c r="M289" s="233" t="str">
        <f>$H$2</f>
        <v>Medical University of South Carolina</v>
      </c>
      <c r="O289" s="468"/>
      <c r="P289" s="156"/>
      <c r="Q289" s="156" t="s">
        <v>482</v>
      </c>
      <c r="W289" s="136" t="s">
        <v>307</v>
      </c>
      <c r="X289" s="449" t="str">
        <f>IF(OR(X284="",Q286=""),"",3/(X284/Q286))</f>
        <v/>
      </c>
      <c r="Y289" s="469"/>
      <c r="Z289" s="271"/>
      <c r="AA289" s="271"/>
      <c r="AB289" s="271"/>
      <c r="AC289" s="271"/>
      <c r="AD289" s="271"/>
      <c r="AE289" s="271"/>
      <c r="AF289" s="271"/>
      <c r="AG289" s="271"/>
    </row>
    <row r="290" spans="1:33" ht="14.1" customHeight="1" thickBot="1">
      <c r="A290" s="146">
        <v>2</v>
      </c>
      <c r="H290" s="179" t="s">
        <v>64</v>
      </c>
      <c r="M290" s="234" t="str">
        <f>$H$5</f>
        <v>Mammography System Compliance Inspection</v>
      </c>
      <c r="O290" s="468"/>
      <c r="Y290" s="469"/>
      <c r="Z290" s="271"/>
      <c r="AA290" s="271"/>
      <c r="AB290" s="271"/>
      <c r="AC290" s="271"/>
      <c r="AD290" s="271"/>
      <c r="AE290" s="271"/>
      <c r="AF290" s="271"/>
      <c r="AG290" s="271"/>
    </row>
    <row r="291" spans="1:33" ht="14.1" customHeight="1" thickTop="1">
      <c r="A291" s="146">
        <v>3</v>
      </c>
      <c r="B291" s="185"/>
      <c r="C291" s="478" t="s">
        <v>319</v>
      </c>
      <c r="D291" s="479" t="str">
        <f>IF(P367="","",P367)</f>
        <v>Piranha</v>
      </c>
      <c r="E291" s="478" t="s">
        <v>326</v>
      </c>
      <c r="F291" s="480" t="str">
        <f>IF(P368="","",P368)</f>
        <v/>
      </c>
      <c r="G291" s="186"/>
      <c r="H291" s="478" t="s">
        <v>320</v>
      </c>
      <c r="I291" s="754" t="str">
        <f>IF(S367="","",S367)</f>
        <v/>
      </c>
      <c r="J291" s="754"/>
      <c r="K291" s="186"/>
      <c r="L291" s="186"/>
      <c r="M291" s="188"/>
      <c r="O291" s="468"/>
      <c r="P291" s="117" t="s">
        <v>602</v>
      </c>
      <c r="S291" s="130" t="s">
        <v>264</v>
      </c>
      <c r="U291" s="118" t="s">
        <v>290</v>
      </c>
      <c r="V291" s="130"/>
      <c r="Y291" s="469"/>
      <c r="Z291" s="271"/>
      <c r="AA291" s="271"/>
      <c r="AB291" s="271"/>
      <c r="AC291" s="271"/>
      <c r="AD291" s="271"/>
      <c r="AE291" s="271"/>
      <c r="AF291" s="271"/>
      <c r="AG291" s="271"/>
    </row>
    <row r="292" spans="1:33" ht="14.1" customHeight="1">
      <c r="A292" s="146">
        <v>4</v>
      </c>
      <c r="B292" s="194"/>
      <c r="C292" s="154"/>
      <c r="D292" s="154"/>
      <c r="E292" s="154"/>
      <c r="F292" s="154"/>
      <c r="G292" s="154"/>
      <c r="H292" s="136" t="s">
        <v>322</v>
      </c>
      <c r="I292" s="755" t="str">
        <f>IF(S368="","",S368)</f>
        <v/>
      </c>
      <c r="J292" s="755"/>
      <c r="K292" s="154"/>
      <c r="M292" s="197"/>
      <c r="O292" s="468"/>
      <c r="Q292" s="130" t="s">
        <v>63</v>
      </c>
      <c r="R292" s="130" t="s">
        <v>273</v>
      </c>
      <c r="S292" s="130" t="s">
        <v>265</v>
      </c>
      <c r="T292" s="130" t="s">
        <v>292</v>
      </c>
      <c r="U292" s="130" t="s">
        <v>293</v>
      </c>
      <c r="V292" s="130"/>
      <c r="W292" s="136" t="s">
        <v>294</v>
      </c>
      <c r="X292" s="140" t="e">
        <f>IF($T$259="","",$T$259*HLOOKUP($Q$260,Tables!$B$83:$D$85,2,FALSE)+HLOOKUP(Sheet1!$Q$260,Tables!$B$83:$D$85,3,FALSE))</f>
        <v>#N/A</v>
      </c>
      <c r="Y292" s="469"/>
      <c r="Z292" s="271"/>
      <c r="AA292" s="271"/>
      <c r="AB292" s="271"/>
      <c r="AC292" s="271"/>
      <c r="AD292" s="271"/>
      <c r="AE292" s="271"/>
      <c r="AF292" s="271"/>
      <c r="AG292" s="271"/>
    </row>
    <row r="293" spans="1:33" ht="14.1" customHeight="1">
      <c r="A293" s="146">
        <v>5</v>
      </c>
      <c r="B293" s="194"/>
      <c r="C293" s="117" t="s">
        <v>317</v>
      </c>
      <c r="M293" s="197"/>
      <c r="O293" s="468"/>
      <c r="Q293" s="277"/>
      <c r="R293" s="277"/>
      <c r="S293" s="277"/>
      <c r="T293" s="448" t="str">
        <f>IF(Q293="","",Q293/$T$260)</f>
        <v/>
      </c>
      <c r="U293" s="373" t="str">
        <f>IF(Q293="","",($T$259*HLOOKUP($Q$260,Tables!$B$70:$D$72,2,FALSE)+HLOOKUP(Sheet1!$Q$260,Tables!$B$70:$D$72,3,FALSE))*Q293)</f>
        <v/>
      </c>
      <c r="W293" s="136" t="s">
        <v>296</v>
      </c>
      <c r="X293" s="140" t="str">
        <f>IF(U297="","",U297)</f>
        <v/>
      </c>
      <c r="Y293" s="469"/>
      <c r="Z293" s="271"/>
      <c r="AA293" s="271"/>
      <c r="AB293" s="271"/>
      <c r="AC293" s="271"/>
      <c r="AD293" s="271"/>
      <c r="AE293" s="271"/>
      <c r="AF293" s="271"/>
      <c r="AG293" s="271"/>
    </row>
    <row r="294" spans="1:33" ht="14.1" customHeight="1">
      <c r="A294" s="146">
        <v>6</v>
      </c>
      <c r="B294" s="194"/>
      <c r="C294" s="136"/>
      <c r="F294" s="753" t="s">
        <v>323</v>
      </c>
      <c r="G294" s="753"/>
      <c r="H294" s="753"/>
      <c r="I294" s="130"/>
      <c r="J294" s="130"/>
      <c r="K294" s="130"/>
      <c r="M294" s="197"/>
      <c r="O294" s="468"/>
      <c r="Q294" s="277"/>
      <c r="R294" s="277"/>
      <c r="S294" s="277"/>
      <c r="T294" s="448" t="str">
        <f>IF(Q294="","",Q294/$T$260)</f>
        <v/>
      </c>
      <c r="U294" s="373" t="str">
        <f>IF(Q294="","",($T$259*HLOOKUP($Q$260,Tables!$B$70:$D$72,2,FALSE)+HLOOKUP(Sheet1!$Q$260,Tables!$B$70:$D$72,3,FALSE))*Q294)</f>
        <v/>
      </c>
      <c r="W294" s="136" t="s">
        <v>298</v>
      </c>
      <c r="X294" s="449" t="e">
        <f>IF($Q$260="","",HLOOKUP($Q$260,Tables!$A$88:$F$89,2))</f>
        <v>#N/A</v>
      </c>
      <c r="Y294" s="469"/>
      <c r="Z294" s="271"/>
      <c r="AA294" s="271"/>
      <c r="AB294" s="271"/>
      <c r="AC294" s="271"/>
      <c r="AD294" s="271"/>
      <c r="AE294" s="271"/>
      <c r="AF294" s="271"/>
      <c r="AG294" s="271"/>
    </row>
    <row r="295" spans="1:33" ht="14.1" customHeight="1" thickBot="1">
      <c r="A295" s="146">
        <v>7</v>
      </c>
      <c r="B295" s="194"/>
      <c r="C295" s="118" t="s">
        <v>62</v>
      </c>
      <c r="D295" s="130" t="s">
        <v>258</v>
      </c>
      <c r="E295" s="130" t="s">
        <v>63</v>
      </c>
      <c r="F295" s="130" t="s">
        <v>19</v>
      </c>
      <c r="G295" s="130" t="s">
        <v>20</v>
      </c>
      <c r="H295" s="130" t="s">
        <v>21</v>
      </c>
      <c r="I295" s="130" t="s">
        <v>324</v>
      </c>
      <c r="J295" s="130" t="s">
        <v>325</v>
      </c>
      <c r="K295" s="130" t="s">
        <v>480</v>
      </c>
      <c r="M295" s="197"/>
      <c r="O295" s="468"/>
      <c r="Q295" s="277"/>
      <c r="R295" s="277"/>
      <c r="S295" s="277"/>
      <c r="T295" s="448" t="str">
        <f>IF(Q295="","",Q295/$T$260)</f>
        <v/>
      </c>
      <c r="U295" s="373" t="str">
        <f>IF(Q295="","",($T$259*HLOOKUP($Q$260,Tables!$B$70:$D$72,2,FALSE)+HLOOKUP(Sheet1!$Q$260,Tables!$B$70:$D$72,3,FALSE))*Q295)</f>
        <v/>
      </c>
      <c r="W295" s="136" t="s">
        <v>300</v>
      </c>
      <c r="X295" s="269" t="str">
        <f>IF(X293="","",Tables!K60)</f>
        <v/>
      </c>
      <c r="Y295" s="469"/>
      <c r="Z295" s="271"/>
      <c r="AA295" s="271"/>
      <c r="AB295" s="271"/>
      <c r="AC295" s="271"/>
      <c r="AD295" s="271"/>
      <c r="AE295" s="271"/>
      <c r="AF295" s="271"/>
      <c r="AG295" s="271"/>
    </row>
    <row r="296" spans="1:33" ht="14.1" customHeight="1">
      <c r="A296" s="146">
        <v>8</v>
      </c>
      <c r="B296" s="194"/>
      <c r="C296" s="783" t="str">
        <f>P371</f>
        <v>/</v>
      </c>
      <c r="D296" s="273">
        <f t="shared" ref="D296:K301" si="61">IF(Q371="","",Q371)</f>
        <v>24</v>
      </c>
      <c r="E296" s="273">
        <f t="shared" si="61"/>
        <v>50</v>
      </c>
      <c r="F296" s="481" t="str">
        <f t="shared" si="61"/>
        <v/>
      </c>
      <c r="G296" s="481" t="str">
        <f t="shared" si="61"/>
        <v/>
      </c>
      <c r="H296" s="481" t="str">
        <f t="shared" si="61"/>
        <v/>
      </c>
      <c r="I296" s="482" t="str">
        <f t="shared" si="61"/>
        <v/>
      </c>
      <c r="J296" s="481" t="str">
        <f t="shared" si="61"/>
        <v/>
      </c>
      <c r="K296" s="483" t="str">
        <f t="shared" si="61"/>
        <v/>
      </c>
      <c r="M296" s="197"/>
      <c r="O296" s="468"/>
      <c r="Q296" s="277"/>
      <c r="R296" s="277"/>
      <c r="S296" s="277"/>
      <c r="T296" s="448" t="str">
        <f>IF(Q296="","",Q296/$T$260)</f>
        <v/>
      </c>
      <c r="U296" s="373" t="str">
        <f>IF(Q296="","",($T$259*HLOOKUP($Q$260,Tables!$B$70:$D$72,2,FALSE)+HLOOKUP(Sheet1!$Q$260,Tables!$B$70:$D$72,3,FALSE))*Q296)</f>
        <v/>
      </c>
      <c r="W296" s="136" t="s">
        <v>301</v>
      </c>
      <c r="X296" s="450" t="str">
        <f>IF(AB87="","",AB87)</f>
        <v/>
      </c>
      <c r="Y296" s="469"/>
      <c r="Z296" s="271"/>
      <c r="AA296" s="271"/>
      <c r="AB296" s="271"/>
      <c r="AC296" s="271"/>
      <c r="AD296" s="271"/>
      <c r="AE296" s="271"/>
      <c r="AF296" s="271"/>
      <c r="AG296" s="271"/>
    </row>
    <row r="297" spans="1:33" ht="14.1" customHeight="1">
      <c r="A297" s="146">
        <v>9</v>
      </c>
      <c r="B297" s="194"/>
      <c r="C297" s="784"/>
      <c r="D297" s="135">
        <f t="shared" si="61"/>
        <v>25</v>
      </c>
      <c r="E297" s="135">
        <f t="shared" si="61"/>
        <v>50</v>
      </c>
      <c r="F297" s="373" t="str">
        <f t="shared" si="61"/>
        <v/>
      </c>
      <c r="G297" s="373" t="str">
        <f t="shared" si="61"/>
        <v/>
      </c>
      <c r="H297" s="373" t="str">
        <f t="shared" si="61"/>
        <v/>
      </c>
      <c r="I297" s="484" t="str">
        <f t="shared" si="61"/>
        <v/>
      </c>
      <c r="J297" s="373" t="str">
        <f t="shared" si="61"/>
        <v/>
      </c>
      <c r="K297" s="404" t="str">
        <f t="shared" si="61"/>
        <v/>
      </c>
      <c r="M297" s="197"/>
      <c r="O297" s="468"/>
      <c r="P297" s="136" t="s">
        <v>261</v>
      </c>
      <c r="Q297" s="314" t="str">
        <f t="shared" ref="Q297:U297" si="62">IF(OR(Q293="",Q294="",Q295="",Q296=""),"",AVERAGE(Q293:Q296))</f>
        <v/>
      </c>
      <c r="R297" s="451" t="str">
        <f t="shared" si="62"/>
        <v/>
      </c>
      <c r="S297" s="389" t="str">
        <f>IF(OR(S293="",S294="",S295="",S296=""),"",AVERAGE(S293:S296))</f>
        <v/>
      </c>
      <c r="T297" s="133" t="str">
        <f t="shared" si="62"/>
        <v/>
      </c>
      <c r="U297" s="452" t="str">
        <f t="shared" si="62"/>
        <v/>
      </c>
      <c r="V297" s="476"/>
      <c r="W297" s="136" t="s">
        <v>303</v>
      </c>
      <c r="X297" s="453" t="str">
        <f>IF(OR(X295="",X296=""),"",(X295-X296)/X296)</f>
        <v/>
      </c>
      <c r="Y297" s="469"/>
      <c r="Z297" s="271"/>
      <c r="AA297" s="271"/>
      <c r="AB297" s="271"/>
      <c r="AC297" s="271"/>
      <c r="AD297" s="271"/>
      <c r="AE297" s="271"/>
      <c r="AF297" s="271"/>
      <c r="AG297" s="271"/>
    </row>
    <row r="298" spans="1:33" ht="14.1" customHeight="1">
      <c r="A298" s="146">
        <v>10</v>
      </c>
      <c r="B298" s="194"/>
      <c r="C298" s="784"/>
      <c r="D298" s="135">
        <f t="shared" si="61"/>
        <v>26</v>
      </c>
      <c r="E298" s="135">
        <f t="shared" si="61"/>
        <v>50</v>
      </c>
      <c r="F298" s="373" t="str">
        <f t="shared" si="61"/>
        <v/>
      </c>
      <c r="G298" s="373" t="str">
        <f t="shared" si="61"/>
        <v/>
      </c>
      <c r="H298" s="373" t="str">
        <f t="shared" si="61"/>
        <v/>
      </c>
      <c r="I298" s="484" t="str">
        <f t="shared" si="61"/>
        <v/>
      </c>
      <c r="J298" s="373" t="str">
        <f t="shared" si="61"/>
        <v/>
      </c>
      <c r="K298" s="404" t="str">
        <f t="shared" si="61"/>
        <v/>
      </c>
      <c r="M298" s="197"/>
      <c r="O298" s="468"/>
      <c r="P298" s="136" t="s">
        <v>263</v>
      </c>
      <c r="Q298" s="434" t="str">
        <f t="shared" ref="Q298:U298" si="63">IF(Q297="","",_xlfn.STDEV.S(Q293:Q296)/Q297)</f>
        <v/>
      </c>
      <c r="R298" s="434" t="str">
        <f t="shared" si="63"/>
        <v/>
      </c>
      <c r="S298" s="434" t="str">
        <f t="shared" si="63"/>
        <v/>
      </c>
      <c r="T298" s="434" t="str">
        <f t="shared" si="63"/>
        <v/>
      </c>
      <c r="U298" s="434" t="str">
        <f t="shared" si="63"/>
        <v/>
      </c>
      <c r="V298" s="477"/>
      <c r="W298" s="154"/>
      <c r="X298" s="154"/>
      <c r="Y298" s="469"/>
      <c r="Z298" s="271"/>
      <c r="AA298" s="271"/>
      <c r="AB298" s="271"/>
      <c r="AC298" s="271"/>
      <c r="AD298" s="271"/>
      <c r="AE298" s="271"/>
      <c r="AF298" s="271"/>
      <c r="AG298" s="271"/>
    </row>
    <row r="299" spans="1:33" ht="14.1" customHeight="1">
      <c r="A299" s="146">
        <v>11</v>
      </c>
      <c r="B299" s="194"/>
      <c r="C299" s="784"/>
      <c r="D299" s="135">
        <f t="shared" si="61"/>
        <v>28</v>
      </c>
      <c r="E299" s="135">
        <f t="shared" si="61"/>
        <v>50</v>
      </c>
      <c r="F299" s="373" t="str">
        <f t="shared" si="61"/>
        <v/>
      </c>
      <c r="G299" s="373" t="str">
        <f t="shared" si="61"/>
        <v/>
      </c>
      <c r="H299" s="373" t="str">
        <f t="shared" si="61"/>
        <v/>
      </c>
      <c r="I299" s="484" t="str">
        <f t="shared" si="61"/>
        <v/>
      </c>
      <c r="J299" s="373" t="str">
        <f t="shared" si="61"/>
        <v/>
      </c>
      <c r="K299" s="404" t="str">
        <f t="shared" si="61"/>
        <v/>
      </c>
      <c r="M299" s="197"/>
      <c r="O299" s="468"/>
      <c r="P299" s="234" t="s">
        <v>193</v>
      </c>
      <c r="Q299" s="156" t="s">
        <v>304</v>
      </c>
      <c r="W299" s="136" t="s">
        <v>305</v>
      </c>
      <c r="X299" s="453" t="str">
        <f>IF(X295="","",(X295-S297)/S297)</f>
        <v/>
      </c>
      <c r="Y299" s="469"/>
      <c r="Z299" s="271"/>
      <c r="AA299" s="271"/>
      <c r="AB299" s="271"/>
      <c r="AC299" s="271"/>
      <c r="AD299" s="271"/>
      <c r="AE299" s="271"/>
      <c r="AF299" s="271"/>
      <c r="AG299" s="271"/>
    </row>
    <row r="300" spans="1:33" ht="14.1" customHeight="1">
      <c r="A300" s="146">
        <v>12</v>
      </c>
      <c r="B300" s="194"/>
      <c r="C300" s="784"/>
      <c r="D300" s="135">
        <f t="shared" si="61"/>
        <v>30</v>
      </c>
      <c r="E300" s="135">
        <f t="shared" si="61"/>
        <v>50</v>
      </c>
      <c r="F300" s="373" t="str">
        <f t="shared" si="61"/>
        <v/>
      </c>
      <c r="G300" s="373" t="str">
        <f t="shared" si="61"/>
        <v/>
      </c>
      <c r="H300" s="373" t="str">
        <f t="shared" si="61"/>
        <v/>
      </c>
      <c r="I300" s="484" t="str">
        <f t="shared" si="61"/>
        <v/>
      </c>
      <c r="J300" s="373" t="str">
        <f t="shared" si="61"/>
        <v/>
      </c>
      <c r="K300" s="404" t="str">
        <f t="shared" si="61"/>
        <v/>
      </c>
      <c r="M300" s="197"/>
      <c r="O300" s="468"/>
      <c r="P300" s="156"/>
      <c r="Q300" s="156" t="s">
        <v>482</v>
      </c>
      <c r="W300" s="136" t="s">
        <v>307</v>
      </c>
      <c r="X300" s="449" t="str">
        <f>IF(OR(X295="",Q297=""),"",3/(X295/Q297))</f>
        <v/>
      </c>
      <c r="Y300" s="469"/>
      <c r="Z300" s="271"/>
      <c r="AA300" s="271"/>
      <c r="AB300" s="271"/>
      <c r="AC300" s="271"/>
      <c r="AD300" s="271"/>
      <c r="AE300" s="271"/>
      <c r="AF300" s="271"/>
      <c r="AG300" s="271"/>
    </row>
    <row r="301" spans="1:33" ht="14.1" customHeight="1" thickBot="1">
      <c r="A301" s="146">
        <v>13</v>
      </c>
      <c r="B301" s="194"/>
      <c r="C301" s="784"/>
      <c r="D301" s="135">
        <f t="shared" si="61"/>
        <v>32</v>
      </c>
      <c r="E301" s="135">
        <f t="shared" si="61"/>
        <v>50</v>
      </c>
      <c r="F301" s="373" t="str">
        <f t="shared" si="61"/>
        <v/>
      </c>
      <c r="G301" s="373" t="str">
        <f t="shared" si="61"/>
        <v/>
      </c>
      <c r="H301" s="373" t="str">
        <f t="shared" si="61"/>
        <v/>
      </c>
      <c r="I301" s="484" t="str">
        <f t="shared" si="61"/>
        <v/>
      </c>
      <c r="J301" s="373" t="str">
        <f t="shared" si="61"/>
        <v/>
      </c>
      <c r="K301" s="404" t="str">
        <f t="shared" si="61"/>
        <v/>
      </c>
      <c r="M301" s="197"/>
      <c r="O301" s="468"/>
      <c r="Y301" s="469"/>
      <c r="Z301" s="271"/>
      <c r="AA301" s="271"/>
      <c r="AB301" s="271"/>
      <c r="AC301" s="271"/>
      <c r="AD301" s="271"/>
      <c r="AE301" s="271"/>
      <c r="AF301" s="271"/>
      <c r="AG301" s="271"/>
    </row>
    <row r="302" spans="1:33" ht="14.1" customHeight="1" thickBot="1">
      <c r="A302" s="146">
        <v>14</v>
      </c>
      <c r="B302" s="194"/>
      <c r="C302" s="785"/>
      <c r="D302" s="392">
        <f t="shared" ref="D302" si="64">IF(Q377="","",Q377)</f>
        <v>34</v>
      </c>
      <c r="E302" s="392">
        <f t="shared" ref="E302" si="65">IF(R377="","",R377)</f>
        <v>50</v>
      </c>
      <c r="F302" s="485" t="str">
        <f t="shared" ref="F302" si="66">IF(S377="","",S377)</f>
        <v/>
      </c>
      <c r="G302" s="485" t="str">
        <f t="shared" ref="G302" si="67">IF(T377="","",T377)</f>
        <v/>
      </c>
      <c r="H302" s="485" t="str">
        <f t="shared" ref="H302" si="68">IF(U377="","",U377)</f>
        <v/>
      </c>
      <c r="I302" s="486" t="str">
        <f t="shared" ref="I302" si="69">IF(V377="","",V377)</f>
        <v/>
      </c>
      <c r="J302" s="485" t="str">
        <f t="shared" ref="J302" si="70">IF(W377="","",W377)</f>
        <v/>
      </c>
      <c r="K302" s="487" t="str">
        <f t="shared" ref="K302" si="71">IF(X377="","",X377)</f>
        <v/>
      </c>
      <c r="L302" s="268" t="str">
        <f>IF(K296="","",IF(MAX(K296:K301)&lt;0.05,"Pass","Fail"))</f>
        <v/>
      </c>
      <c r="M302" s="197"/>
      <c r="O302" s="468"/>
      <c r="S302" s="130" t="s">
        <v>264</v>
      </c>
      <c r="T302" s="130" t="s">
        <v>698</v>
      </c>
      <c r="Y302" s="469"/>
      <c r="Z302" s="271"/>
      <c r="AA302" s="271"/>
      <c r="AB302" s="271"/>
      <c r="AC302" s="271"/>
      <c r="AD302" s="271"/>
      <c r="AE302" s="271"/>
      <c r="AF302" s="271"/>
      <c r="AG302" s="271"/>
    </row>
    <row r="303" spans="1:33" ht="14.1" customHeight="1" thickBot="1">
      <c r="A303" s="146">
        <v>15</v>
      </c>
      <c r="B303" s="194"/>
      <c r="C303" s="783" t="str">
        <f>P378</f>
        <v>/</v>
      </c>
      <c r="D303" s="273">
        <f t="shared" ref="D303:K307" si="72">IF(Q378="","",Q378)</f>
        <v>28</v>
      </c>
      <c r="E303" s="273">
        <f t="shared" si="72"/>
        <v>50</v>
      </c>
      <c r="F303" s="481" t="str">
        <f t="shared" si="72"/>
        <v/>
      </c>
      <c r="G303" s="481" t="str">
        <f t="shared" si="72"/>
        <v/>
      </c>
      <c r="H303" s="481" t="str">
        <f t="shared" si="72"/>
        <v/>
      </c>
      <c r="I303" s="482" t="str">
        <f t="shared" si="72"/>
        <v/>
      </c>
      <c r="J303" s="481" t="str">
        <f t="shared" si="72"/>
        <v/>
      </c>
      <c r="K303" s="483" t="str">
        <f t="shared" si="72"/>
        <v/>
      </c>
      <c r="M303" s="197"/>
      <c r="O303" s="468"/>
      <c r="Q303" s="130" t="s">
        <v>258</v>
      </c>
      <c r="R303" s="130" t="s">
        <v>63</v>
      </c>
      <c r="S303" s="118" t="s">
        <v>598</v>
      </c>
      <c r="T303" s="118" t="s">
        <v>598</v>
      </c>
      <c r="Y303" s="469"/>
      <c r="Z303" s="271"/>
      <c r="AA303" s="271"/>
      <c r="AB303" s="271"/>
      <c r="AC303" s="271"/>
      <c r="AD303" s="271"/>
      <c r="AE303" s="271"/>
      <c r="AF303" s="271"/>
      <c r="AG303" s="271"/>
    </row>
    <row r="304" spans="1:33" ht="14.1" customHeight="1" thickBot="1">
      <c r="A304" s="146">
        <v>16</v>
      </c>
      <c r="B304" s="194"/>
      <c r="C304" s="784"/>
      <c r="D304" s="135">
        <f t="shared" si="72"/>
        <v>30</v>
      </c>
      <c r="E304" s="135">
        <f t="shared" si="72"/>
        <v>50</v>
      </c>
      <c r="F304" s="373" t="str">
        <f t="shared" si="72"/>
        <v/>
      </c>
      <c r="G304" s="373" t="str">
        <f t="shared" si="72"/>
        <v/>
      </c>
      <c r="H304" s="373" t="str">
        <f t="shared" si="72"/>
        <v/>
      </c>
      <c r="I304" s="484" t="str">
        <f t="shared" si="72"/>
        <v/>
      </c>
      <c r="J304" s="373" t="str">
        <f t="shared" si="72"/>
        <v/>
      </c>
      <c r="K304" s="404" t="str">
        <f t="shared" si="72"/>
        <v/>
      </c>
      <c r="M304" s="197"/>
      <c r="O304" s="468"/>
      <c r="P304" s="136" t="s">
        <v>595</v>
      </c>
      <c r="Q304" s="347">
        <f>T259</f>
        <v>28</v>
      </c>
      <c r="R304" s="420" t="str">
        <f>Q286</f>
        <v/>
      </c>
      <c r="S304" s="481" t="str">
        <f>S286</f>
        <v/>
      </c>
      <c r="T304" s="488" t="str">
        <f>X284</f>
        <v/>
      </c>
      <c r="U304" s="136" t="s">
        <v>207</v>
      </c>
      <c r="V304" s="268" t="str">
        <f>IF(T306="","",IF(T306&lt;=3,"Pass","Fail"))</f>
        <v/>
      </c>
      <c r="Y304" s="469"/>
      <c r="Z304" s="271"/>
      <c r="AA304" s="271"/>
      <c r="AB304" s="271"/>
      <c r="AC304" s="271"/>
      <c r="AD304" s="271"/>
      <c r="AE304" s="271"/>
      <c r="AF304" s="271"/>
      <c r="AG304" s="271"/>
    </row>
    <row r="305" spans="1:33" ht="14.1" customHeight="1" thickBot="1">
      <c r="A305" s="146">
        <v>17</v>
      </c>
      <c r="B305" s="194"/>
      <c r="C305" s="784"/>
      <c r="D305" s="135">
        <f t="shared" si="72"/>
        <v>32</v>
      </c>
      <c r="E305" s="135">
        <f t="shared" si="72"/>
        <v>50</v>
      </c>
      <c r="F305" s="373" t="str">
        <f t="shared" si="72"/>
        <v/>
      </c>
      <c r="G305" s="373" t="str">
        <f t="shared" si="72"/>
        <v/>
      </c>
      <c r="H305" s="373" t="str">
        <f t="shared" si="72"/>
        <v/>
      </c>
      <c r="I305" s="484" t="str">
        <f t="shared" si="72"/>
        <v/>
      </c>
      <c r="J305" s="373" t="str">
        <f t="shared" si="72"/>
        <v/>
      </c>
      <c r="K305" s="404" t="str">
        <f t="shared" si="72"/>
        <v/>
      </c>
      <c r="M305" s="197"/>
      <c r="O305" s="468"/>
      <c r="P305" s="136" t="s">
        <v>596</v>
      </c>
      <c r="Q305" s="279">
        <f>T259</f>
        <v>28</v>
      </c>
      <c r="R305" s="467" t="str">
        <f>Q297</f>
        <v/>
      </c>
      <c r="S305" s="489" t="str">
        <f>S297</f>
        <v/>
      </c>
      <c r="T305" s="490" t="str">
        <f>X295</f>
        <v/>
      </c>
      <c r="Y305" s="469"/>
      <c r="Z305" s="271"/>
      <c r="AA305" s="271"/>
      <c r="AB305" s="271"/>
      <c r="AC305" s="271"/>
      <c r="AD305" s="271"/>
      <c r="AE305" s="271"/>
      <c r="AF305" s="271"/>
      <c r="AG305" s="271"/>
    </row>
    <row r="306" spans="1:33" ht="14.1" customHeight="1" thickBot="1">
      <c r="A306" s="146">
        <v>18</v>
      </c>
      <c r="B306" s="194"/>
      <c r="C306" s="784"/>
      <c r="D306" s="135">
        <f t="shared" si="72"/>
        <v>34</v>
      </c>
      <c r="E306" s="135">
        <f t="shared" si="72"/>
        <v>50</v>
      </c>
      <c r="F306" s="373" t="str">
        <f t="shared" si="72"/>
        <v/>
      </c>
      <c r="G306" s="373" t="str">
        <f t="shared" si="72"/>
        <v/>
      </c>
      <c r="H306" s="373" t="str">
        <f t="shared" si="72"/>
        <v/>
      </c>
      <c r="I306" s="484" t="str">
        <f t="shared" si="72"/>
        <v/>
      </c>
      <c r="J306" s="373" t="str">
        <f t="shared" si="72"/>
        <v/>
      </c>
      <c r="K306" s="404" t="str">
        <f t="shared" si="72"/>
        <v/>
      </c>
      <c r="M306" s="197"/>
      <c r="O306" s="468"/>
      <c r="R306" s="136" t="s">
        <v>599</v>
      </c>
      <c r="S306" s="491" t="str">
        <f>IF(OR(S304="",S305=""),"",S304+S305)</f>
        <v/>
      </c>
      <c r="T306" s="491" t="str">
        <f>IF(OR(T304="",T305=""),"",T304+T305)</f>
        <v/>
      </c>
      <c r="U306" s="118" t="s">
        <v>331</v>
      </c>
      <c r="Y306" s="469"/>
      <c r="Z306" s="271"/>
      <c r="AA306" s="271"/>
      <c r="AB306" s="271"/>
      <c r="AC306" s="271"/>
      <c r="AD306" s="271"/>
      <c r="AE306" s="271"/>
      <c r="AF306" s="271"/>
      <c r="AG306" s="271"/>
    </row>
    <row r="307" spans="1:33" ht="14.1" customHeight="1" thickBot="1">
      <c r="A307" s="146">
        <v>19</v>
      </c>
      <c r="B307" s="194"/>
      <c r="C307" s="785"/>
      <c r="D307" s="280" t="str">
        <f t="shared" si="72"/>
        <v/>
      </c>
      <c r="E307" s="280" t="str">
        <f t="shared" si="72"/>
        <v/>
      </c>
      <c r="F307" s="489" t="str">
        <f t="shared" si="72"/>
        <v/>
      </c>
      <c r="G307" s="489" t="str">
        <f t="shared" si="72"/>
        <v/>
      </c>
      <c r="H307" s="489" t="str">
        <f t="shared" si="72"/>
        <v/>
      </c>
      <c r="I307" s="492" t="str">
        <f t="shared" si="72"/>
        <v/>
      </c>
      <c r="J307" s="489" t="str">
        <f t="shared" si="72"/>
        <v/>
      </c>
      <c r="K307" s="427" t="str">
        <f t="shared" si="72"/>
        <v/>
      </c>
      <c r="L307" s="268" t="str">
        <f>IF(K303="","",IF(MAX(K303:K307)&lt;0.05,"Pass","Fail"))</f>
        <v/>
      </c>
      <c r="M307" s="197"/>
      <c r="O307" s="468"/>
      <c r="P307" s="234" t="s">
        <v>193</v>
      </c>
      <c r="Q307" s="156" t="s">
        <v>304</v>
      </c>
      <c r="Y307" s="469"/>
      <c r="Z307" s="271"/>
      <c r="AA307" s="271"/>
      <c r="AB307" s="271"/>
      <c r="AC307" s="271"/>
      <c r="AD307" s="271"/>
      <c r="AE307" s="271"/>
      <c r="AF307" s="271"/>
      <c r="AG307" s="271"/>
    </row>
    <row r="308" spans="1:33" ht="14.1" customHeight="1" thickBot="1">
      <c r="A308" s="146">
        <v>20</v>
      </c>
      <c r="B308" s="194"/>
      <c r="C308" s="783">
        <f>P384</f>
        <v>0</v>
      </c>
      <c r="D308" s="340" t="str">
        <f t="shared" ref="D308:K312" si="73">IF(Q384="","",Q384)</f>
        <v/>
      </c>
      <c r="E308" s="340" t="str">
        <f t="shared" si="73"/>
        <v/>
      </c>
      <c r="F308" s="493" t="str">
        <f t="shared" si="73"/>
        <v/>
      </c>
      <c r="G308" s="493" t="str">
        <f t="shared" si="73"/>
        <v/>
      </c>
      <c r="H308" s="493" t="str">
        <f t="shared" si="73"/>
        <v/>
      </c>
      <c r="I308" s="494" t="str">
        <f t="shared" si="73"/>
        <v/>
      </c>
      <c r="J308" s="493" t="str">
        <f t="shared" si="73"/>
        <v/>
      </c>
      <c r="K308" s="495" t="str">
        <f t="shared" si="73"/>
        <v/>
      </c>
      <c r="M308" s="197"/>
      <c r="O308" s="168"/>
      <c r="R308" s="169"/>
      <c r="S308" s="169"/>
      <c r="T308" s="169"/>
      <c r="U308" s="169"/>
      <c r="V308" s="169"/>
      <c r="W308" s="169"/>
      <c r="X308" s="169"/>
      <c r="Y308" s="170"/>
      <c r="Z308" s="271"/>
      <c r="AA308" s="271"/>
      <c r="AB308" s="271"/>
      <c r="AC308" s="271"/>
      <c r="AD308" s="271"/>
      <c r="AE308" s="271"/>
      <c r="AF308" s="271"/>
      <c r="AG308" s="271"/>
    </row>
    <row r="309" spans="1:33" ht="14.1" customHeight="1">
      <c r="A309" s="146">
        <v>21</v>
      </c>
      <c r="B309" s="194"/>
      <c r="C309" s="784"/>
      <c r="D309" s="135" t="str">
        <f t="shared" si="73"/>
        <v/>
      </c>
      <c r="E309" s="135" t="str">
        <f t="shared" si="73"/>
        <v/>
      </c>
      <c r="F309" s="373" t="str">
        <f t="shared" si="73"/>
        <v/>
      </c>
      <c r="G309" s="373" t="str">
        <f t="shared" si="73"/>
        <v/>
      </c>
      <c r="H309" s="373" t="str">
        <f t="shared" si="73"/>
        <v/>
      </c>
      <c r="I309" s="484" t="str">
        <f t="shared" si="73"/>
        <v/>
      </c>
      <c r="J309" s="373" t="str">
        <f t="shared" si="73"/>
        <v/>
      </c>
      <c r="K309" s="404" t="str">
        <f t="shared" si="73"/>
        <v/>
      </c>
      <c r="M309" s="197"/>
      <c r="O309" s="260" t="s">
        <v>785</v>
      </c>
      <c r="P309" s="151"/>
      <c r="Q309" s="151"/>
      <c r="R309" s="151"/>
      <c r="S309" s="151"/>
      <c r="T309" s="151"/>
      <c r="U309" s="151"/>
      <c r="V309" s="151"/>
      <c r="W309" s="151"/>
      <c r="X309" s="151"/>
      <c r="Y309" s="152"/>
      <c r="Z309" s="271"/>
      <c r="AA309" s="271"/>
      <c r="AB309" s="271"/>
      <c r="AC309" s="271"/>
      <c r="AD309" s="271"/>
      <c r="AE309" s="271"/>
      <c r="AF309" s="271"/>
      <c r="AG309" s="271"/>
    </row>
    <row r="310" spans="1:33" ht="14.1" customHeight="1">
      <c r="A310" s="146">
        <v>22</v>
      </c>
      <c r="B310" s="194"/>
      <c r="C310" s="784"/>
      <c r="D310" s="135" t="str">
        <f t="shared" si="73"/>
        <v/>
      </c>
      <c r="E310" s="135" t="str">
        <f t="shared" si="73"/>
        <v/>
      </c>
      <c r="F310" s="373" t="str">
        <f t="shared" si="73"/>
        <v/>
      </c>
      <c r="G310" s="373" t="str">
        <f t="shared" si="73"/>
        <v/>
      </c>
      <c r="H310" s="373" t="str">
        <f t="shared" si="73"/>
        <v/>
      </c>
      <c r="I310" s="484" t="str">
        <f t="shared" si="73"/>
        <v/>
      </c>
      <c r="J310" s="373" t="str">
        <f t="shared" si="73"/>
        <v/>
      </c>
      <c r="K310" s="404" t="str">
        <f t="shared" si="73"/>
        <v/>
      </c>
      <c r="M310" s="197"/>
      <c r="O310" s="159"/>
      <c r="P310" s="136" t="s">
        <v>543</v>
      </c>
      <c r="Q310" s="136" t="s">
        <v>540</v>
      </c>
      <c r="R310" s="447">
        <v>101.3</v>
      </c>
      <c r="S310" s="136" t="s">
        <v>541</v>
      </c>
      <c r="T310" s="496">
        <v>108</v>
      </c>
      <c r="U310" s="136" t="s">
        <v>787</v>
      </c>
      <c r="V310" s="496">
        <v>20</v>
      </c>
      <c r="Y310" s="161"/>
      <c r="Z310" s="271"/>
      <c r="AA310" s="271"/>
      <c r="AB310" s="271"/>
      <c r="AC310" s="271"/>
      <c r="AD310" s="271"/>
      <c r="AE310" s="271"/>
      <c r="AF310" s="271"/>
      <c r="AG310" s="271"/>
    </row>
    <row r="311" spans="1:33" ht="14.1" customHeight="1" thickBot="1">
      <c r="A311" s="146">
        <v>23</v>
      </c>
      <c r="B311" s="194"/>
      <c r="C311" s="784"/>
      <c r="D311" s="135" t="str">
        <f t="shared" si="73"/>
        <v/>
      </c>
      <c r="E311" s="135" t="str">
        <f t="shared" si="73"/>
        <v/>
      </c>
      <c r="F311" s="373" t="str">
        <f t="shared" si="73"/>
        <v/>
      </c>
      <c r="G311" s="373" t="str">
        <f t="shared" si="73"/>
        <v/>
      </c>
      <c r="H311" s="373" t="str">
        <f t="shared" si="73"/>
        <v/>
      </c>
      <c r="I311" s="484" t="str">
        <f t="shared" si="73"/>
        <v/>
      </c>
      <c r="J311" s="373" t="str">
        <f t="shared" si="73"/>
        <v/>
      </c>
      <c r="K311" s="404" t="str">
        <f t="shared" si="73"/>
        <v/>
      </c>
      <c r="M311" s="197"/>
      <c r="O311" s="159"/>
      <c r="T311" s="130" t="s">
        <v>310</v>
      </c>
      <c r="Y311" s="161"/>
      <c r="Z311" s="271"/>
      <c r="AA311" s="271"/>
      <c r="AB311" s="271"/>
      <c r="AC311" s="271"/>
      <c r="AD311" s="271"/>
      <c r="AE311" s="271"/>
      <c r="AF311" s="271"/>
      <c r="AG311" s="271"/>
    </row>
    <row r="312" spans="1:33" ht="14.1" customHeight="1" thickBot="1">
      <c r="A312" s="146">
        <v>24</v>
      </c>
      <c r="B312" s="194"/>
      <c r="C312" s="785"/>
      <c r="D312" s="280" t="str">
        <f t="shared" si="73"/>
        <v/>
      </c>
      <c r="E312" s="280" t="str">
        <f t="shared" si="73"/>
        <v/>
      </c>
      <c r="F312" s="489" t="str">
        <f t="shared" si="73"/>
        <v/>
      </c>
      <c r="G312" s="489" t="str">
        <f t="shared" si="73"/>
        <v/>
      </c>
      <c r="H312" s="489" t="str">
        <f t="shared" si="73"/>
        <v/>
      </c>
      <c r="I312" s="492" t="str">
        <f t="shared" si="73"/>
        <v/>
      </c>
      <c r="J312" s="489" t="str">
        <f t="shared" si="73"/>
        <v/>
      </c>
      <c r="K312" s="427" t="str">
        <f t="shared" si="73"/>
        <v/>
      </c>
      <c r="L312" s="268" t="str">
        <f>IF(K308="","",IF(MAX(K308:K312)&lt;0.05,"Pass","Fail"))</f>
        <v/>
      </c>
      <c r="M312" s="197"/>
      <c r="O312" s="159"/>
      <c r="P312" s="347" t="s">
        <v>539</v>
      </c>
      <c r="Q312" s="273" t="s">
        <v>538</v>
      </c>
      <c r="R312" s="273" t="s">
        <v>786</v>
      </c>
      <c r="S312" s="274" t="s">
        <v>280</v>
      </c>
      <c r="T312" s="347" t="s">
        <v>539</v>
      </c>
      <c r="U312" s="273" t="s">
        <v>538</v>
      </c>
      <c r="V312" s="325" t="s">
        <v>786</v>
      </c>
      <c r="Y312" s="161"/>
      <c r="Z312" s="271"/>
      <c r="AA312" s="271"/>
      <c r="AB312" s="271"/>
      <c r="AC312" s="271"/>
      <c r="AD312" s="271"/>
      <c r="AE312" s="271"/>
      <c r="AF312" s="271"/>
      <c r="AG312" s="271"/>
    </row>
    <row r="313" spans="1:33" ht="14.1" customHeight="1">
      <c r="A313" s="146">
        <v>25</v>
      </c>
      <c r="B313" s="194"/>
      <c r="M313" s="197"/>
      <c r="O313" s="311" t="s">
        <v>554</v>
      </c>
      <c r="P313" s="497"/>
      <c r="Q313" s="277"/>
      <c r="R313" s="277"/>
      <c r="S313" s="276" t="str">
        <f>IF(OR(P313="",Q313="",R313=""),"",IF(AND(ABS($R$310-P313)&lt;=$R$310*0.02,ABS($T$310-Q313)&lt;=$T$310*0.02,ABS($V$310-R313)&lt;=1),"Pass","Fail"))</f>
        <v/>
      </c>
      <c r="T313" s="498" t="str">
        <f>IF(AB127="","",AB127)</f>
        <v/>
      </c>
      <c r="U313" s="464" t="str">
        <f>IF(AB128="","",AB128)</f>
        <v/>
      </c>
      <c r="V313" s="499" t="str">
        <f>IF(AC128="","",AC128)</f>
        <v/>
      </c>
      <c r="Y313" s="161"/>
      <c r="Z313" s="271"/>
      <c r="AA313" s="271"/>
      <c r="AB313" s="271"/>
      <c r="AC313" s="271"/>
      <c r="AD313" s="271"/>
      <c r="AE313" s="271"/>
      <c r="AF313" s="271"/>
      <c r="AG313" s="271"/>
    </row>
    <row r="314" spans="1:33" ht="14.1" customHeight="1">
      <c r="A314" s="146">
        <v>26</v>
      </c>
      <c r="B314" s="194"/>
      <c r="M314" s="197"/>
      <c r="O314" s="311" t="s">
        <v>555</v>
      </c>
      <c r="P314" s="497"/>
      <c r="Q314" s="277"/>
      <c r="R314" s="277"/>
      <c r="S314" s="276" t="str">
        <f>IF(OR(P314="",Q314=""),"",IF(AND(ABS($R$310-P314)&lt;=$R$310*0.02,ABS($T$310-Q314)&lt;=$T$310*0.02),"Pass","Fail"))</f>
        <v/>
      </c>
      <c r="T314" s="498" t="str">
        <f>IF(AB129="","",AB129)</f>
        <v/>
      </c>
      <c r="U314" s="464" t="str">
        <f>IF(AB130="","",AB130)</f>
        <v/>
      </c>
      <c r="V314" s="499" t="str">
        <f>IF(AC130="","",AC130)</f>
        <v/>
      </c>
      <c r="Y314" s="161"/>
      <c r="Z314" s="271"/>
      <c r="AA314" s="271"/>
      <c r="AB314" s="271"/>
      <c r="AC314" s="271"/>
      <c r="AD314" s="271"/>
      <c r="AE314" s="271"/>
      <c r="AF314" s="271"/>
      <c r="AG314" s="271"/>
    </row>
    <row r="315" spans="1:33" ht="14.1" customHeight="1" thickBot="1">
      <c r="A315" s="146">
        <v>27</v>
      </c>
      <c r="B315" s="194"/>
      <c r="I315" s="154"/>
      <c r="J315" s="154"/>
      <c r="M315" s="197"/>
      <c r="O315" s="311" t="s">
        <v>556</v>
      </c>
      <c r="P315" s="500"/>
      <c r="Q315" s="501"/>
      <c r="R315" s="501"/>
      <c r="S315" s="281" t="str">
        <f>IF(OR(P315="",Q315=""),"",IF(AND(ABS($R$310-P315)&lt;=$R$310*0.02,ABS($T$310-Q315)&lt;=$T$310*0.02),"Pass","Fail"))</f>
        <v/>
      </c>
      <c r="T315" s="502" t="str">
        <f>IF(AB131="","",AB131)</f>
        <v/>
      </c>
      <c r="U315" s="466" t="str">
        <f>IF(AB132="","",AB132)</f>
        <v/>
      </c>
      <c r="V315" s="503" t="str">
        <f>IF(AC132="","",AC132)</f>
        <v/>
      </c>
      <c r="Y315" s="161"/>
      <c r="Z315" s="271"/>
      <c r="AA315" s="271"/>
      <c r="AB315" s="271"/>
      <c r="AC315" s="271"/>
      <c r="AD315" s="271"/>
      <c r="AE315" s="271"/>
      <c r="AF315" s="271"/>
      <c r="AG315" s="271"/>
    </row>
    <row r="316" spans="1:33" ht="14.1" customHeight="1">
      <c r="A316" s="146">
        <v>28</v>
      </c>
      <c r="B316" s="194"/>
      <c r="I316" s="154"/>
      <c r="J316" s="154"/>
      <c r="M316" s="197"/>
      <c r="O316" s="159"/>
      <c r="P316" s="234" t="s">
        <v>193</v>
      </c>
      <c r="Q316" s="156" t="s">
        <v>542</v>
      </c>
      <c r="Y316" s="161"/>
      <c r="Z316" s="271"/>
      <c r="AA316" s="271"/>
      <c r="AB316" s="271"/>
      <c r="AC316" s="271"/>
      <c r="AD316" s="271"/>
      <c r="AE316" s="271"/>
      <c r="AF316" s="271"/>
      <c r="AG316" s="271"/>
    </row>
    <row r="317" spans="1:33" ht="14.1" customHeight="1">
      <c r="A317" s="146">
        <v>29</v>
      </c>
      <c r="B317" s="194"/>
      <c r="I317" s="154"/>
      <c r="J317" s="154"/>
      <c r="M317" s="197"/>
      <c r="O317" s="159"/>
      <c r="Y317" s="161"/>
      <c r="Z317" s="271"/>
      <c r="AA317" s="271"/>
      <c r="AB317" s="271"/>
      <c r="AC317" s="271"/>
      <c r="AD317" s="271"/>
      <c r="AE317" s="271"/>
      <c r="AF317" s="271"/>
      <c r="AG317" s="271"/>
    </row>
    <row r="318" spans="1:33" ht="14.1" customHeight="1" thickBot="1">
      <c r="A318" s="146">
        <v>30</v>
      </c>
      <c r="B318" s="194"/>
      <c r="M318" s="197"/>
      <c r="O318" s="265" t="s">
        <v>544</v>
      </c>
      <c r="Y318" s="161"/>
      <c r="Z318" s="271"/>
      <c r="AA318" s="271"/>
      <c r="AB318" s="271"/>
      <c r="AC318" s="271"/>
      <c r="AD318" s="271"/>
      <c r="AE318" s="271"/>
      <c r="AF318" s="271"/>
      <c r="AG318" s="271"/>
    </row>
    <row r="319" spans="1:33" ht="14.1" customHeight="1">
      <c r="A319" s="146">
        <v>31</v>
      </c>
      <c r="B319" s="194"/>
      <c r="M319" s="197"/>
      <c r="O319" s="504" t="s">
        <v>562</v>
      </c>
      <c r="P319" s="505" t="s">
        <v>558</v>
      </c>
      <c r="Q319" s="506">
        <f>U319-2</f>
        <v>-2</v>
      </c>
      <c r="R319" s="505" t="s">
        <v>557</v>
      </c>
      <c r="S319" s="506">
        <f>U319-1</f>
        <v>-1</v>
      </c>
      <c r="T319" s="505" t="s">
        <v>559</v>
      </c>
      <c r="U319" s="507"/>
      <c r="V319" s="505" t="s">
        <v>560</v>
      </c>
      <c r="W319" s="506">
        <f>U319+1</f>
        <v>1</v>
      </c>
      <c r="X319" s="505" t="s">
        <v>561</v>
      </c>
      <c r="Y319" s="508">
        <f>U319+2</f>
        <v>2</v>
      </c>
      <c r="Z319" s="271"/>
      <c r="AA319" s="271"/>
      <c r="AB319" s="271"/>
      <c r="AC319" s="271"/>
      <c r="AD319" s="271"/>
      <c r="AE319" s="271"/>
      <c r="AF319" s="271"/>
      <c r="AG319" s="271"/>
    </row>
    <row r="320" spans="1:33" ht="14.1" customHeight="1">
      <c r="A320" s="146">
        <v>32</v>
      </c>
      <c r="B320" s="194"/>
      <c r="M320" s="197"/>
      <c r="O320" s="509" t="s">
        <v>554</v>
      </c>
      <c r="P320" s="135" t="s">
        <v>550</v>
      </c>
      <c r="Q320" s="135" t="s">
        <v>273</v>
      </c>
      <c r="R320" s="135" t="s">
        <v>550</v>
      </c>
      <c r="S320" s="135" t="s">
        <v>273</v>
      </c>
      <c r="T320" s="135" t="s">
        <v>550</v>
      </c>
      <c r="U320" s="135" t="s">
        <v>273</v>
      </c>
      <c r="V320" s="135" t="s">
        <v>550</v>
      </c>
      <c r="W320" s="135" t="s">
        <v>273</v>
      </c>
      <c r="X320" s="135" t="s">
        <v>550</v>
      </c>
      <c r="Y320" s="510" t="s">
        <v>273</v>
      </c>
      <c r="Z320" s="271"/>
      <c r="AA320" s="271"/>
      <c r="AB320" s="271"/>
      <c r="AC320" s="271"/>
      <c r="AD320" s="271"/>
      <c r="AE320" s="271"/>
      <c r="AF320" s="271"/>
      <c r="AG320" s="271"/>
    </row>
    <row r="321" spans="1:33" ht="14.1" customHeight="1">
      <c r="A321" s="146">
        <v>33</v>
      </c>
      <c r="B321" s="194"/>
      <c r="M321" s="197"/>
      <c r="O321" s="511">
        <v>1</v>
      </c>
      <c r="P321" s="463"/>
      <c r="Q321" s="463"/>
      <c r="R321" s="463"/>
      <c r="S321" s="463"/>
      <c r="T321" s="463"/>
      <c r="U321" s="463"/>
      <c r="V321" s="463"/>
      <c r="W321" s="463"/>
      <c r="X321" s="463"/>
      <c r="Y321" s="512"/>
      <c r="Z321" s="271"/>
      <c r="AA321" s="271"/>
      <c r="AB321" s="271"/>
      <c r="AC321" s="271"/>
      <c r="AD321" s="271"/>
      <c r="AE321" s="271"/>
      <c r="AF321" s="271"/>
      <c r="AG321" s="271"/>
    </row>
    <row r="322" spans="1:33" ht="14.1" customHeight="1">
      <c r="A322" s="146">
        <v>34</v>
      </c>
      <c r="B322" s="194"/>
      <c r="M322" s="197"/>
      <c r="O322" s="511">
        <v>2</v>
      </c>
      <c r="P322" s="463"/>
      <c r="Q322" s="463"/>
      <c r="R322" s="463"/>
      <c r="S322" s="463"/>
      <c r="T322" s="463"/>
      <c r="U322" s="463"/>
      <c r="V322" s="463"/>
      <c r="W322" s="463"/>
      <c r="X322" s="463"/>
      <c r="Y322" s="512"/>
      <c r="Z322" s="271"/>
      <c r="AA322" s="271"/>
      <c r="AB322" s="271"/>
      <c r="AC322" s="271"/>
      <c r="AD322" s="271"/>
      <c r="AE322" s="271"/>
      <c r="AF322" s="271"/>
      <c r="AG322" s="271"/>
    </row>
    <row r="323" spans="1:33" ht="14.1" customHeight="1">
      <c r="A323" s="146">
        <v>35</v>
      </c>
      <c r="B323" s="194"/>
      <c r="M323" s="197"/>
      <c r="O323" s="511">
        <v>3</v>
      </c>
      <c r="P323" s="463"/>
      <c r="Q323" s="463"/>
      <c r="R323" s="463"/>
      <c r="S323" s="463"/>
      <c r="T323" s="463"/>
      <c r="U323" s="463"/>
      <c r="V323" s="463"/>
      <c r="W323" s="463"/>
      <c r="X323" s="463"/>
      <c r="Y323" s="512"/>
      <c r="Z323" s="271"/>
      <c r="AA323" s="271"/>
      <c r="AB323" s="271"/>
      <c r="AC323" s="271"/>
      <c r="AD323" s="271"/>
      <c r="AE323" s="271"/>
      <c r="AF323" s="271"/>
      <c r="AG323" s="271"/>
    </row>
    <row r="324" spans="1:33" ht="14.1" customHeight="1">
      <c r="A324" s="146">
        <v>36</v>
      </c>
      <c r="B324" s="194"/>
      <c r="M324" s="197"/>
      <c r="O324" s="511">
        <v>4</v>
      </c>
      <c r="P324" s="463"/>
      <c r="Q324" s="463"/>
      <c r="R324" s="463"/>
      <c r="S324" s="463"/>
      <c r="T324" s="463"/>
      <c r="U324" s="463"/>
      <c r="V324" s="463"/>
      <c r="W324" s="463"/>
      <c r="X324" s="463"/>
      <c r="Y324" s="512"/>
      <c r="Z324" s="271"/>
      <c r="AA324" s="271"/>
      <c r="AB324" s="271"/>
      <c r="AC324" s="271"/>
      <c r="AD324" s="271"/>
      <c r="AE324" s="271"/>
      <c r="AF324" s="271"/>
      <c r="AG324" s="271"/>
    </row>
    <row r="325" spans="1:33" ht="14.1" customHeight="1">
      <c r="A325" s="146">
        <v>37</v>
      </c>
      <c r="B325" s="194"/>
      <c r="M325" s="197"/>
      <c r="O325" s="513">
        <v>5</v>
      </c>
      <c r="P325" s="514"/>
      <c r="Q325" s="514"/>
      <c r="R325" s="514"/>
      <c r="S325" s="514"/>
      <c r="T325" s="514"/>
      <c r="U325" s="514"/>
      <c r="V325" s="514"/>
      <c r="W325" s="514"/>
      <c r="X325" s="514"/>
      <c r="Y325" s="515"/>
      <c r="Z325" s="271"/>
      <c r="AA325" s="271"/>
      <c r="AB325" s="271"/>
      <c r="AC325" s="271"/>
      <c r="AD325" s="271"/>
      <c r="AE325" s="271"/>
      <c r="AF325" s="271"/>
      <c r="AG325" s="271"/>
    </row>
    <row r="326" spans="1:33" ht="14.1" customHeight="1" thickBot="1">
      <c r="A326" s="146">
        <v>38</v>
      </c>
      <c r="B326" s="194"/>
      <c r="M326" s="197"/>
      <c r="O326" s="516">
        <v>6</v>
      </c>
      <c r="P326" s="517"/>
      <c r="Q326" s="518"/>
      <c r="R326" s="517"/>
      <c r="S326" s="518"/>
      <c r="T326" s="517"/>
      <c r="U326" s="518"/>
      <c r="V326" s="517"/>
      <c r="W326" s="518"/>
      <c r="X326" s="517"/>
      <c r="Y326" s="519"/>
    </row>
    <row r="327" spans="1:33" ht="14.1" customHeight="1">
      <c r="A327" s="146">
        <v>39</v>
      </c>
      <c r="B327" s="194"/>
      <c r="M327" s="197"/>
      <c r="O327" s="520" t="s">
        <v>555</v>
      </c>
      <c r="P327" s="505" t="s">
        <v>558</v>
      </c>
      <c r="Q327" s="506">
        <f>U327-2</f>
        <v>-2</v>
      </c>
      <c r="R327" s="505" t="s">
        <v>557</v>
      </c>
      <c r="S327" s="506">
        <f>U327-1</f>
        <v>-1</v>
      </c>
      <c r="T327" s="505" t="s">
        <v>559</v>
      </c>
      <c r="U327" s="507"/>
      <c r="V327" s="505" t="s">
        <v>560</v>
      </c>
      <c r="W327" s="506">
        <f>U327+1</f>
        <v>1</v>
      </c>
      <c r="X327" s="505" t="s">
        <v>561</v>
      </c>
      <c r="Y327" s="508">
        <f>U327+2</f>
        <v>2</v>
      </c>
    </row>
    <row r="328" spans="1:33" ht="14.1" customHeight="1">
      <c r="A328" s="146">
        <v>40</v>
      </c>
      <c r="B328" s="194"/>
      <c r="M328" s="197"/>
      <c r="O328" s="511">
        <v>1</v>
      </c>
      <c r="P328" s="463"/>
      <c r="Q328" s="463"/>
      <c r="R328" s="463"/>
      <c r="S328" s="463"/>
      <c r="T328" s="463"/>
      <c r="U328" s="463"/>
      <c r="V328" s="463"/>
      <c r="W328" s="463"/>
      <c r="X328" s="463"/>
      <c r="Y328" s="512"/>
    </row>
    <row r="329" spans="1:33" ht="14.1" customHeight="1">
      <c r="A329" s="146">
        <v>41</v>
      </c>
      <c r="B329" s="194"/>
      <c r="M329" s="197"/>
      <c r="O329" s="511">
        <v>2</v>
      </c>
      <c r="P329" s="463"/>
      <c r="Q329" s="463"/>
      <c r="R329" s="463"/>
      <c r="S329" s="463"/>
      <c r="T329" s="463"/>
      <c r="U329" s="463"/>
      <c r="V329" s="463"/>
      <c r="W329" s="463"/>
      <c r="X329" s="463"/>
      <c r="Y329" s="512"/>
    </row>
    <row r="330" spans="1:33" ht="14.1" customHeight="1">
      <c r="A330" s="146">
        <v>42</v>
      </c>
      <c r="B330" s="194"/>
      <c r="M330" s="197"/>
      <c r="O330" s="511">
        <v>3</v>
      </c>
      <c r="P330" s="463"/>
      <c r="Q330" s="463"/>
      <c r="R330" s="463"/>
      <c r="S330" s="463"/>
      <c r="T330" s="463"/>
      <c r="U330" s="463"/>
      <c r="V330" s="463"/>
      <c r="W330" s="463"/>
      <c r="X330" s="463"/>
      <c r="Y330" s="512"/>
    </row>
    <row r="331" spans="1:33" ht="14.1" customHeight="1">
      <c r="A331" s="146">
        <v>43</v>
      </c>
      <c r="B331" s="194"/>
      <c r="M331" s="197"/>
      <c r="O331" s="511">
        <v>4</v>
      </c>
      <c r="P331" s="463"/>
      <c r="Q331" s="463"/>
      <c r="R331" s="463"/>
      <c r="S331" s="463"/>
      <c r="T331" s="463"/>
      <c r="U331" s="463"/>
      <c r="V331" s="463"/>
      <c r="W331" s="463"/>
      <c r="X331" s="463"/>
      <c r="Y331" s="512"/>
    </row>
    <row r="332" spans="1:33" ht="14.1" customHeight="1">
      <c r="A332" s="146">
        <v>44</v>
      </c>
      <c r="B332" s="194"/>
      <c r="M332" s="197"/>
      <c r="O332" s="513">
        <v>5</v>
      </c>
      <c r="P332" s="514"/>
      <c r="Q332" s="514"/>
      <c r="R332" s="514"/>
      <c r="S332" s="514"/>
      <c r="T332" s="514"/>
      <c r="U332" s="514"/>
      <c r="V332" s="514"/>
      <c r="W332" s="514"/>
      <c r="X332" s="514"/>
      <c r="Y332" s="515"/>
    </row>
    <row r="333" spans="1:33" ht="14.1" customHeight="1" thickBot="1">
      <c r="A333" s="146">
        <v>45</v>
      </c>
      <c r="B333" s="194"/>
      <c r="M333" s="197"/>
      <c r="O333" s="516">
        <v>6</v>
      </c>
      <c r="P333" s="517"/>
      <c r="Q333" s="518"/>
      <c r="R333" s="517"/>
      <c r="S333" s="518"/>
      <c r="T333" s="517"/>
      <c r="U333" s="518"/>
      <c r="V333" s="517"/>
      <c r="W333" s="518"/>
      <c r="X333" s="517"/>
      <c r="Y333" s="519"/>
    </row>
    <row r="334" spans="1:33" ht="14.1" customHeight="1">
      <c r="A334" s="146">
        <v>46</v>
      </c>
      <c r="B334" s="194"/>
      <c r="M334" s="197"/>
      <c r="O334" s="520" t="s">
        <v>556</v>
      </c>
      <c r="P334" s="505" t="s">
        <v>558</v>
      </c>
      <c r="Q334" s="506">
        <f>U334-2</f>
        <v>-2</v>
      </c>
      <c r="R334" s="505" t="s">
        <v>557</v>
      </c>
      <c r="S334" s="506">
        <f>U334-1</f>
        <v>-1</v>
      </c>
      <c r="T334" s="505" t="s">
        <v>559</v>
      </c>
      <c r="U334" s="507"/>
      <c r="V334" s="505" t="s">
        <v>560</v>
      </c>
      <c r="W334" s="506">
        <f>U334+1</f>
        <v>1</v>
      </c>
      <c r="X334" s="505" t="s">
        <v>561</v>
      </c>
      <c r="Y334" s="508">
        <f>U334+2</f>
        <v>2</v>
      </c>
    </row>
    <row r="335" spans="1:33" ht="14.1" customHeight="1">
      <c r="A335" s="146">
        <v>47</v>
      </c>
      <c r="B335" s="194"/>
      <c r="M335" s="197"/>
      <c r="O335" s="511">
        <v>1</v>
      </c>
      <c r="P335" s="463"/>
      <c r="Q335" s="463"/>
      <c r="R335" s="463"/>
      <c r="S335" s="463"/>
      <c r="T335" s="463"/>
      <c r="U335" s="463"/>
      <c r="V335" s="463"/>
      <c r="W335" s="463"/>
      <c r="X335" s="463"/>
      <c r="Y335" s="512"/>
    </row>
    <row r="336" spans="1:33" ht="14.1" customHeight="1">
      <c r="A336" s="146">
        <v>48</v>
      </c>
      <c r="B336" s="194"/>
      <c r="M336" s="197"/>
      <c r="O336" s="511">
        <v>2</v>
      </c>
      <c r="P336" s="463"/>
      <c r="Q336" s="463"/>
      <c r="R336" s="463"/>
      <c r="S336" s="463"/>
      <c r="T336" s="463"/>
      <c r="U336" s="463"/>
      <c r="V336" s="463"/>
      <c r="W336" s="463"/>
      <c r="X336" s="463"/>
      <c r="Y336" s="512"/>
    </row>
    <row r="337" spans="1:25" ht="14.1" customHeight="1">
      <c r="A337" s="146">
        <v>49</v>
      </c>
      <c r="B337" s="194"/>
      <c r="M337" s="197"/>
      <c r="O337" s="511">
        <v>3</v>
      </c>
      <c r="P337" s="463"/>
      <c r="Q337" s="463"/>
      <c r="R337" s="463"/>
      <c r="S337" s="463"/>
      <c r="T337" s="463"/>
      <c r="U337" s="463"/>
      <c r="V337" s="463"/>
      <c r="W337" s="463"/>
      <c r="X337" s="463"/>
      <c r="Y337" s="512"/>
    </row>
    <row r="338" spans="1:25" ht="14.1" customHeight="1">
      <c r="A338" s="146">
        <v>50</v>
      </c>
      <c r="B338" s="194"/>
      <c r="M338" s="197"/>
      <c r="O338" s="511">
        <v>4</v>
      </c>
      <c r="P338" s="463"/>
      <c r="Q338" s="463"/>
      <c r="R338" s="463"/>
      <c r="S338" s="463"/>
      <c r="T338" s="463"/>
      <c r="U338" s="463"/>
      <c r="V338" s="463"/>
      <c r="W338" s="463"/>
      <c r="X338" s="463"/>
      <c r="Y338" s="512"/>
    </row>
    <row r="339" spans="1:25" ht="14.1" customHeight="1">
      <c r="A339" s="146">
        <v>51</v>
      </c>
      <c r="B339" s="194"/>
      <c r="M339" s="197"/>
      <c r="O339" s="513">
        <v>5</v>
      </c>
      <c r="P339" s="514"/>
      <c r="Q339" s="514"/>
      <c r="R339" s="514"/>
      <c r="S339" s="514"/>
      <c r="T339" s="514"/>
      <c r="U339" s="514"/>
      <c r="V339" s="514"/>
      <c r="W339" s="514"/>
      <c r="X339" s="514"/>
      <c r="Y339" s="515"/>
    </row>
    <row r="340" spans="1:25" ht="14.1" customHeight="1" thickBot="1">
      <c r="A340" s="146">
        <v>52</v>
      </c>
      <c r="B340" s="194"/>
      <c r="M340" s="197"/>
      <c r="O340" s="516">
        <v>6</v>
      </c>
      <c r="P340" s="517"/>
      <c r="Q340" s="518"/>
      <c r="R340" s="517"/>
      <c r="S340" s="518"/>
      <c r="T340" s="517"/>
      <c r="U340" s="518"/>
      <c r="V340" s="517"/>
      <c r="W340" s="518"/>
      <c r="X340" s="517"/>
      <c r="Y340" s="519"/>
    </row>
    <row r="341" spans="1:25" ht="14.1" customHeight="1" thickBot="1">
      <c r="A341" s="146">
        <v>53</v>
      </c>
      <c r="B341" s="194"/>
      <c r="M341" s="197"/>
      <c r="O341" s="521"/>
      <c r="P341" s="522"/>
      <c r="Q341" s="522"/>
      <c r="R341" s="522"/>
      <c r="S341" s="522"/>
      <c r="T341" s="522"/>
      <c r="U341" s="522"/>
      <c r="V341" s="522"/>
      <c r="W341" s="522"/>
      <c r="X341" s="522"/>
      <c r="Y341" s="523"/>
    </row>
    <row r="342" spans="1:25" ht="14.1" customHeight="1" thickBot="1">
      <c r="A342" s="146">
        <v>54</v>
      </c>
      <c r="B342" s="194"/>
      <c r="C342" s="117" t="s">
        <v>329</v>
      </c>
      <c r="M342" s="197"/>
      <c r="O342" s="159"/>
      <c r="P342" s="347" t="s">
        <v>554</v>
      </c>
      <c r="Q342" s="273"/>
      <c r="R342" s="273"/>
      <c r="S342" s="273" t="s">
        <v>555</v>
      </c>
      <c r="T342" s="273"/>
      <c r="U342" s="273"/>
      <c r="V342" s="273" t="s">
        <v>556</v>
      </c>
      <c r="W342" s="273"/>
      <c r="X342" s="274"/>
      <c r="Y342" s="161"/>
    </row>
    <row r="343" spans="1:25" ht="14.1" customHeight="1" thickBot="1">
      <c r="A343" s="146">
        <v>55</v>
      </c>
      <c r="B343" s="194"/>
      <c r="C343" s="136"/>
      <c r="D343" s="524" t="s">
        <v>85</v>
      </c>
      <c r="E343" s="525" t="str">
        <f>Q392</f>
        <v>/</v>
      </c>
      <c r="F343" s="526" t="s">
        <v>163</v>
      </c>
      <c r="G343" s="324">
        <f>S392</f>
        <v>28</v>
      </c>
      <c r="H343" s="152"/>
      <c r="I343" s="524" t="s">
        <v>85</v>
      </c>
      <c r="J343" s="525" t="str">
        <f>V392</f>
        <v>/</v>
      </c>
      <c r="K343" s="527" t="s">
        <v>163</v>
      </c>
      <c r="L343" s="250">
        <f>X392</f>
        <v>28</v>
      </c>
      <c r="M343" s="317"/>
      <c r="O343" s="159"/>
      <c r="P343" s="275" t="s">
        <v>551</v>
      </c>
      <c r="Q343" s="135" t="s">
        <v>552</v>
      </c>
      <c r="R343" s="135" t="s">
        <v>553</v>
      </c>
      <c r="S343" s="135" t="s">
        <v>551</v>
      </c>
      <c r="T343" s="135" t="s">
        <v>552</v>
      </c>
      <c r="U343" s="135" t="s">
        <v>553</v>
      </c>
      <c r="V343" s="135" t="s">
        <v>551</v>
      </c>
      <c r="W343" s="135" t="s">
        <v>552</v>
      </c>
      <c r="X343" s="276" t="s">
        <v>553</v>
      </c>
      <c r="Y343" s="161"/>
    </row>
    <row r="344" spans="1:25" ht="14.1" customHeight="1">
      <c r="A344" s="146">
        <v>56</v>
      </c>
      <c r="B344" s="194"/>
      <c r="C344" s="136"/>
      <c r="D344" s="468"/>
      <c r="F344" s="136" t="s">
        <v>208</v>
      </c>
      <c r="G344" s="196">
        <f>S393</f>
        <v>50</v>
      </c>
      <c r="H344" s="382"/>
      <c r="K344" s="136" t="s">
        <v>208</v>
      </c>
      <c r="L344" s="196">
        <f>X393</f>
        <v>50</v>
      </c>
      <c r="M344" s="197"/>
      <c r="O344" s="528" t="s">
        <v>546</v>
      </c>
      <c r="P344" s="529" t="str">
        <f>IF(P321="","",AVERAGE(P321:P326))</f>
        <v/>
      </c>
      <c r="Q344" s="373" t="str">
        <f>IF(Q321="","",AVERAGE(Q321:Q325))</f>
        <v/>
      </c>
      <c r="R344" s="373" t="str">
        <f>IF(OR(P344="",Q344=""),"",((P344-Q344)/($P$346-$Q$346)))</f>
        <v/>
      </c>
      <c r="S344" s="373" t="str">
        <f>IF(P328="","",AVERAGE(P328:P333))</f>
        <v/>
      </c>
      <c r="T344" s="373" t="str">
        <f>IF(Q328="","",AVERAGE(Q328:Q332))</f>
        <v/>
      </c>
      <c r="U344" s="373" t="str">
        <f>IF(OR(S344="",T344=""),"",((S344-T344)/($S$346-$T$346)))</f>
        <v/>
      </c>
      <c r="V344" s="373" t="str">
        <f>IF(P335="","",AVERAGE(P335:P340))</f>
        <v/>
      </c>
      <c r="W344" s="373" t="str">
        <f>IF(Q335="","",AVERAGE(Q335:Q339))</f>
        <v/>
      </c>
      <c r="X344" s="530" t="str">
        <f>IF(OR(V344="",W344=""),"",((V344-W344)/($V$346-$W$346)))</f>
        <v/>
      </c>
      <c r="Y344" s="161"/>
    </row>
    <row r="345" spans="1:25" ht="14.1" customHeight="1" thickBot="1">
      <c r="A345" s="146">
        <v>57</v>
      </c>
      <c r="B345" s="194"/>
      <c r="C345" s="130"/>
      <c r="D345" s="531" t="s">
        <v>19</v>
      </c>
      <c r="E345" s="532" t="s">
        <v>20</v>
      </c>
      <c r="F345" s="532" t="s">
        <v>21</v>
      </c>
      <c r="G345" s="532" t="s">
        <v>324</v>
      </c>
      <c r="H345" s="533" t="s">
        <v>325</v>
      </c>
      <c r="I345" s="531" t="s">
        <v>19</v>
      </c>
      <c r="J345" s="532" t="s">
        <v>20</v>
      </c>
      <c r="K345" s="532" t="s">
        <v>21</v>
      </c>
      <c r="L345" s="532" t="s">
        <v>324</v>
      </c>
      <c r="M345" s="534" t="s">
        <v>325</v>
      </c>
      <c r="O345" s="535" t="s">
        <v>547</v>
      </c>
      <c r="P345" s="529" t="str">
        <f>IF(R321="","",AVERAGE(R321:R326))</f>
        <v/>
      </c>
      <c r="Q345" s="373" t="str">
        <f>IF(S321="","",AVERAGE(S321:S325))</f>
        <v/>
      </c>
      <c r="R345" s="373" t="str">
        <f>IF(OR(P345="",Q345=""),"",((P345-Q345)/($P$346-$Q$346)))</f>
        <v/>
      </c>
      <c r="S345" s="373" t="str">
        <f>IF(R328="","",AVERAGE(R328:R333))</f>
        <v/>
      </c>
      <c r="T345" s="373" t="str">
        <f>IF(S328="","",AVERAGE(S328:S332))</f>
        <v/>
      </c>
      <c r="U345" s="373" t="str">
        <f>IF(OR(S345="",T345=""),"",((S345-T345)/($S$346-$T$346)))</f>
        <v/>
      </c>
      <c r="V345" s="373" t="str">
        <f>IF(R335="","",AVERAGE(R335:R340))</f>
        <v/>
      </c>
      <c r="W345" s="373" t="str">
        <f>IF(S335="","",AVERAGE(S335:S339))</f>
        <v/>
      </c>
      <c r="X345" s="530" t="str">
        <f>IF(OR(V345="",W345=""),"",((V345-W345)/($V$346-$W$346)))</f>
        <v/>
      </c>
      <c r="Y345" s="161"/>
    </row>
    <row r="346" spans="1:25" ht="14.1" customHeight="1">
      <c r="A346" s="146">
        <v>58</v>
      </c>
      <c r="B346" s="194"/>
      <c r="C346" s="130"/>
      <c r="D346" s="536" t="str">
        <f t="shared" ref="D346:M351" si="74">IF(P395="","",P395)</f>
        <v/>
      </c>
      <c r="E346" s="493" t="str">
        <f t="shared" si="74"/>
        <v/>
      </c>
      <c r="F346" s="493" t="str">
        <f t="shared" si="74"/>
        <v/>
      </c>
      <c r="G346" s="494" t="str">
        <f t="shared" si="74"/>
        <v/>
      </c>
      <c r="H346" s="537" t="str">
        <f t="shared" si="74"/>
        <v/>
      </c>
      <c r="I346" s="538" t="str">
        <f t="shared" si="74"/>
        <v/>
      </c>
      <c r="J346" s="481" t="str">
        <f t="shared" si="74"/>
        <v/>
      </c>
      <c r="K346" s="481" t="str">
        <f t="shared" si="74"/>
        <v/>
      </c>
      <c r="L346" s="482" t="str">
        <f t="shared" si="74"/>
        <v/>
      </c>
      <c r="M346" s="472" t="str">
        <f t="shared" si="74"/>
        <v/>
      </c>
      <c r="O346" s="535" t="s">
        <v>545</v>
      </c>
      <c r="P346" s="529" t="str">
        <f>IF(T321="","",AVERAGE(T321:T326))</f>
        <v/>
      </c>
      <c r="Q346" s="373" t="str">
        <f>IF(U321="","",AVERAGE(U321:U325))</f>
        <v/>
      </c>
      <c r="R346" s="539"/>
      <c r="S346" s="373" t="str">
        <f>IF(T328="","",AVERAGE(T328:T333))</f>
        <v/>
      </c>
      <c r="T346" s="373" t="str">
        <f>IF(U328="","",AVERAGE(U328:U332))</f>
        <v/>
      </c>
      <c r="U346" s="539"/>
      <c r="V346" s="373" t="str">
        <f>IF(T335="","",AVERAGE(T335:T340))</f>
        <v/>
      </c>
      <c r="W346" s="373" t="str">
        <f>IF(U335="","",AVERAGE(U335:U339))</f>
        <v/>
      </c>
      <c r="X346" s="540"/>
      <c r="Y346" s="161"/>
    </row>
    <row r="347" spans="1:25" ht="14.1" customHeight="1">
      <c r="A347" s="146">
        <v>59</v>
      </c>
      <c r="B347" s="194"/>
      <c r="C347" s="130"/>
      <c r="D347" s="529" t="str">
        <f t="shared" si="74"/>
        <v/>
      </c>
      <c r="E347" s="373" t="str">
        <f t="shared" si="74"/>
        <v/>
      </c>
      <c r="F347" s="373" t="str">
        <f t="shared" si="74"/>
        <v/>
      </c>
      <c r="G347" s="484" t="str">
        <f t="shared" si="74"/>
        <v/>
      </c>
      <c r="H347" s="541" t="str">
        <f t="shared" si="74"/>
        <v/>
      </c>
      <c r="I347" s="529" t="str">
        <f t="shared" si="74"/>
        <v/>
      </c>
      <c r="J347" s="373" t="str">
        <f t="shared" si="74"/>
        <v/>
      </c>
      <c r="K347" s="373" t="str">
        <f t="shared" si="74"/>
        <v/>
      </c>
      <c r="L347" s="484" t="str">
        <f t="shared" si="74"/>
        <v/>
      </c>
      <c r="M347" s="542" t="str">
        <f t="shared" si="74"/>
        <v/>
      </c>
      <c r="O347" s="535" t="s">
        <v>548</v>
      </c>
      <c r="P347" s="529" t="str">
        <f>IF(V321="","",AVERAGE(V321:V326))</f>
        <v/>
      </c>
      <c r="Q347" s="373" t="str">
        <f>IF(W321="","",AVERAGE(W321:W325))</f>
        <v/>
      </c>
      <c r="R347" s="373" t="str">
        <f>IF(OR(P347="",Q347=""),"",((P347-Q347)/($P$346-$Q$346)))</f>
        <v/>
      </c>
      <c r="S347" s="373" t="str">
        <f>IF(V328="","",AVERAGE(V328:V333))</f>
        <v/>
      </c>
      <c r="T347" s="373" t="str">
        <f>IF(W328="","",AVERAGE(W328:W332))</f>
        <v/>
      </c>
      <c r="U347" s="373" t="str">
        <f>IF(OR(S347="",T347=""),"",((S347-T347)/($S$346-$T$346)))</f>
        <v/>
      </c>
      <c r="V347" s="373" t="str">
        <f>IF(V335="","",AVERAGE(V335:V340))</f>
        <v/>
      </c>
      <c r="W347" s="373" t="str">
        <f>IF(W335="","",AVERAGE(W335:W339))</f>
        <v/>
      </c>
      <c r="X347" s="530" t="str">
        <f>IF(OR(V347="",W347=""),"",((V347-W347)/($V$346-$W$346)))</f>
        <v/>
      </c>
      <c r="Y347" s="161"/>
    </row>
    <row r="348" spans="1:25" ht="14.1" customHeight="1" thickBot="1">
      <c r="A348" s="146">
        <v>60</v>
      </c>
      <c r="B348" s="194"/>
      <c r="C348" s="130"/>
      <c r="D348" s="529" t="str">
        <f t="shared" si="74"/>
        <v/>
      </c>
      <c r="E348" s="373" t="str">
        <f t="shared" si="74"/>
        <v/>
      </c>
      <c r="F348" s="373" t="str">
        <f t="shared" si="74"/>
        <v/>
      </c>
      <c r="G348" s="484" t="str">
        <f t="shared" si="74"/>
        <v/>
      </c>
      <c r="H348" s="541" t="str">
        <f t="shared" si="74"/>
        <v/>
      </c>
      <c r="I348" s="529" t="str">
        <f t="shared" si="74"/>
        <v/>
      </c>
      <c r="J348" s="373" t="str">
        <f t="shared" si="74"/>
        <v/>
      </c>
      <c r="K348" s="373" t="str">
        <f t="shared" si="74"/>
        <v/>
      </c>
      <c r="L348" s="484" t="str">
        <f t="shared" si="74"/>
        <v/>
      </c>
      <c r="M348" s="542" t="str">
        <f t="shared" si="74"/>
        <v/>
      </c>
      <c r="O348" s="543" t="s">
        <v>549</v>
      </c>
      <c r="P348" s="544" t="str">
        <f>IF(X321="","",AVERAGE(X321:X326))</f>
        <v/>
      </c>
      <c r="Q348" s="489" t="str">
        <f>IF(Y321="","",AVERAGE(Y321:Y325))</f>
        <v/>
      </c>
      <c r="R348" s="489" t="str">
        <f>IF(OR(P348="",Q348=""),"",((P348-Q348)/($P$346-$Q$346)))</f>
        <v/>
      </c>
      <c r="S348" s="489" t="str">
        <f>IF(X328="","",AVERAGE(X328:X333))</f>
        <v/>
      </c>
      <c r="T348" s="489" t="str">
        <f>IF(Y328="","",AVERAGE(Y328:Y332))</f>
        <v/>
      </c>
      <c r="U348" s="489" t="str">
        <f>IF(OR(S348="",T348=""),"",((S348-T348)/($S$346-$T$346)))</f>
        <v/>
      </c>
      <c r="V348" s="489" t="str">
        <f>IF(X335="","",AVERAGE(X335:X340))</f>
        <v/>
      </c>
      <c r="W348" s="489" t="str">
        <f>IF(Y335="","",AVERAGE(Y335:Y339))</f>
        <v/>
      </c>
      <c r="X348" s="490" t="str">
        <f>IF(OR(V348="",W348=""),"",((V348-W348)/($V$346-$W$346)))</f>
        <v/>
      </c>
      <c r="Y348" s="161"/>
    </row>
    <row r="349" spans="1:25" ht="14.1" customHeight="1" thickBot="1">
      <c r="A349" s="146">
        <v>61</v>
      </c>
      <c r="B349" s="194"/>
      <c r="C349" s="130"/>
      <c r="D349" s="544" t="str">
        <f t="shared" si="74"/>
        <v/>
      </c>
      <c r="E349" s="489" t="str">
        <f t="shared" si="74"/>
        <v/>
      </c>
      <c r="F349" s="489" t="str">
        <f t="shared" si="74"/>
        <v/>
      </c>
      <c r="G349" s="492" t="str">
        <f t="shared" si="74"/>
        <v/>
      </c>
      <c r="H349" s="545" t="str">
        <f t="shared" si="74"/>
        <v/>
      </c>
      <c r="I349" s="544" t="str">
        <f t="shared" si="74"/>
        <v/>
      </c>
      <c r="J349" s="489" t="str">
        <f t="shared" si="74"/>
        <v/>
      </c>
      <c r="K349" s="489" t="str">
        <f t="shared" si="74"/>
        <v/>
      </c>
      <c r="L349" s="492" t="str">
        <f t="shared" si="74"/>
        <v/>
      </c>
      <c r="M349" s="473" t="str">
        <f t="shared" si="74"/>
        <v/>
      </c>
      <c r="O349" s="159"/>
      <c r="P349" s="437" t="s">
        <v>563</v>
      </c>
      <c r="Q349" s="481" t="str">
        <f>IF(OR(R345="",R347=""),"",AVERAGE(R345,R347))</f>
        <v/>
      </c>
      <c r="R349" s="274" t="str">
        <f>IF(Q349="","",IF(AND(Q349&gt;=0,Q349&lt;0.9),"Pass","Fail"))</f>
        <v/>
      </c>
      <c r="S349" s="437" t="s">
        <v>563</v>
      </c>
      <c r="T349" s="481" t="str">
        <f>IF(OR(U345="",U347=""),"",AVERAGE(U345,U347))</f>
        <v/>
      </c>
      <c r="U349" s="274" t="str">
        <f>IF(T349="","",IF(AND(T349&gt;=0,T349&lt;0.9),"Pass","Fail"))</f>
        <v/>
      </c>
      <c r="V349" s="437" t="s">
        <v>563</v>
      </c>
      <c r="W349" s="481" t="str">
        <f>IF(OR(X345="",X347=""),"",AVERAGE(X345,X347))</f>
        <v/>
      </c>
      <c r="X349" s="274" t="str">
        <f>IF(W349="","",IF(AND(W349&gt;=0,W349&lt;0.9),"Pass","Fail"))</f>
        <v/>
      </c>
      <c r="Y349" s="161"/>
    </row>
    <row r="350" spans="1:25" ht="14.1" customHeight="1" thickBot="1">
      <c r="A350" s="146">
        <v>62</v>
      </c>
      <c r="B350" s="194"/>
      <c r="C350" s="136" t="s">
        <v>199</v>
      </c>
      <c r="D350" s="536" t="str">
        <f t="shared" si="74"/>
        <v/>
      </c>
      <c r="E350" s="493" t="str">
        <f t="shared" si="74"/>
        <v/>
      </c>
      <c r="F350" s="493" t="str">
        <f t="shared" si="74"/>
        <v/>
      </c>
      <c r="G350" s="494" t="str">
        <f t="shared" si="74"/>
        <v/>
      </c>
      <c r="H350" s="537" t="str">
        <f t="shared" si="74"/>
        <v/>
      </c>
      <c r="I350" s="536" t="str">
        <f t="shared" si="74"/>
        <v/>
      </c>
      <c r="J350" s="493" t="str">
        <f t="shared" si="74"/>
        <v/>
      </c>
      <c r="K350" s="493" t="str">
        <f t="shared" si="74"/>
        <v/>
      </c>
      <c r="L350" s="494" t="str">
        <f t="shared" si="74"/>
        <v/>
      </c>
      <c r="M350" s="546" t="str">
        <f t="shared" si="74"/>
        <v/>
      </c>
      <c r="O350" s="159"/>
      <c r="P350" s="446" t="s">
        <v>564</v>
      </c>
      <c r="Q350" s="489" t="str">
        <f>IF(OR(R344="",R348=""),"",AVERAGE(R344,R348))</f>
        <v/>
      </c>
      <c r="R350" s="281" t="str">
        <f>IF(Q350="","",IF(AND(Q350&gt;=0,Q350&lt;0.6),"Pass","Fail"))</f>
        <v/>
      </c>
      <c r="S350" s="446" t="s">
        <v>564</v>
      </c>
      <c r="T350" s="489" t="str">
        <f>IF(OR(U344="",U348=""),"",AVERAGE(U344,U348))</f>
        <v/>
      </c>
      <c r="U350" s="281" t="str">
        <f>IF(T350="","",IF(AND(T350&gt;=0,T350&lt;0.6),"Pass","Fail"))</f>
        <v/>
      </c>
      <c r="V350" s="446" t="s">
        <v>564</v>
      </c>
      <c r="W350" s="489" t="str">
        <f>IF(OR(X344="",X348=""),"",AVERAGE(X344,X348))</f>
        <v/>
      </c>
      <c r="X350" s="281" t="str">
        <f>IF(W350="","",IF(AND(W350&gt;=0,W350&lt;0.6),"Pass","Fail"))</f>
        <v/>
      </c>
      <c r="Y350" s="161"/>
    </row>
    <row r="351" spans="1:25" ht="14.1" customHeight="1">
      <c r="A351" s="146">
        <v>63</v>
      </c>
      <c r="B351" s="194"/>
      <c r="C351" s="136" t="s">
        <v>330</v>
      </c>
      <c r="D351" s="529" t="str">
        <f t="shared" si="74"/>
        <v/>
      </c>
      <c r="E351" s="373" t="str">
        <f t="shared" si="74"/>
        <v/>
      </c>
      <c r="F351" s="373" t="str">
        <f t="shared" si="74"/>
        <v/>
      </c>
      <c r="G351" s="484" t="str">
        <f t="shared" si="74"/>
        <v/>
      </c>
      <c r="H351" s="541" t="str">
        <f t="shared" si="74"/>
        <v/>
      </c>
      <c r="I351" s="529" t="str">
        <f t="shared" si="74"/>
        <v/>
      </c>
      <c r="J351" s="373" t="str">
        <f t="shared" si="74"/>
        <v/>
      </c>
      <c r="K351" s="373" t="str">
        <f t="shared" si="74"/>
        <v/>
      </c>
      <c r="L351" s="484" t="str">
        <f t="shared" si="74"/>
        <v/>
      </c>
      <c r="M351" s="542" t="str">
        <f t="shared" si="74"/>
        <v/>
      </c>
      <c r="O351" s="159" t="s">
        <v>310</v>
      </c>
      <c r="P351" s="437" t="s">
        <v>563</v>
      </c>
      <c r="Q351" s="547" t="str">
        <f>IF(AB133="","",AB133)</f>
        <v/>
      </c>
      <c r="S351" s="437" t="s">
        <v>563</v>
      </c>
      <c r="T351" s="547" t="str">
        <f>IF(AB135="","",AB135)</f>
        <v/>
      </c>
      <c r="V351" s="437" t="s">
        <v>563</v>
      </c>
      <c r="W351" s="547" t="str">
        <f>IF(AB137="","",AB137)</f>
        <v/>
      </c>
      <c r="Y351" s="161"/>
    </row>
    <row r="352" spans="1:25" ht="14.1" customHeight="1" thickBot="1">
      <c r="A352" s="146">
        <v>64</v>
      </c>
      <c r="B352" s="194"/>
      <c r="C352" s="418" t="s">
        <v>263</v>
      </c>
      <c r="D352" s="425" t="str">
        <f>IF(P401="","",P401)</f>
        <v/>
      </c>
      <c r="E352" s="548"/>
      <c r="F352" s="426" t="str">
        <f>IF(R401="","",R401)</f>
        <v/>
      </c>
      <c r="G352" s="426" t="str">
        <f>IF(S401="","",S401)</f>
        <v/>
      </c>
      <c r="H352" s="549"/>
      <c r="I352" s="425" t="str">
        <f>IF(U401="","",U401)</f>
        <v/>
      </c>
      <c r="J352" s="548"/>
      <c r="K352" s="426" t="str">
        <f>IF(W401="","",W401)</f>
        <v/>
      </c>
      <c r="L352" s="426" t="str">
        <f>IF(X401="","",X401)</f>
        <v/>
      </c>
      <c r="M352" s="550"/>
      <c r="O352" s="159"/>
      <c r="P352" s="446" t="s">
        <v>564</v>
      </c>
      <c r="Q352" s="551" t="str">
        <f>IF(AB134="","",AB134)</f>
        <v/>
      </c>
      <c r="S352" s="446" t="s">
        <v>564</v>
      </c>
      <c r="T352" s="551" t="str">
        <f>IF(AB136="","",AB136)</f>
        <v/>
      </c>
      <c r="V352" s="446" t="s">
        <v>564</v>
      </c>
      <c r="W352" s="551" t="str">
        <f>IF(AB138="","",AB138)</f>
        <v/>
      </c>
      <c r="Y352" s="161"/>
    </row>
    <row r="353" spans="1:25" ht="14.1" customHeight="1" thickBot="1">
      <c r="A353" s="146">
        <v>65</v>
      </c>
      <c r="B353" s="194"/>
      <c r="C353" s="136"/>
      <c r="D353" s="372"/>
      <c r="E353" s="372"/>
      <c r="F353" s="372"/>
      <c r="G353" s="271"/>
      <c r="H353" s="271"/>
      <c r="L353" s="136" t="s">
        <v>752</v>
      </c>
      <c r="M353" s="475" t="str">
        <f>IF(M350="","",IF(M350&gt;2.7,"Pass","Fail"))</f>
        <v/>
      </c>
      <c r="O353" s="159"/>
      <c r="P353" s="234" t="s">
        <v>193</v>
      </c>
      <c r="Q353" s="156" t="s">
        <v>569</v>
      </c>
      <c r="Y353" s="161"/>
    </row>
    <row r="354" spans="1:25" ht="14.1" customHeight="1" thickBot="1">
      <c r="A354" s="146">
        <v>66</v>
      </c>
      <c r="B354" s="194"/>
      <c r="C354" s="136"/>
      <c r="F354" s="130"/>
      <c r="G354" s="130"/>
      <c r="M354" s="197"/>
      <c r="O354" s="168"/>
      <c r="P354" s="169"/>
      <c r="Q354" s="169"/>
      <c r="R354" s="169"/>
      <c r="S354" s="169"/>
      <c r="T354" s="169"/>
      <c r="U354" s="169"/>
      <c r="V354" s="169"/>
      <c r="W354" s="169"/>
      <c r="X354" s="169"/>
      <c r="Y354" s="170"/>
    </row>
    <row r="355" spans="1:25" ht="14.1" customHeight="1" thickBot="1">
      <c r="A355" s="146">
        <v>67</v>
      </c>
      <c r="B355" s="194"/>
      <c r="D355" s="234" t="s">
        <v>193</v>
      </c>
      <c r="E355" s="156" t="s">
        <v>333</v>
      </c>
      <c r="M355" s="197"/>
      <c r="O355" s="260" t="s">
        <v>566</v>
      </c>
      <c r="P355" s="151"/>
      <c r="Q355" s="151"/>
      <c r="R355" s="151"/>
      <c r="S355" s="151"/>
      <c r="T355" s="151"/>
      <c r="U355" s="151"/>
      <c r="V355" s="151"/>
      <c r="W355" s="151"/>
      <c r="X355" s="151"/>
      <c r="Y355" s="152"/>
    </row>
    <row r="356" spans="1:25" ht="14.1" customHeight="1">
      <c r="A356" s="146">
        <v>68</v>
      </c>
      <c r="B356" s="194"/>
      <c r="E356" s="156" t="s">
        <v>751</v>
      </c>
      <c r="M356" s="197"/>
      <c r="O356" s="159"/>
      <c r="P356" s="347" t="s">
        <v>567</v>
      </c>
      <c r="Q356" s="274" t="s">
        <v>568</v>
      </c>
      <c r="R356" s="271"/>
      <c r="S356" s="118" t="s">
        <v>310</v>
      </c>
      <c r="T356" s="347" t="s">
        <v>567</v>
      </c>
      <c r="U356" s="274" t="s">
        <v>568</v>
      </c>
      <c r="W356" s="271"/>
      <c r="X356" s="271"/>
      <c r="Y356" s="552"/>
    </row>
    <row r="357" spans="1:25" ht="14.1" customHeight="1">
      <c r="A357" s="146">
        <v>69</v>
      </c>
      <c r="B357" s="194"/>
      <c r="E357" s="156"/>
      <c r="M357" s="197"/>
      <c r="O357" s="311" t="s">
        <v>177</v>
      </c>
      <c r="P357" s="553"/>
      <c r="Q357" s="554"/>
      <c r="R357" s="271"/>
      <c r="S357" s="136" t="s">
        <v>177</v>
      </c>
      <c r="T357" s="498" t="str">
        <f>IF(AB140="","",AB140)</f>
        <v/>
      </c>
      <c r="U357" s="555" t="str">
        <f>IF(AB144="","",AB144)</f>
        <v/>
      </c>
      <c r="W357" s="271"/>
      <c r="X357" s="271"/>
      <c r="Y357" s="552"/>
    </row>
    <row r="358" spans="1:25" ht="14.1" customHeight="1" thickBot="1">
      <c r="A358" s="146">
        <v>70</v>
      </c>
      <c r="B358" s="205"/>
      <c r="C358" s="206"/>
      <c r="D358" s="206"/>
      <c r="E358" s="206"/>
      <c r="F358" s="206"/>
      <c r="G358" s="206"/>
      <c r="H358" s="206"/>
      <c r="I358" s="206"/>
      <c r="J358" s="206"/>
      <c r="K358" s="206"/>
      <c r="L358" s="206"/>
      <c r="M358" s="207"/>
      <c r="O358" s="311" t="s">
        <v>179</v>
      </c>
      <c r="P358" s="553"/>
      <c r="Q358" s="554"/>
      <c r="R358" s="271"/>
      <c r="S358" s="136" t="s">
        <v>179</v>
      </c>
      <c r="T358" s="498" t="str">
        <f>IF(AB141="","",AB141)</f>
        <v/>
      </c>
      <c r="U358" s="555" t="str">
        <f>IF(AB145="","",AB145)</f>
        <v/>
      </c>
      <c r="W358" s="271"/>
      <c r="X358" s="271"/>
      <c r="Y358" s="552"/>
    </row>
    <row r="359" spans="1:25" ht="14.1" customHeight="1" thickTop="1" thickBot="1">
      <c r="A359" s="146">
        <v>71</v>
      </c>
      <c r="C359" s="230" t="s">
        <v>8</v>
      </c>
      <c r="D359" s="231" t="str">
        <f>IF($P$7="","",$P$7)</f>
        <v/>
      </c>
      <c r="E359" s="156"/>
      <c r="F359" s="156"/>
      <c r="G359" s="156"/>
      <c r="H359" s="156"/>
      <c r="I359" s="156"/>
      <c r="J359" s="156"/>
      <c r="K359" s="156"/>
      <c r="L359" s="230" t="s">
        <v>9</v>
      </c>
      <c r="M359" s="232" t="str">
        <f>IF($X$7="","",$X$7)</f>
        <v>Eugene Mah</v>
      </c>
      <c r="O359" s="311" t="s">
        <v>181</v>
      </c>
      <c r="P359" s="553"/>
      <c r="Q359" s="554"/>
      <c r="R359" s="271"/>
      <c r="S359" s="136" t="s">
        <v>181</v>
      </c>
      <c r="T359" s="502" t="str">
        <f>IF(AB142="","",AB142)</f>
        <v/>
      </c>
      <c r="U359" s="556" t="str">
        <f>IF(AB146="","",AB146)</f>
        <v/>
      </c>
      <c r="W359" s="271"/>
      <c r="X359" s="271"/>
      <c r="Y359" s="552"/>
    </row>
    <row r="360" spans="1:25" ht="14.1" customHeight="1" thickBot="1">
      <c r="A360" s="146">
        <v>72</v>
      </c>
      <c r="C360" s="230" t="s">
        <v>111</v>
      </c>
      <c r="D360" s="557" t="str">
        <f>IF($R$14="","",$R$14)</f>
        <v/>
      </c>
      <c r="E360" s="156"/>
      <c r="F360" s="156"/>
      <c r="G360" s="156"/>
      <c r="H360" s="156"/>
      <c r="I360" s="156"/>
      <c r="J360" s="156"/>
      <c r="K360" s="156"/>
      <c r="L360" s="230" t="s">
        <v>29</v>
      </c>
      <c r="M360" s="557" t="str">
        <f>IF($R$13="","",$R$13)</f>
        <v/>
      </c>
      <c r="O360" s="311" t="s">
        <v>207</v>
      </c>
      <c r="P360" s="279" t="str">
        <f>IF(OR(P357="",P358="",P359=""),"",IF(AND(P357&gt;=4,P358&gt;=3,P359&gt;=3),"Pass","Fail"))</f>
        <v/>
      </c>
      <c r="Q360" s="281" t="str">
        <f t="shared" ref="Q360" si="75">IF(OR(Q357="",Q358="",Q359=""),"",IF(AND(Q357&gt;=4,Q358&gt;=3,Q359&gt;=3),"Pass","Fail"))</f>
        <v/>
      </c>
      <c r="R360" s="271"/>
      <c r="U360" s="271"/>
      <c r="V360" s="271"/>
      <c r="W360" s="271"/>
      <c r="X360" s="271"/>
      <c r="Y360" s="552"/>
    </row>
    <row r="361" spans="1:25" ht="14.1" customHeight="1">
      <c r="A361" s="146">
        <v>1</v>
      </c>
      <c r="M361" s="233" t="str">
        <f>$H$2</f>
        <v>Medical University of South Carolina</v>
      </c>
      <c r="O361" s="159"/>
      <c r="P361" s="234" t="s">
        <v>193</v>
      </c>
      <c r="Q361" s="156" t="s">
        <v>570</v>
      </c>
      <c r="Y361" s="161"/>
    </row>
    <row r="362" spans="1:25" ht="14.1" customHeight="1" thickBot="1">
      <c r="A362" s="146">
        <v>2</v>
      </c>
      <c r="B362" s="206"/>
      <c r="C362" s="206"/>
      <c r="D362" s="206"/>
      <c r="E362" s="206"/>
      <c r="F362" s="206"/>
      <c r="G362" s="206"/>
      <c r="H362" s="558" t="s">
        <v>64</v>
      </c>
      <c r="I362" s="206"/>
      <c r="J362" s="206"/>
      <c r="K362" s="206"/>
      <c r="L362" s="206"/>
      <c r="M362" s="559" t="str">
        <f>$H$5</f>
        <v>Mammography System Compliance Inspection</v>
      </c>
      <c r="O362" s="208"/>
      <c r="P362" s="118" t="s">
        <v>696</v>
      </c>
      <c r="Y362" s="161"/>
    </row>
    <row r="363" spans="1:25" ht="14.1" customHeight="1" thickTop="1">
      <c r="A363" s="146">
        <v>3</v>
      </c>
      <c r="B363" s="194"/>
      <c r="C363" s="117" t="s">
        <v>334</v>
      </c>
      <c r="M363" s="197"/>
      <c r="O363" s="208"/>
      <c r="P363" s="118" t="s">
        <v>697</v>
      </c>
      <c r="Y363" s="161"/>
    </row>
    <row r="364" spans="1:25" ht="14.1" customHeight="1">
      <c r="A364" s="146">
        <v>4</v>
      </c>
      <c r="B364" s="194"/>
      <c r="C364" s="136" t="s">
        <v>43</v>
      </c>
      <c r="D364" s="196" t="str">
        <f>IF(Q407="","",Q407)</f>
        <v>/</v>
      </c>
      <c r="E364" s="136" t="s">
        <v>45</v>
      </c>
      <c r="F364" s="196">
        <f>IF(S407="","",S407)</f>
        <v>28</v>
      </c>
      <c r="M364" s="197"/>
      <c r="O364" s="208"/>
      <c r="P364" s="118" t="s">
        <v>695</v>
      </c>
      <c r="Y364" s="161"/>
    </row>
    <row r="365" spans="1:25" ht="14.1" customHeight="1" thickBot="1">
      <c r="A365" s="146">
        <v>5</v>
      </c>
      <c r="B365" s="194"/>
      <c r="D365" s="130"/>
      <c r="M365" s="197"/>
      <c r="O365" s="168"/>
      <c r="P365" s="357"/>
      <c r="Q365" s="357"/>
      <c r="R365" s="169"/>
      <c r="S365" s="169"/>
      <c r="T365" s="357"/>
      <c r="U365" s="357"/>
      <c r="V365" s="169"/>
      <c r="W365" s="560"/>
      <c r="X365" s="169"/>
      <c r="Y365" s="170"/>
    </row>
    <row r="366" spans="1:25" ht="14.1" customHeight="1" thickBot="1">
      <c r="A366" s="146">
        <v>6</v>
      </c>
      <c r="B366" s="194"/>
      <c r="C366" s="561" t="s">
        <v>338</v>
      </c>
      <c r="D366" s="561" t="s">
        <v>19</v>
      </c>
      <c r="E366" s="561" t="s">
        <v>331</v>
      </c>
      <c r="F366" s="561" t="s">
        <v>324</v>
      </c>
      <c r="G366" s="561" t="s">
        <v>325</v>
      </c>
      <c r="I366" s="268" t="str">
        <f>IF(F371="","",IF(F371&lt;=0.1,"Pass","Fail"))</f>
        <v/>
      </c>
      <c r="J366" s="118" t="s">
        <v>504</v>
      </c>
      <c r="M366" s="197"/>
      <c r="O366" s="260" t="s">
        <v>317</v>
      </c>
      <c r="P366" s="428"/>
      <c r="Q366" s="428"/>
      <c r="R366" s="151"/>
      <c r="S366" s="151"/>
      <c r="T366" s="428"/>
      <c r="U366" s="428"/>
      <c r="V366" s="151"/>
      <c r="W366" s="151"/>
      <c r="X366" s="151"/>
      <c r="Y366" s="152"/>
    </row>
    <row r="367" spans="1:25" ht="14.1" customHeight="1" thickBot="1">
      <c r="A367" s="146">
        <v>7</v>
      </c>
      <c r="B367" s="194"/>
      <c r="C367" s="122">
        <f t="shared" ref="C367:D370" si="76">IF(P409="","",P409)</f>
        <v>20</v>
      </c>
      <c r="D367" s="389" t="str">
        <f t="shared" si="76"/>
        <v/>
      </c>
      <c r="E367" s="389" t="str">
        <f t="shared" ref="E367:G370" si="77">IF(S409="","",S409)</f>
        <v/>
      </c>
      <c r="F367" s="133" t="str">
        <f t="shared" si="77"/>
        <v/>
      </c>
      <c r="G367" s="389" t="str">
        <f t="shared" si="77"/>
        <v/>
      </c>
      <c r="I367" s="268" t="str">
        <f>IF(O415=3,"NA",IF(O415=1,"Pass","Fail"))</f>
        <v>NA</v>
      </c>
      <c r="J367" s="118" t="s">
        <v>505</v>
      </c>
      <c r="M367" s="197"/>
      <c r="O367" s="159" t="s">
        <v>319</v>
      </c>
      <c r="P367" s="261" t="s">
        <v>745</v>
      </c>
      <c r="R367" s="136" t="s">
        <v>320</v>
      </c>
      <c r="S367" s="562"/>
      <c r="Y367" s="161"/>
    </row>
    <row r="368" spans="1:25" ht="14.1" customHeight="1" thickBot="1">
      <c r="A368" s="146">
        <v>8</v>
      </c>
      <c r="B368" s="194"/>
      <c r="C368" s="122">
        <f t="shared" si="76"/>
        <v>50</v>
      </c>
      <c r="D368" s="389" t="str">
        <f t="shared" si="76"/>
        <v/>
      </c>
      <c r="E368" s="389" t="str">
        <f t="shared" si="77"/>
        <v/>
      </c>
      <c r="F368" s="133" t="str">
        <f t="shared" si="77"/>
        <v/>
      </c>
      <c r="G368" s="389" t="str">
        <f t="shared" si="77"/>
        <v/>
      </c>
      <c r="I368" s="268" t="str">
        <f>IF(O416=3,"NA",IF(O416=2,"Fail",IF(O416=1,"Pass","NA")))</f>
        <v>NA</v>
      </c>
      <c r="J368" s="563" t="s">
        <v>757</v>
      </c>
      <c r="M368" s="197"/>
      <c r="O368" s="159" t="s">
        <v>321</v>
      </c>
      <c r="P368" s="261"/>
      <c r="R368" s="136" t="s">
        <v>322</v>
      </c>
      <c r="S368" s="562"/>
      <c r="Y368" s="161"/>
    </row>
    <row r="369" spans="1:25" ht="14.1" customHeight="1">
      <c r="A369" s="146">
        <v>9</v>
      </c>
      <c r="B369" s="194"/>
      <c r="C369" s="122">
        <f t="shared" si="76"/>
        <v>100</v>
      </c>
      <c r="D369" s="389" t="str">
        <f t="shared" si="76"/>
        <v/>
      </c>
      <c r="E369" s="389" t="str">
        <f t="shared" si="77"/>
        <v/>
      </c>
      <c r="F369" s="133" t="str">
        <f t="shared" si="77"/>
        <v/>
      </c>
      <c r="G369" s="389" t="str">
        <f t="shared" si="77"/>
        <v/>
      </c>
      <c r="M369" s="197"/>
      <c r="O369" s="159"/>
      <c r="S369" s="753" t="s">
        <v>323</v>
      </c>
      <c r="T369" s="753"/>
      <c r="U369" s="753"/>
      <c r="V369" s="753"/>
      <c r="W369" s="753"/>
      <c r="Y369" s="161"/>
    </row>
    <row r="370" spans="1:25" ht="14.1" customHeight="1" thickBot="1">
      <c r="A370" s="146">
        <v>10</v>
      </c>
      <c r="B370" s="194"/>
      <c r="C370" s="122">
        <f t="shared" si="76"/>
        <v>600</v>
      </c>
      <c r="D370" s="389" t="str">
        <f t="shared" si="76"/>
        <v/>
      </c>
      <c r="E370" s="389" t="str">
        <f t="shared" si="77"/>
        <v/>
      </c>
      <c r="F370" s="133" t="str">
        <f t="shared" si="77"/>
        <v/>
      </c>
      <c r="G370" s="389" t="str">
        <f t="shared" si="77"/>
        <v/>
      </c>
      <c r="M370" s="197"/>
      <c r="O370" s="159"/>
      <c r="P370" s="118" t="s">
        <v>62</v>
      </c>
      <c r="Q370" s="130" t="s">
        <v>258</v>
      </c>
      <c r="R370" s="130" t="s">
        <v>63</v>
      </c>
      <c r="S370" s="130" t="s">
        <v>19</v>
      </c>
      <c r="T370" s="130" t="s">
        <v>20</v>
      </c>
      <c r="U370" s="130" t="s">
        <v>21</v>
      </c>
      <c r="V370" s="130" t="s">
        <v>324</v>
      </c>
      <c r="W370" s="130" t="s">
        <v>325</v>
      </c>
      <c r="X370" s="130" t="s">
        <v>480</v>
      </c>
      <c r="Y370" s="161"/>
    </row>
    <row r="371" spans="1:25" ht="14.1" customHeight="1" thickBot="1">
      <c r="A371" s="146">
        <v>11</v>
      </c>
      <c r="B371" s="194"/>
      <c r="E371" s="136" t="s">
        <v>335</v>
      </c>
      <c r="F371" s="564" t="str">
        <f>IF(T413="","",T413)</f>
        <v/>
      </c>
      <c r="M371" s="197"/>
      <c r="O371" s="159"/>
      <c r="P371" s="780" t="str">
        <f>$V$21&amp;"/"&amp;$V$24</f>
        <v>/</v>
      </c>
      <c r="Q371" s="565">
        <f>IF(Sheet2!A4="","",Sheet2!A4)</f>
        <v>24</v>
      </c>
      <c r="R371" s="122">
        <f>IF(Sheet2!B4="","",Sheet2!B4)</f>
        <v>50</v>
      </c>
      <c r="S371" s="389" t="str">
        <f>IF(Sheet2!F4="","",Sheet2!F4)</f>
        <v/>
      </c>
      <c r="T371" s="389" t="str">
        <f>IF(Sheet2!G4="","",Sheet2!G4)</f>
        <v/>
      </c>
      <c r="U371" s="389" t="str">
        <f>IF(Sheet2!H4="","",Sheet2!H4)</f>
        <v/>
      </c>
      <c r="V371" s="133" t="str">
        <f>IF(U371="","",U371/R371)</f>
        <v/>
      </c>
      <c r="W371" s="566" t="str">
        <f>IF(U371="","",U371/(T371/1000))</f>
        <v/>
      </c>
      <c r="X371" s="567" t="str">
        <f>IF(S371="","",(S371-Q371)/Q371)</f>
        <v/>
      </c>
      <c r="Y371" s="161"/>
    </row>
    <row r="372" spans="1:25" ht="14.1" customHeight="1">
      <c r="A372" s="146">
        <v>12</v>
      </c>
      <c r="B372" s="194"/>
      <c r="D372" s="234" t="s">
        <v>193</v>
      </c>
      <c r="E372" s="156" t="s">
        <v>336</v>
      </c>
      <c r="M372" s="197"/>
      <c r="O372" s="159"/>
      <c r="P372" s="781"/>
      <c r="Q372" s="565">
        <f>IF(Sheet2!A5="","",Sheet2!A5)</f>
        <v>25</v>
      </c>
      <c r="R372" s="122">
        <f>IF(Sheet2!B5="","",Sheet2!B5)</f>
        <v>50</v>
      </c>
      <c r="S372" s="389" t="str">
        <f>IF(Sheet2!F6="","",Sheet2!F6)</f>
        <v/>
      </c>
      <c r="T372" s="389" t="str">
        <f>IF(Sheet2!G6="","",Sheet2!G6)</f>
        <v/>
      </c>
      <c r="U372" s="389" t="str">
        <f>IF(Sheet2!H6="","",Sheet2!H6)</f>
        <v/>
      </c>
      <c r="V372" s="133" t="str">
        <f t="shared" ref="V372:V376" si="78">IF(U372="","",U372/R372)</f>
        <v/>
      </c>
      <c r="W372" s="389" t="str">
        <f t="shared" ref="W372:W376" si="79">IF(U372="","",U372/(T372/1000))</f>
        <v/>
      </c>
      <c r="X372" s="567" t="str">
        <f t="shared" ref="X372:X376" si="80">IF(S372="","",(S372-Q372)/Q372)</f>
        <v/>
      </c>
      <c r="Y372" s="161"/>
    </row>
    <row r="373" spans="1:25" ht="14.1" customHeight="1" thickBot="1">
      <c r="A373" s="146">
        <v>13</v>
      </c>
      <c r="B373" s="194"/>
      <c r="C373" s="117" t="s">
        <v>339</v>
      </c>
      <c r="M373" s="197"/>
      <c r="O373" s="159"/>
      <c r="P373" s="781"/>
      <c r="Q373" s="565">
        <f>IF(Sheet2!A6="","",Sheet2!A6)</f>
        <v>26</v>
      </c>
      <c r="R373" s="122">
        <f>IF(Sheet2!B6="","",Sheet2!B6)</f>
        <v>50</v>
      </c>
      <c r="S373" s="389" t="str">
        <f>IF(Sheet2!F8="","",Sheet2!F8)</f>
        <v/>
      </c>
      <c r="T373" s="389" t="str">
        <f>IF(Sheet2!G8="","",Sheet2!G8)</f>
        <v/>
      </c>
      <c r="U373" s="389" t="str">
        <f>IF(Sheet2!H8="","",Sheet2!H8)</f>
        <v/>
      </c>
      <c r="V373" s="133" t="str">
        <f t="shared" si="78"/>
        <v/>
      </c>
      <c r="W373" s="389" t="str">
        <f t="shared" si="79"/>
        <v/>
      </c>
      <c r="X373" s="567" t="str">
        <f t="shared" si="80"/>
        <v/>
      </c>
      <c r="Y373" s="161"/>
    </row>
    <row r="374" spans="1:25" ht="14.1" customHeight="1">
      <c r="A374" s="146">
        <v>14</v>
      </c>
      <c r="B374" s="194"/>
      <c r="C374" s="347" t="s">
        <v>62</v>
      </c>
      <c r="D374" s="273" t="str">
        <f t="shared" ref="D374:F375" si="81">IF(Q418="","",Q418)</f>
        <v>/</v>
      </c>
      <c r="E374" s="273" t="str">
        <f t="shared" si="81"/>
        <v>/</v>
      </c>
      <c r="F374" s="274" t="str">
        <f t="shared" si="81"/>
        <v/>
      </c>
      <c r="G374" s="271"/>
      <c r="H374" s="271"/>
      <c r="I374" s="271"/>
      <c r="J374" s="271"/>
      <c r="K374" s="271"/>
      <c r="L374" s="271"/>
      <c r="M374" s="197"/>
      <c r="O374" s="159"/>
      <c r="P374" s="781"/>
      <c r="Q374" s="565">
        <f>IF(Sheet2!A8="","",Sheet2!A8)</f>
        <v>28</v>
      </c>
      <c r="R374" s="122">
        <f>IF(Sheet2!B8="","",Sheet2!B8)</f>
        <v>50</v>
      </c>
      <c r="S374" s="389" t="str">
        <f>IF(Sheet2!F8="","",AVERAGE(Sheet2!F7:F13))</f>
        <v/>
      </c>
      <c r="T374" s="389" t="str">
        <f>IF(Sheet2!G8="","",AVERAGE(Sheet2!G8:G11))</f>
        <v/>
      </c>
      <c r="U374" s="389" t="str">
        <f>IF(Sheet2!H8="","",AVERAGE(Sheet2!H8:H11))</f>
        <v/>
      </c>
      <c r="V374" s="133" t="str">
        <f t="shared" si="78"/>
        <v/>
      </c>
      <c r="W374" s="389" t="str">
        <f t="shared" si="79"/>
        <v/>
      </c>
      <c r="X374" s="567" t="str">
        <f t="shared" si="80"/>
        <v/>
      </c>
      <c r="Y374" s="161"/>
    </row>
    <row r="375" spans="1:25" ht="14.1" customHeight="1">
      <c r="A375" s="146">
        <v>15</v>
      </c>
      <c r="B375" s="194"/>
      <c r="C375" s="275" t="s">
        <v>19</v>
      </c>
      <c r="D375" s="135">
        <f t="shared" si="81"/>
        <v>28</v>
      </c>
      <c r="E375" s="135">
        <f t="shared" si="81"/>
        <v>28</v>
      </c>
      <c r="F375" s="276" t="str">
        <f t="shared" si="81"/>
        <v/>
      </c>
      <c r="G375" s="271"/>
      <c r="H375" s="271"/>
      <c r="I375" s="271"/>
      <c r="J375" s="271"/>
      <c r="K375" s="271"/>
      <c r="L375" s="271"/>
      <c r="M375" s="197"/>
      <c r="O375" s="159"/>
      <c r="P375" s="781"/>
      <c r="Q375" s="565">
        <f>IF(Sheet2!A14="","",Sheet2!A14)</f>
        <v>30</v>
      </c>
      <c r="R375" s="122">
        <f>IF(Sheet2!B14="","",Sheet2!B14)</f>
        <v>50</v>
      </c>
      <c r="S375" s="389" t="str">
        <f>IF(Sheet2!F14="","",Sheet2!F14)</f>
        <v/>
      </c>
      <c r="T375" s="389" t="str">
        <f>IF(Sheet2!G14="","",Sheet2!G14)</f>
        <v/>
      </c>
      <c r="U375" s="389" t="str">
        <f>IF(Sheet2!H14="","",Sheet2!H14)</f>
        <v/>
      </c>
      <c r="V375" s="133" t="str">
        <f t="shared" si="78"/>
        <v/>
      </c>
      <c r="W375" s="389" t="str">
        <f t="shared" si="79"/>
        <v/>
      </c>
      <c r="X375" s="567" t="str">
        <f t="shared" si="80"/>
        <v/>
      </c>
      <c r="Y375" s="161"/>
    </row>
    <row r="376" spans="1:25" ht="14.1" customHeight="1">
      <c r="A376" s="146">
        <v>16</v>
      </c>
      <c r="B376" s="194"/>
      <c r="C376" s="438" t="s">
        <v>414</v>
      </c>
      <c r="D376" s="373" t="str">
        <f t="shared" ref="D376:F377" si="82">IF(Q423="","",Q423)</f>
        <v/>
      </c>
      <c r="E376" s="373" t="str">
        <f t="shared" si="82"/>
        <v/>
      </c>
      <c r="F376" s="530" t="str">
        <f t="shared" si="82"/>
        <v/>
      </c>
      <c r="G376" s="271"/>
      <c r="H376" s="271"/>
      <c r="I376" s="271"/>
      <c r="J376" s="271"/>
      <c r="K376" s="271"/>
      <c r="L376" s="271"/>
      <c r="M376" s="197"/>
      <c r="O376" s="159"/>
      <c r="P376" s="781"/>
      <c r="Q376" s="565">
        <f>IF(Sheet2!A15="","",Sheet2!A15)</f>
        <v>32</v>
      </c>
      <c r="R376" s="122">
        <f>IF(Sheet2!B15="","",Sheet2!B15)</f>
        <v>50</v>
      </c>
      <c r="S376" s="389" t="str">
        <f>IF(Sheet2!F15="","",Sheet2!F15)</f>
        <v/>
      </c>
      <c r="T376" s="389" t="str">
        <f>IF(Sheet2!G15="","",Sheet2!G15)</f>
        <v/>
      </c>
      <c r="U376" s="389" t="str">
        <f>IF(Sheet2!H15="","",Sheet2!H15)</f>
        <v/>
      </c>
      <c r="V376" s="133" t="str">
        <f t="shared" si="78"/>
        <v/>
      </c>
      <c r="W376" s="389" t="str">
        <f t="shared" si="79"/>
        <v/>
      </c>
      <c r="X376" s="567" t="str">
        <f t="shared" si="80"/>
        <v/>
      </c>
      <c r="Y376" s="161"/>
    </row>
    <row r="377" spans="1:25" ht="14.1" customHeight="1">
      <c r="A377" s="146">
        <v>17</v>
      </c>
      <c r="B377" s="194"/>
      <c r="C377" s="438" t="s">
        <v>506</v>
      </c>
      <c r="D377" s="567" t="str">
        <f t="shared" si="82"/>
        <v/>
      </c>
      <c r="E377" s="567" t="str">
        <f t="shared" si="82"/>
        <v/>
      </c>
      <c r="F377" s="404" t="str">
        <f t="shared" si="82"/>
        <v/>
      </c>
      <c r="G377" s="271"/>
      <c r="H377" s="271"/>
      <c r="I377" s="271"/>
      <c r="J377" s="271"/>
      <c r="K377" s="271"/>
      <c r="L377" s="271"/>
      <c r="M377" s="197"/>
      <c r="O377" s="159"/>
      <c r="P377" s="782"/>
      <c r="Q377" s="565">
        <f>IF(Sheet2!A16="","",Sheet2!A16)</f>
        <v>34</v>
      </c>
      <c r="R377" s="122">
        <f>IF(Sheet2!B16="","",Sheet2!B16)</f>
        <v>50</v>
      </c>
      <c r="S377" s="389" t="str">
        <f>IF(Sheet2!F16="","",Sheet2!F16)</f>
        <v/>
      </c>
      <c r="T377" s="389" t="str">
        <f>IF(Sheet2!G16="","",Sheet2!G16)</f>
        <v/>
      </c>
      <c r="U377" s="389" t="str">
        <f>IF(Sheet2!H16="","",Sheet2!H16)</f>
        <v/>
      </c>
      <c r="V377" s="133" t="str">
        <f t="shared" ref="V377" si="83">IF(U377="","",U377/R377)</f>
        <v/>
      </c>
      <c r="W377" s="389" t="str">
        <f t="shared" ref="W377" si="84">IF(U377="","",U377/(T377/1000))</f>
        <v/>
      </c>
      <c r="X377" s="567" t="str">
        <f t="shared" ref="X377" si="85">IF(S377="","",(S377-Q377)/Q377)</f>
        <v/>
      </c>
      <c r="Y377" s="161"/>
    </row>
    <row r="378" spans="1:25" ht="14.1" customHeight="1" thickBot="1">
      <c r="A378" s="146">
        <v>18</v>
      </c>
      <c r="B378" s="194"/>
      <c r="C378" s="568" t="s">
        <v>207</v>
      </c>
      <c r="D378" s="280" t="str">
        <f>Q425</f>
        <v/>
      </c>
      <c r="E378" s="280" t="str">
        <f>R425</f>
        <v/>
      </c>
      <c r="F378" s="281">
        <f>S425</f>
        <v>0</v>
      </c>
      <c r="G378" s="271"/>
      <c r="H378" s="271"/>
      <c r="I378" s="271"/>
      <c r="J378" s="271"/>
      <c r="K378" s="271"/>
      <c r="L378" s="271"/>
      <c r="M378" s="197"/>
      <c r="O378" s="159"/>
      <c r="P378" s="780" t="str">
        <f>$V$21&amp;"/"&amp;V25</f>
        <v>/</v>
      </c>
      <c r="Q378" s="565">
        <f>IF(Sheet2!A17="","",Sheet2!A17)</f>
        <v>28</v>
      </c>
      <c r="R378" s="122">
        <f>IF(Sheet2!B17="","",Sheet2!B17)</f>
        <v>50</v>
      </c>
      <c r="S378" s="389" t="str">
        <f>IF(Sheet2!F17="","",Sheet2!F17)</f>
        <v/>
      </c>
      <c r="T378" s="389" t="str">
        <f>IF(Sheet2!G17="","",Sheet2!G17)</f>
        <v/>
      </c>
      <c r="U378" s="389" t="str">
        <f>IF(Sheet2!H17="","",Sheet2!H17)</f>
        <v/>
      </c>
      <c r="V378" s="133" t="str">
        <f t="shared" ref="V378:V383" si="86">IF(U378="","",U378/R378)</f>
        <v/>
      </c>
      <c r="W378" s="389" t="str">
        <f t="shared" ref="W378:W383" si="87">IF(U378="","",U378/(T378/1000))</f>
        <v/>
      </c>
      <c r="X378" s="567" t="str">
        <f t="shared" ref="X378:X383" si="88">IF(S378="","",(S378-Q378)/Q378)</f>
        <v/>
      </c>
      <c r="Y378" s="161"/>
    </row>
    <row r="379" spans="1:25" ht="14.1" customHeight="1">
      <c r="A379" s="146">
        <v>19</v>
      </c>
      <c r="B379" s="194"/>
      <c r="C379" s="271"/>
      <c r="D379" s="234" t="s">
        <v>193</v>
      </c>
      <c r="E379" s="156" t="s">
        <v>594</v>
      </c>
      <c r="F379" s="271"/>
      <c r="G379" s="271"/>
      <c r="H379" s="271"/>
      <c r="I379" s="271"/>
      <c r="J379" s="271"/>
      <c r="K379" s="271"/>
      <c r="L379" s="271"/>
      <c r="M379" s="197"/>
      <c r="O379" s="311"/>
      <c r="P379" s="781"/>
      <c r="Q379" s="565">
        <f>IF(Sheet2!A18="","",Sheet2!A18)</f>
        <v>30</v>
      </c>
      <c r="R379" s="122">
        <f>IF(Sheet2!B18="","",Sheet2!B18)</f>
        <v>50</v>
      </c>
      <c r="S379" s="389" t="str">
        <f>IF(Sheet2!F18="","",Sheet2!F18)</f>
        <v/>
      </c>
      <c r="T379" s="389" t="str">
        <f>IF(Sheet2!G18="","",Sheet2!G18)</f>
        <v/>
      </c>
      <c r="U379" s="389" t="str">
        <f>IF(Sheet2!H18="","",Sheet2!H18)</f>
        <v/>
      </c>
      <c r="V379" s="133" t="str">
        <f t="shared" si="86"/>
        <v/>
      </c>
      <c r="W379" s="389" t="str">
        <f t="shared" si="87"/>
        <v/>
      </c>
      <c r="X379" s="567" t="str">
        <f t="shared" si="88"/>
        <v/>
      </c>
      <c r="Y379" s="161"/>
    </row>
    <row r="380" spans="1:25" ht="14.1" customHeight="1">
      <c r="A380" s="146">
        <v>20</v>
      </c>
      <c r="B380" s="194"/>
      <c r="E380" s="156" t="s">
        <v>753</v>
      </c>
      <c r="M380" s="197"/>
      <c r="O380" s="159"/>
      <c r="P380" s="781"/>
      <c r="Q380" s="565">
        <f>IF(Sheet2!A19="","",Sheet2!A19)</f>
        <v>32</v>
      </c>
      <c r="R380" s="122">
        <f>IF(Sheet2!B19="","",Sheet2!B19)</f>
        <v>50</v>
      </c>
      <c r="S380" s="389" t="str">
        <f>IF(Sheet2!F19="","",Sheet2!F19)</f>
        <v/>
      </c>
      <c r="T380" s="389" t="str">
        <f>IF(Sheet2!G19="","",Sheet2!G19)</f>
        <v/>
      </c>
      <c r="U380" s="389" t="str">
        <f>IF(Sheet2!H19="","",Sheet2!H19)</f>
        <v/>
      </c>
      <c r="V380" s="133" t="str">
        <f t="shared" si="86"/>
        <v/>
      </c>
      <c r="W380" s="389" t="str">
        <f t="shared" si="87"/>
        <v/>
      </c>
      <c r="X380" s="567" t="str">
        <f t="shared" si="88"/>
        <v/>
      </c>
      <c r="Y380" s="161"/>
    </row>
    <row r="381" spans="1:25" ht="14.1" customHeight="1">
      <c r="A381" s="146">
        <v>21</v>
      </c>
      <c r="B381" s="194"/>
      <c r="C381" s="117" t="s">
        <v>308</v>
      </c>
      <c r="M381" s="197"/>
      <c r="O381" s="159"/>
      <c r="P381" s="781"/>
      <c r="Q381" s="565">
        <f>IF(Sheet2!A20="","",Sheet2!A20)</f>
        <v>34</v>
      </c>
      <c r="R381" s="122">
        <f>IF(Sheet2!B20="","",Sheet2!B20)</f>
        <v>50</v>
      </c>
      <c r="S381" s="389" t="str">
        <f>IF(Sheet2!F20="","",Sheet2!F20)</f>
        <v/>
      </c>
      <c r="T381" s="389" t="str">
        <f>IF(Sheet2!G20="","",Sheet2!G20)</f>
        <v/>
      </c>
      <c r="U381" s="389" t="str">
        <f>IF(Sheet2!H20="","",Sheet2!H20)</f>
        <v/>
      </c>
      <c r="V381" s="133" t="str">
        <f t="shared" si="86"/>
        <v/>
      </c>
      <c r="W381" s="389" t="str">
        <f t="shared" si="87"/>
        <v/>
      </c>
      <c r="X381" s="567" t="str">
        <f t="shared" si="88"/>
        <v/>
      </c>
      <c r="Y381" s="161"/>
    </row>
    <row r="382" spans="1:25" ht="14.1" customHeight="1" thickBot="1">
      <c r="A382" s="146">
        <v>22</v>
      </c>
      <c r="B382" s="194"/>
      <c r="D382" s="136" t="s">
        <v>163</v>
      </c>
      <c r="E382" s="196">
        <f>IF(Q459="","",Q459)</f>
        <v>28</v>
      </c>
      <c r="H382" s="130" t="s">
        <v>309</v>
      </c>
      <c r="I382" s="130" t="s">
        <v>310</v>
      </c>
      <c r="J382" s="130" t="s">
        <v>358</v>
      </c>
      <c r="K382" s="130" t="s">
        <v>279</v>
      </c>
      <c r="L382" s="130" t="s">
        <v>280</v>
      </c>
      <c r="M382" s="197"/>
      <c r="O382" s="159"/>
      <c r="P382" s="781"/>
      <c r="Q382" s="565" t="str">
        <f>IF(Sheet2!A21="","",Sheet2!A21)</f>
        <v/>
      </c>
      <c r="R382" s="122" t="str">
        <f>IF(Sheet2!B21="","",Sheet2!B21)</f>
        <v/>
      </c>
      <c r="S382" s="389" t="str">
        <f>IF(Sheet2!F21="","",Sheet2!F21)</f>
        <v/>
      </c>
      <c r="T382" s="389" t="str">
        <f>IF(Sheet2!G21="","",Sheet2!G21)</f>
        <v/>
      </c>
      <c r="U382" s="389" t="str">
        <f>IF(Sheet2!H21="","",Sheet2!H21)</f>
        <v/>
      </c>
      <c r="V382" s="133" t="str">
        <f t="shared" si="86"/>
        <v/>
      </c>
      <c r="W382" s="389" t="str">
        <f t="shared" si="87"/>
        <v/>
      </c>
      <c r="X382" s="567" t="str">
        <f t="shared" si="88"/>
        <v/>
      </c>
      <c r="Y382" s="161"/>
    </row>
    <row r="383" spans="1:25" ht="14.1" customHeight="1" thickBot="1">
      <c r="A383" s="146">
        <v>23</v>
      </c>
      <c r="B383" s="194"/>
      <c r="D383" s="136" t="s">
        <v>166</v>
      </c>
      <c r="E383" s="196">
        <f>IF(Q460="","",Q460)</f>
        <v>100</v>
      </c>
      <c r="G383" s="136" t="s">
        <v>188</v>
      </c>
      <c r="H383" s="569" t="str">
        <f>IF(T463="","",T463)</f>
        <v/>
      </c>
      <c r="I383" s="570" t="str">
        <f>IF(U463="","",U463)</f>
        <v/>
      </c>
      <c r="J383" s="570" t="str">
        <f>IF(W463="","",W463)</f>
        <v/>
      </c>
      <c r="K383" s="571" t="str">
        <f>IF(V463="","",V463)</f>
        <v/>
      </c>
      <c r="L383" s="572" t="str">
        <f>IF(X463="","",X463)</f>
        <v/>
      </c>
      <c r="M383" s="197"/>
      <c r="O383" s="159"/>
      <c r="P383" s="782"/>
      <c r="Q383" s="565" t="str">
        <f>IF(Sheet2!A22="","",Sheet2!A22)</f>
        <v/>
      </c>
      <c r="R383" s="122" t="str">
        <f>IF(Sheet2!B22="","",Sheet2!B22)</f>
        <v/>
      </c>
      <c r="S383" s="389" t="str">
        <f>IF(Sheet2!F22="","",Sheet2!F22)</f>
        <v/>
      </c>
      <c r="T383" s="389" t="str">
        <f>IF(Sheet2!G22="","",Sheet2!G22)</f>
        <v/>
      </c>
      <c r="U383" s="389" t="str">
        <f>IF(Sheet2!H22="","",Sheet2!H22)</f>
        <v/>
      </c>
      <c r="V383" s="133" t="str">
        <f t="shared" si="86"/>
        <v/>
      </c>
      <c r="W383" s="389" t="str">
        <f t="shared" si="87"/>
        <v/>
      </c>
      <c r="X383" s="567" t="str">
        <f t="shared" si="88"/>
        <v/>
      </c>
      <c r="Y383" s="161"/>
    </row>
    <row r="384" spans="1:25" ht="14.1" customHeight="1" thickBot="1">
      <c r="A384" s="146">
        <v>24</v>
      </c>
      <c r="B384" s="194"/>
      <c r="D384" s="136" t="s">
        <v>43</v>
      </c>
      <c r="E384" s="196" t="str">
        <f>IF(Q461="","",Q461)</f>
        <v/>
      </c>
      <c r="G384" s="136" t="s">
        <v>189</v>
      </c>
      <c r="H384" s="573" t="str">
        <f>IF(T464="","",T464)</f>
        <v/>
      </c>
      <c r="I384" s="574" t="str">
        <f>IF(U464="","",U464)</f>
        <v/>
      </c>
      <c r="J384" s="574" t="str">
        <f>IF(W464="","",W464)</f>
        <v/>
      </c>
      <c r="K384" s="575" t="str">
        <f>IF(V464="","",V464)</f>
        <v/>
      </c>
      <c r="L384" s="268" t="str">
        <f>IF(X464="","",X464)</f>
        <v/>
      </c>
      <c r="M384" s="197"/>
      <c r="O384" s="159"/>
      <c r="P384" s="780"/>
      <c r="Q384" s="565"/>
      <c r="R384" s="122"/>
      <c r="S384" s="389"/>
      <c r="T384" s="389"/>
      <c r="U384" s="389"/>
      <c r="V384" s="133"/>
      <c r="W384" s="389"/>
      <c r="X384" s="567"/>
      <c r="Y384" s="161"/>
    </row>
    <row r="385" spans="1:25" ht="14.1" customHeight="1">
      <c r="A385" s="146">
        <v>25</v>
      </c>
      <c r="B385" s="194"/>
      <c r="D385" s="136" t="s">
        <v>45</v>
      </c>
      <c r="E385" s="196" t="str">
        <f>IF(Q462="","",Q462)</f>
        <v/>
      </c>
      <c r="M385" s="197"/>
      <c r="O385" s="159"/>
      <c r="P385" s="781"/>
      <c r="Q385" s="565"/>
      <c r="R385" s="122"/>
      <c r="S385" s="389"/>
      <c r="T385" s="389"/>
      <c r="U385" s="389"/>
      <c r="V385" s="133"/>
      <c r="W385" s="389"/>
      <c r="X385" s="567"/>
      <c r="Y385" s="161"/>
    </row>
    <row r="386" spans="1:25" ht="14.1" customHeight="1">
      <c r="A386" s="146">
        <v>26</v>
      </c>
      <c r="B386" s="194"/>
      <c r="D386" s="234" t="s">
        <v>193</v>
      </c>
      <c r="E386" s="156" t="s">
        <v>359</v>
      </c>
      <c r="M386" s="197"/>
      <c r="O386" s="159"/>
      <c r="P386" s="781"/>
      <c r="Q386" s="565"/>
      <c r="R386" s="122"/>
      <c r="S386" s="389"/>
      <c r="T386" s="389"/>
      <c r="U386" s="389"/>
      <c r="V386" s="133"/>
      <c r="W386" s="389"/>
      <c r="X386" s="567"/>
      <c r="Y386" s="161"/>
    </row>
    <row r="387" spans="1:25" ht="14.1" customHeight="1">
      <c r="A387" s="146">
        <v>27</v>
      </c>
      <c r="B387" s="194"/>
      <c r="E387" s="156" t="s">
        <v>360</v>
      </c>
      <c r="M387" s="197"/>
      <c r="O387" s="159"/>
      <c r="P387" s="781"/>
      <c r="Q387" s="565"/>
      <c r="R387" s="122"/>
      <c r="S387" s="389"/>
      <c r="T387" s="389"/>
      <c r="U387" s="389"/>
      <c r="V387" s="133"/>
      <c r="W387" s="389"/>
      <c r="X387" s="567"/>
      <c r="Y387" s="161"/>
    </row>
    <row r="388" spans="1:25" ht="14.1" customHeight="1">
      <c r="A388" s="146">
        <v>28</v>
      </c>
      <c r="B388" s="194"/>
      <c r="E388" s="156" t="s">
        <v>796</v>
      </c>
      <c r="M388" s="197"/>
      <c r="O388" s="159"/>
      <c r="P388" s="782"/>
      <c r="Q388" s="565"/>
      <c r="R388" s="122"/>
      <c r="S388" s="389"/>
      <c r="T388" s="389"/>
      <c r="U388" s="389"/>
      <c r="V388" s="133"/>
      <c r="W388" s="389"/>
      <c r="X388" s="567"/>
      <c r="Y388" s="161"/>
    </row>
    <row r="389" spans="1:25" ht="14.1" customHeight="1">
      <c r="A389" s="146">
        <v>29</v>
      </c>
      <c r="B389" s="194"/>
      <c r="C389" s="117" t="s">
        <v>311</v>
      </c>
      <c r="M389" s="197"/>
      <c r="O389" s="159"/>
      <c r="P389" s="234" t="s">
        <v>193</v>
      </c>
      <c r="Q389" s="156" t="s">
        <v>327</v>
      </c>
      <c r="Y389" s="161"/>
    </row>
    <row r="390" spans="1:25" ht="14.1" customHeight="1" thickBot="1">
      <c r="A390" s="146">
        <v>30</v>
      </c>
      <c r="B390" s="194"/>
      <c r="D390" s="138" t="s">
        <v>312</v>
      </c>
      <c r="E390" s="138"/>
      <c r="F390" s="154"/>
      <c r="G390" s="154"/>
      <c r="H390" s="138" t="s">
        <v>313</v>
      </c>
      <c r="I390" s="138"/>
      <c r="K390" s="154"/>
      <c r="L390" s="576" t="s">
        <v>314</v>
      </c>
      <c r="M390" s="576"/>
      <c r="O390" s="168"/>
      <c r="P390" s="169"/>
      <c r="Q390" s="169"/>
      <c r="R390" s="169"/>
      <c r="S390" s="169"/>
      <c r="T390" s="169"/>
      <c r="U390" s="169"/>
      <c r="V390" s="169"/>
      <c r="W390" s="169"/>
      <c r="X390" s="169"/>
      <c r="Y390" s="170"/>
    </row>
    <row r="391" spans="1:25" ht="14.1" customHeight="1" thickBot="1">
      <c r="A391" s="146">
        <v>31</v>
      </c>
      <c r="B391" s="194"/>
      <c r="C391" s="154"/>
      <c r="D391" s="136" t="s">
        <v>163</v>
      </c>
      <c r="E391" s="577" t="str">
        <f t="shared" ref="E391:E396" si="89">IF(Q432="","",Q432)</f>
        <v/>
      </c>
      <c r="F391" s="154"/>
      <c r="G391" s="136" t="s">
        <v>760</v>
      </c>
      <c r="H391" s="347" t="str">
        <f t="shared" ref="H391:J398" si="90">IF(Q447="","",Q447)</f>
        <v>2D</v>
      </c>
      <c r="I391" s="273" t="str">
        <f t="shared" si="90"/>
        <v/>
      </c>
      <c r="J391" s="274" t="str">
        <f t="shared" si="90"/>
        <v>3D</v>
      </c>
      <c r="K391" s="154"/>
      <c r="L391" s="130" t="s">
        <v>243</v>
      </c>
      <c r="M391" s="470" t="s">
        <v>244</v>
      </c>
      <c r="O391" s="260" t="s">
        <v>328</v>
      </c>
      <c r="P391" s="151"/>
      <c r="Q391" s="151"/>
      <c r="R391" s="151"/>
      <c r="S391" s="151"/>
      <c r="T391" s="151"/>
      <c r="U391" s="151"/>
      <c r="V391" s="151"/>
      <c r="W391" s="151"/>
      <c r="X391" s="151"/>
      <c r="Y391" s="152"/>
    </row>
    <row r="392" spans="1:25" ht="14.1" customHeight="1" thickBot="1">
      <c r="A392" s="146">
        <v>32</v>
      </c>
      <c r="B392" s="194"/>
      <c r="C392" s="154"/>
      <c r="D392" s="136" t="s">
        <v>166</v>
      </c>
      <c r="E392" s="578" t="str">
        <f t="shared" si="89"/>
        <v/>
      </c>
      <c r="F392" s="154"/>
      <c r="G392" s="136" t="s">
        <v>62</v>
      </c>
      <c r="H392" s="275" t="str">
        <f t="shared" si="90"/>
        <v/>
      </c>
      <c r="I392" s="135" t="str">
        <f t="shared" si="90"/>
        <v/>
      </c>
      <c r="J392" s="276" t="str">
        <f t="shared" si="90"/>
        <v/>
      </c>
      <c r="K392" s="154"/>
      <c r="L392" s="136" t="s">
        <v>316</v>
      </c>
      <c r="M392" s="579" t="str">
        <f>IF(R440="","",R440)</f>
        <v/>
      </c>
      <c r="O392" s="159"/>
      <c r="P392" s="524" t="s">
        <v>85</v>
      </c>
      <c r="Q392" s="525" t="str">
        <f>P371</f>
        <v>/</v>
      </c>
      <c r="R392" s="526" t="s">
        <v>163</v>
      </c>
      <c r="S392" s="324">
        <f>Q374</f>
        <v>28</v>
      </c>
      <c r="T392" s="152"/>
      <c r="U392" s="524" t="s">
        <v>85</v>
      </c>
      <c r="V392" s="525" t="str">
        <f>P378</f>
        <v>/</v>
      </c>
      <c r="W392" s="527" t="s">
        <v>163</v>
      </c>
      <c r="X392" s="250">
        <f>Q378</f>
        <v>28</v>
      </c>
      <c r="Y392" s="152"/>
    </row>
    <row r="393" spans="1:25" ht="14.1" customHeight="1">
      <c r="A393" s="146">
        <v>33</v>
      </c>
      <c r="B393" s="194"/>
      <c r="C393" s="154"/>
      <c r="D393" s="136" t="s">
        <v>318</v>
      </c>
      <c r="E393" s="578" t="str">
        <f t="shared" si="89"/>
        <v/>
      </c>
      <c r="F393" s="154"/>
      <c r="G393" s="136" t="s">
        <v>163</v>
      </c>
      <c r="H393" s="275" t="str">
        <f t="shared" si="90"/>
        <v/>
      </c>
      <c r="I393" s="135" t="str">
        <f t="shared" si="90"/>
        <v/>
      </c>
      <c r="J393" s="276" t="str">
        <f t="shared" si="90"/>
        <v/>
      </c>
      <c r="K393" s="136" t="s">
        <v>177</v>
      </c>
      <c r="L393" s="334" t="str">
        <f t="shared" ref="L393:M395" si="91">IF(Q442="","",Q442)</f>
        <v/>
      </c>
      <c r="M393" s="580" t="str">
        <f t="shared" si="91"/>
        <v/>
      </c>
      <c r="O393" s="581"/>
      <c r="P393" s="468"/>
      <c r="R393" s="136" t="s">
        <v>208</v>
      </c>
      <c r="S393" s="196">
        <f>R374</f>
        <v>50</v>
      </c>
      <c r="T393" s="382"/>
      <c r="W393" s="136" t="s">
        <v>208</v>
      </c>
      <c r="X393" s="196">
        <f>R378</f>
        <v>50</v>
      </c>
      <c r="Y393" s="161"/>
    </row>
    <row r="394" spans="1:25" ht="14.1" customHeight="1" thickBot="1">
      <c r="A394" s="146">
        <v>34</v>
      </c>
      <c r="B394" s="194"/>
      <c r="C394" s="154"/>
      <c r="D394" s="136" t="s">
        <v>172</v>
      </c>
      <c r="E394" s="578" t="str">
        <f t="shared" si="89"/>
        <v/>
      </c>
      <c r="F394" s="154"/>
      <c r="G394" s="136" t="s">
        <v>166</v>
      </c>
      <c r="H394" s="275" t="str">
        <f t="shared" si="90"/>
        <v/>
      </c>
      <c r="I394" s="135" t="str">
        <f t="shared" si="90"/>
        <v/>
      </c>
      <c r="J394" s="276" t="str">
        <f t="shared" si="90"/>
        <v/>
      </c>
      <c r="K394" s="136" t="s">
        <v>179</v>
      </c>
      <c r="L394" s="121" t="str">
        <f t="shared" si="91"/>
        <v/>
      </c>
      <c r="M394" s="582" t="str">
        <f t="shared" si="91"/>
        <v/>
      </c>
      <c r="O394" s="583"/>
      <c r="P394" s="584" t="s">
        <v>19</v>
      </c>
      <c r="Q394" s="130" t="s">
        <v>20</v>
      </c>
      <c r="R394" s="130" t="s">
        <v>21</v>
      </c>
      <c r="S394" s="130" t="s">
        <v>324</v>
      </c>
      <c r="T394" s="382" t="s">
        <v>325</v>
      </c>
      <c r="U394" s="531" t="s">
        <v>19</v>
      </c>
      <c r="V394" s="532" t="s">
        <v>20</v>
      </c>
      <c r="W394" s="532" t="s">
        <v>21</v>
      </c>
      <c r="X394" s="532" t="s">
        <v>324</v>
      </c>
      <c r="Y394" s="533" t="s">
        <v>325</v>
      </c>
    </row>
    <row r="395" spans="1:25" ht="14.1" customHeight="1" thickBot="1">
      <c r="A395" s="146">
        <v>35</v>
      </c>
      <c r="B395" s="194"/>
      <c r="C395" s="154"/>
      <c r="D395" s="136" t="s">
        <v>174</v>
      </c>
      <c r="E395" s="578" t="str">
        <f t="shared" si="89"/>
        <v/>
      </c>
      <c r="F395" s="154"/>
      <c r="G395" s="136" t="s">
        <v>177</v>
      </c>
      <c r="H395" s="275" t="str">
        <f t="shared" si="90"/>
        <v/>
      </c>
      <c r="I395" s="135" t="str">
        <f t="shared" si="90"/>
        <v/>
      </c>
      <c r="J395" s="276" t="str">
        <f t="shared" si="90"/>
        <v/>
      </c>
      <c r="K395" s="136" t="s">
        <v>181</v>
      </c>
      <c r="L395" s="124" t="str">
        <f t="shared" si="91"/>
        <v/>
      </c>
      <c r="M395" s="585" t="str">
        <f t="shared" si="91"/>
        <v/>
      </c>
      <c r="O395" s="583"/>
      <c r="P395" s="586" t="str">
        <f>IF(Sheet2!F8="","",Sheet2!F8)</f>
        <v/>
      </c>
      <c r="Q395" s="384" t="str">
        <f>IF(Sheet2!G8="","",Sheet2!G8)</f>
        <v/>
      </c>
      <c r="R395" s="384" t="str">
        <f>IF(Sheet2!H8="","",Sheet2!H8)</f>
        <v/>
      </c>
      <c r="S395" s="454" t="str">
        <f>IF(R395="","",R395/$S$393)</f>
        <v/>
      </c>
      <c r="T395" s="455" t="str">
        <f>IF(OR(R395="",Q395=""),"",R395/(Q395/1000))</f>
        <v/>
      </c>
      <c r="U395" s="586"/>
      <c r="V395" s="384"/>
      <c r="W395" s="384"/>
      <c r="X395" s="454"/>
      <c r="Y395" s="455"/>
    </row>
    <row r="396" spans="1:25" ht="14.1" customHeight="1" thickBot="1">
      <c r="A396" s="146">
        <v>36</v>
      </c>
      <c r="B396" s="194"/>
      <c r="C396" s="154"/>
      <c r="D396" s="136" t="s">
        <v>175</v>
      </c>
      <c r="E396" s="578" t="str">
        <f t="shared" si="89"/>
        <v/>
      </c>
      <c r="F396" s="154"/>
      <c r="G396" s="136" t="s">
        <v>179</v>
      </c>
      <c r="H396" s="275" t="str">
        <f t="shared" si="90"/>
        <v/>
      </c>
      <c r="I396" s="135" t="str">
        <f t="shared" si="90"/>
        <v/>
      </c>
      <c r="J396" s="276" t="str">
        <f t="shared" si="90"/>
        <v/>
      </c>
      <c r="K396" s="154"/>
      <c r="L396" s="136" t="s">
        <v>316</v>
      </c>
      <c r="M396" s="579" t="str">
        <f>IF(V440="","",V440)</f>
        <v/>
      </c>
      <c r="O396" s="583"/>
      <c r="P396" s="587" t="str">
        <f>IF(Sheet2!F9="","",Sheet2!F9)</f>
        <v/>
      </c>
      <c r="Q396" s="389" t="str">
        <f>IF(Sheet2!G9="","",Sheet2!G9)</f>
        <v/>
      </c>
      <c r="R396" s="389" t="str">
        <f>IF(Sheet2!H9="","",Sheet2!H9)</f>
        <v/>
      </c>
      <c r="S396" s="133" t="str">
        <f>IF(R396="","",R396/$S$393)</f>
        <v/>
      </c>
      <c r="T396" s="456" t="str">
        <f>IF(OR(R396="",Q396=""),"",R396/(Q396/1000))</f>
        <v/>
      </c>
      <c r="U396" s="587"/>
      <c r="V396" s="389"/>
      <c r="W396" s="389"/>
      <c r="X396" s="133"/>
      <c r="Y396" s="456"/>
    </row>
    <row r="397" spans="1:25" ht="14.1" customHeight="1" thickBot="1">
      <c r="A397" s="146">
        <v>37</v>
      </c>
      <c r="B397" s="194"/>
      <c r="D397" s="136" t="s">
        <v>177</v>
      </c>
      <c r="E397" s="578" t="str">
        <f>IF(U432="","",U432)</f>
        <v/>
      </c>
      <c r="F397" s="154"/>
      <c r="G397" s="136" t="s">
        <v>181</v>
      </c>
      <c r="H397" s="391" t="str">
        <f t="shared" si="90"/>
        <v/>
      </c>
      <c r="I397" s="392" t="str">
        <f t="shared" si="90"/>
        <v/>
      </c>
      <c r="J397" s="588" t="str">
        <f t="shared" si="90"/>
        <v/>
      </c>
      <c r="K397" s="136" t="s">
        <v>177</v>
      </c>
      <c r="L397" s="334" t="str">
        <f t="shared" ref="L397:M399" si="92">IF(U442="","",U442)</f>
        <v/>
      </c>
      <c r="M397" s="580" t="str">
        <f t="shared" si="92"/>
        <v/>
      </c>
      <c r="O397" s="583"/>
      <c r="P397" s="587" t="str">
        <f>IF(Sheet2!F10="","",Sheet2!F10)</f>
        <v/>
      </c>
      <c r="Q397" s="389" t="str">
        <f>IF(Sheet2!G10="","",Sheet2!G10)</f>
        <v/>
      </c>
      <c r="R397" s="389" t="str">
        <f>IF(Sheet2!H10="","",Sheet2!H10)</f>
        <v/>
      </c>
      <c r="S397" s="133" t="str">
        <f>IF(R397="","",R397/$S$393)</f>
        <v/>
      </c>
      <c r="T397" s="456" t="str">
        <f>IF(OR(R397="",Q397=""),"",R397/(Q397/1000))</f>
        <v/>
      </c>
      <c r="U397" s="587"/>
      <c r="V397" s="389"/>
      <c r="W397" s="389"/>
      <c r="X397" s="133"/>
      <c r="Y397" s="456"/>
    </row>
    <row r="398" spans="1:25" ht="14.1" customHeight="1" thickBot="1">
      <c r="A398" s="146">
        <v>38</v>
      </c>
      <c r="B398" s="194"/>
      <c r="D398" s="136" t="s">
        <v>179</v>
      </c>
      <c r="E398" s="578" t="str">
        <f>IF(U433="","",U433)</f>
        <v/>
      </c>
      <c r="G398" s="136"/>
      <c r="H398" s="391" t="str">
        <f t="shared" si="90"/>
        <v/>
      </c>
      <c r="I398" s="392" t="str">
        <f t="shared" si="90"/>
        <v/>
      </c>
      <c r="J398" s="588" t="str">
        <f t="shared" si="90"/>
        <v/>
      </c>
      <c r="K398" s="136" t="s">
        <v>179</v>
      </c>
      <c r="L398" s="121" t="str">
        <f t="shared" si="92"/>
        <v/>
      </c>
      <c r="M398" s="582" t="str">
        <f t="shared" si="92"/>
        <v/>
      </c>
      <c r="O398" s="583"/>
      <c r="P398" s="589" t="str">
        <f>IF(Sheet2!F11="","",Sheet2!F11)</f>
        <v/>
      </c>
      <c r="Q398" s="590" t="str">
        <f>IF(Sheet2!G11="","",Sheet2!G11)</f>
        <v/>
      </c>
      <c r="R398" s="590" t="str">
        <f>IF(Sheet2!H11="","",Sheet2!H11)</f>
        <v/>
      </c>
      <c r="S398" s="460" t="str">
        <f>IF(R398="","",R398/$S$393)</f>
        <v/>
      </c>
      <c r="T398" s="461" t="str">
        <f>IF(OR(R398="",Q398=""),"",R398/(Q398/1000))</f>
        <v/>
      </c>
      <c r="U398" s="589"/>
      <c r="V398" s="590"/>
      <c r="W398" s="590"/>
      <c r="X398" s="460"/>
      <c r="Y398" s="461"/>
    </row>
    <row r="399" spans="1:25" ht="14.1" customHeight="1" thickBot="1">
      <c r="A399" s="146">
        <v>39</v>
      </c>
      <c r="B399" s="194"/>
      <c r="D399" s="136" t="s">
        <v>181</v>
      </c>
      <c r="E399" s="591" t="str">
        <f>IF(U434="","",U434)</f>
        <v/>
      </c>
      <c r="K399" s="136" t="s">
        <v>181</v>
      </c>
      <c r="L399" s="124" t="str">
        <f t="shared" si="92"/>
        <v/>
      </c>
      <c r="M399" s="585" t="str">
        <f t="shared" si="92"/>
        <v/>
      </c>
      <c r="O399" s="581" t="s">
        <v>199</v>
      </c>
      <c r="P399" s="592" t="str">
        <f t="shared" ref="P399:T399" si="93">IF(OR(P395="",P396="",P397="",P398=""),"",AVERAGE(P395:P398))</f>
        <v/>
      </c>
      <c r="Q399" s="593" t="str">
        <f t="shared" si="93"/>
        <v/>
      </c>
      <c r="R399" s="452" t="str">
        <f t="shared" si="93"/>
        <v/>
      </c>
      <c r="S399" s="594" t="str">
        <f t="shared" si="93"/>
        <v/>
      </c>
      <c r="T399" s="595" t="str">
        <f t="shared" si="93"/>
        <v/>
      </c>
      <c r="U399" s="592"/>
      <c r="V399" s="593"/>
      <c r="W399" s="452"/>
      <c r="X399" s="594"/>
      <c r="Y399" s="595"/>
    </row>
    <row r="400" spans="1:25" ht="14.1" customHeight="1">
      <c r="A400" s="146">
        <v>40</v>
      </c>
      <c r="B400" s="194"/>
      <c r="D400" s="234" t="s">
        <v>193</v>
      </c>
      <c r="E400" s="289" t="s">
        <v>352</v>
      </c>
      <c r="M400" s="596"/>
      <c r="O400" s="581" t="s">
        <v>330</v>
      </c>
      <c r="P400" s="587" t="str">
        <f t="shared" ref="P400:T400" si="94">IF(OR(P395="",P396="",P397="",P398=""),"",_xlfn.STDEV.S(P395:P398))</f>
        <v/>
      </c>
      <c r="Q400" s="389" t="str">
        <f t="shared" si="94"/>
        <v/>
      </c>
      <c r="R400" s="389" t="str">
        <f t="shared" si="94"/>
        <v/>
      </c>
      <c r="S400" s="133" t="str">
        <f t="shared" si="94"/>
        <v/>
      </c>
      <c r="T400" s="456" t="str">
        <f t="shared" si="94"/>
        <v/>
      </c>
      <c r="U400" s="587"/>
      <c r="V400" s="389"/>
      <c r="W400" s="389"/>
      <c r="X400" s="133"/>
      <c r="Y400" s="456"/>
    </row>
    <row r="401" spans="1:25" ht="14.1" customHeight="1" thickBot="1">
      <c r="A401" s="146">
        <v>41</v>
      </c>
      <c r="B401" s="352"/>
      <c r="C401" s="353"/>
      <c r="D401" s="353"/>
      <c r="E401" s="353"/>
      <c r="F401" s="353"/>
      <c r="G401" s="353"/>
      <c r="H401" s="353"/>
      <c r="I401" s="353"/>
      <c r="J401" s="353"/>
      <c r="K401" s="353"/>
      <c r="L401" s="353"/>
      <c r="M401" s="356"/>
      <c r="O401" s="581" t="s">
        <v>263</v>
      </c>
      <c r="P401" s="410" t="str">
        <f t="shared" ref="P401:T401" si="95">IF(OR(P399="",P400=""),"",P400/P399)</f>
        <v/>
      </c>
      <c r="Q401" s="411" t="str">
        <f t="shared" si="95"/>
        <v/>
      </c>
      <c r="R401" s="411" t="str">
        <f t="shared" si="95"/>
        <v/>
      </c>
      <c r="S401" s="597" t="str">
        <f t="shared" si="95"/>
        <v/>
      </c>
      <c r="T401" s="598" t="str">
        <f t="shared" si="95"/>
        <v/>
      </c>
      <c r="U401" s="410"/>
      <c r="V401" s="411"/>
      <c r="W401" s="411"/>
      <c r="X401" s="597"/>
      <c r="Y401" s="598"/>
    </row>
    <row r="402" spans="1:25" ht="14.1" customHeight="1">
      <c r="A402" s="146">
        <v>42</v>
      </c>
      <c r="B402" s="194"/>
      <c r="M402" s="197"/>
      <c r="O402" s="581" t="s">
        <v>332</v>
      </c>
      <c r="P402" s="130"/>
      <c r="Q402" s="130"/>
      <c r="R402" s="599"/>
      <c r="S402" s="600" t="str">
        <f>IF(AB88="","",AB88)</f>
        <v/>
      </c>
      <c r="T402" s="601" t="str">
        <f>IF(AB89="","",AB89)</f>
        <v/>
      </c>
      <c r="U402" s="130"/>
      <c r="V402" s="130"/>
      <c r="W402" s="599"/>
      <c r="X402" s="600" t="str">
        <f>IF(AB90="","",AB90)</f>
        <v/>
      </c>
      <c r="Y402" s="601" t="str">
        <f>IF(AB91="","",AB91)</f>
        <v/>
      </c>
    </row>
    <row r="403" spans="1:25" ht="14.1" customHeight="1">
      <c r="A403" s="146">
        <v>43</v>
      </c>
      <c r="B403" s="194"/>
      <c r="C403" s="117" t="s">
        <v>537</v>
      </c>
      <c r="M403" s="197"/>
      <c r="O403" s="159"/>
      <c r="P403" s="234" t="s">
        <v>193</v>
      </c>
      <c r="Q403" s="156" t="s">
        <v>333</v>
      </c>
      <c r="Y403" s="161"/>
    </row>
    <row r="404" spans="1:25" ht="14.1" customHeight="1">
      <c r="A404" s="146">
        <v>44</v>
      </c>
      <c r="B404" s="194"/>
      <c r="D404" s="136" t="s">
        <v>543</v>
      </c>
      <c r="E404" s="136" t="s">
        <v>540</v>
      </c>
      <c r="F404" s="346">
        <f>IF(R310="","",R310)</f>
        <v>101.3</v>
      </c>
      <c r="M404" s="197"/>
      <c r="O404" s="159"/>
      <c r="Q404" s="156" t="s">
        <v>751</v>
      </c>
      <c r="Y404" s="161"/>
    </row>
    <row r="405" spans="1:25" ht="14.1" customHeight="1" thickBot="1">
      <c r="A405" s="146">
        <v>45</v>
      </c>
      <c r="B405" s="194"/>
      <c r="E405" s="136" t="s">
        <v>541</v>
      </c>
      <c r="F405" s="602">
        <f>IF(T310="","",T310)</f>
        <v>108</v>
      </c>
      <c r="M405" s="197"/>
      <c r="O405" s="168"/>
      <c r="P405" s="169"/>
      <c r="Q405" s="603"/>
      <c r="R405" s="169"/>
      <c r="S405" s="169"/>
      <c r="T405" s="169"/>
      <c r="U405" s="169"/>
      <c r="V405" s="169"/>
      <c r="W405" s="169"/>
      <c r="X405" s="169"/>
      <c r="Y405" s="170"/>
    </row>
    <row r="406" spans="1:25" ht="14.1" customHeight="1" thickBot="1">
      <c r="A406" s="146">
        <v>46</v>
      </c>
      <c r="B406" s="194"/>
      <c r="D406" s="130" t="s">
        <v>539</v>
      </c>
      <c r="E406" s="130" t="s">
        <v>538</v>
      </c>
      <c r="F406" s="130" t="s">
        <v>280</v>
      </c>
      <c r="M406" s="197"/>
      <c r="O406" s="260" t="s">
        <v>334</v>
      </c>
      <c r="P406" s="151"/>
      <c r="Q406" s="151"/>
      <c r="R406" s="151"/>
      <c r="S406" s="151"/>
      <c r="T406" s="151"/>
      <c r="U406" s="151"/>
      <c r="V406" s="151"/>
      <c r="W406" s="151"/>
      <c r="X406" s="151"/>
      <c r="Y406" s="152"/>
    </row>
    <row r="407" spans="1:25" ht="14.1" customHeight="1">
      <c r="A407" s="146">
        <v>47</v>
      </c>
      <c r="B407" s="194"/>
      <c r="C407" s="136" t="s">
        <v>554</v>
      </c>
      <c r="D407" s="347" t="str">
        <f t="shared" ref="D407:E409" si="96">IF(P313="","",P313)</f>
        <v/>
      </c>
      <c r="E407" s="273" t="str">
        <f t="shared" si="96"/>
        <v/>
      </c>
      <c r="F407" s="274" t="str">
        <f>IF(S313="","",S313)</f>
        <v/>
      </c>
      <c r="M407" s="197"/>
      <c r="O407" s="159"/>
      <c r="P407" s="136" t="s">
        <v>85</v>
      </c>
      <c r="Q407" s="196" t="str">
        <f>P371</f>
        <v>/</v>
      </c>
      <c r="R407" s="136" t="s">
        <v>163</v>
      </c>
      <c r="S407" s="196">
        <f>Sheet2!A7</f>
        <v>28</v>
      </c>
      <c r="T407" s="130"/>
      <c r="Y407" s="161"/>
    </row>
    <row r="408" spans="1:25" ht="14.1" customHeight="1">
      <c r="A408" s="146">
        <v>48</v>
      </c>
      <c r="B408" s="194"/>
      <c r="C408" s="136" t="s">
        <v>555</v>
      </c>
      <c r="D408" s="275" t="str">
        <f t="shared" si="96"/>
        <v/>
      </c>
      <c r="E408" s="135" t="str">
        <f t="shared" si="96"/>
        <v/>
      </c>
      <c r="F408" s="276" t="str">
        <f>IF(S314="","",S314)</f>
        <v/>
      </c>
      <c r="M408" s="197"/>
      <c r="O408" s="159"/>
      <c r="P408" s="130" t="s">
        <v>63</v>
      </c>
      <c r="Q408" s="130" t="s">
        <v>19</v>
      </c>
      <c r="R408" s="130" t="s">
        <v>20</v>
      </c>
      <c r="S408" s="130" t="s">
        <v>21</v>
      </c>
      <c r="T408" s="130" t="s">
        <v>324</v>
      </c>
      <c r="U408" s="130" t="s">
        <v>325</v>
      </c>
      <c r="V408" s="154"/>
      <c r="W408" s="154"/>
      <c r="X408" s="154"/>
      <c r="Y408" s="161"/>
    </row>
    <row r="409" spans="1:25" ht="14.1" customHeight="1" thickBot="1">
      <c r="A409" s="146">
        <v>49</v>
      </c>
      <c r="B409" s="194"/>
      <c r="C409" s="136" t="s">
        <v>556</v>
      </c>
      <c r="D409" s="279" t="str">
        <f t="shared" si="96"/>
        <v/>
      </c>
      <c r="E409" s="280" t="str">
        <f t="shared" si="96"/>
        <v/>
      </c>
      <c r="F409" s="281" t="str">
        <f>IF(S315="","",S315)</f>
        <v/>
      </c>
      <c r="M409" s="197"/>
      <c r="O409" s="159"/>
      <c r="P409" s="122">
        <f>IF(Sheet2!B7="","",Sheet2!B7)</f>
        <v>20</v>
      </c>
      <c r="Q409" s="389" t="str">
        <f>IF(Sheet2!F7="","",Sheet2!F7)</f>
        <v/>
      </c>
      <c r="R409" s="314" t="str">
        <f>IF(Sheet2!G7="","",Sheet2!G7)</f>
        <v/>
      </c>
      <c r="S409" s="389" t="str">
        <f>IF(Sheet2!H7="","",Sheet2!H7)</f>
        <v/>
      </c>
      <c r="T409" s="133" t="str">
        <f>IF(S409="","",S409/P409)</f>
        <v/>
      </c>
      <c r="U409" s="389" t="str">
        <f>IF(OR(S409="",R409=""),"",S409/(R409/1000))</f>
        <v/>
      </c>
      <c r="V409" s="154"/>
      <c r="W409" s="154"/>
      <c r="X409" s="154"/>
      <c r="Y409" s="161"/>
    </row>
    <row r="410" spans="1:25" ht="14.1" customHeight="1">
      <c r="A410" s="146">
        <v>50</v>
      </c>
      <c r="B410" s="194"/>
      <c r="D410" s="234" t="str">
        <f>P316</f>
        <v>Criteria:</v>
      </c>
      <c r="E410" s="156" t="str">
        <f>Q316</f>
        <v>x/y measurements within +/- 2% of actual phantom dimensions</v>
      </c>
      <c r="M410" s="197"/>
      <c r="O410" s="159"/>
      <c r="P410" s="122">
        <f>IF(Sheet2!B8="","",Sheet2!B8)</f>
        <v>50</v>
      </c>
      <c r="Q410" s="389" t="str">
        <f>P399</f>
        <v/>
      </c>
      <c r="R410" s="314" t="str">
        <f>Q399</f>
        <v/>
      </c>
      <c r="S410" s="389" t="str">
        <f>R399</f>
        <v/>
      </c>
      <c r="T410" s="133" t="str">
        <f>S399</f>
        <v/>
      </c>
      <c r="U410" s="389" t="str">
        <f>T399</f>
        <v/>
      </c>
      <c r="V410" s="154"/>
      <c r="W410" s="154"/>
      <c r="X410" s="154"/>
      <c r="Y410" s="161"/>
    </row>
    <row r="411" spans="1:25" ht="14.1" customHeight="1">
      <c r="A411" s="146">
        <v>51</v>
      </c>
      <c r="B411" s="194"/>
      <c r="M411" s="197"/>
      <c r="O411" s="159"/>
      <c r="P411" s="122">
        <f>IF(Sheet2!B12="","",Sheet2!B12)</f>
        <v>100</v>
      </c>
      <c r="Q411" s="389" t="str">
        <f>IF(Sheet2!F12="","",Sheet2!F12)</f>
        <v/>
      </c>
      <c r="R411" s="314" t="str">
        <f>IF(Sheet2!G12="","",Sheet2!G12)</f>
        <v/>
      </c>
      <c r="S411" s="389" t="str">
        <f>IF(Sheet2!H12="","",Sheet2!H12)</f>
        <v/>
      </c>
      <c r="T411" s="133" t="str">
        <f>IF(S411="","",S411/P411)</f>
        <v/>
      </c>
      <c r="U411" s="389" t="str">
        <f>IF(OR(S411="",R411=""),"",S411/(R411/1000))</f>
        <v/>
      </c>
      <c r="V411" s="154"/>
      <c r="W411" s="154"/>
      <c r="X411" s="154"/>
      <c r="Y411" s="161"/>
    </row>
    <row r="412" spans="1:25" ht="14.1" customHeight="1">
      <c r="A412" s="146">
        <v>52</v>
      </c>
      <c r="B412" s="194"/>
      <c r="C412" s="117" t="s">
        <v>544</v>
      </c>
      <c r="M412" s="197"/>
      <c r="O412" s="159"/>
      <c r="P412" s="122">
        <f>IF(Sheet2!B13="","",Sheet2!B13)</f>
        <v>600</v>
      </c>
      <c r="Q412" s="389" t="str">
        <f>IF(Sheet2!F13="","",Sheet2!F13)</f>
        <v/>
      </c>
      <c r="R412" s="314" t="str">
        <f>IF(Sheet2!G13="","",Sheet2!G13)</f>
        <v/>
      </c>
      <c r="S412" s="389" t="str">
        <f>IF(Sheet2!H13="","",Sheet2!H13)</f>
        <v/>
      </c>
      <c r="T412" s="133" t="str">
        <f>IF(S412="","",S412/P412)</f>
        <v/>
      </c>
      <c r="U412" s="389" t="str">
        <f>IF(OR(S412="",R412=""),"",S412/(R412/1000))</f>
        <v/>
      </c>
      <c r="V412" s="154"/>
      <c r="W412" s="154"/>
      <c r="X412" s="154"/>
      <c r="Y412" s="161"/>
    </row>
    <row r="413" spans="1:25" ht="14.1" customHeight="1" thickBot="1">
      <c r="A413" s="146">
        <v>53</v>
      </c>
      <c r="B413" s="194"/>
      <c r="D413" s="130" t="s">
        <v>589</v>
      </c>
      <c r="E413" s="130" t="s">
        <v>563</v>
      </c>
      <c r="F413" s="130" t="s">
        <v>564</v>
      </c>
      <c r="G413" s="130" t="s">
        <v>280</v>
      </c>
      <c r="M413" s="197"/>
      <c r="O413" s="159"/>
      <c r="S413" s="136" t="s">
        <v>335</v>
      </c>
      <c r="T413" s="434" t="str">
        <f>IF(OR(T409="",T410="",T411="",T412=""),"",(MAX(T409:T412)-MIN(T409:T412))/(MAX(T409:T412)+MIN(T409:T412)))</f>
        <v/>
      </c>
      <c r="V413" s="154"/>
      <c r="W413" s="154"/>
      <c r="X413" s="154"/>
      <c r="Y413" s="161"/>
    </row>
    <row r="414" spans="1:25" ht="14.1" customHeight="1">
      <c r="A414" s="146">
        <v>54</v>
      </c>
      <c r="B414" s="194"/>
      <c r="C414" s="136" t="s">
        <v>554</v>
      </c>
      <c r="D414" s="347" t="str">
        <f>IF(U319="","",U319)</f>
        <v/>
      </c>
      <c r="E414" s="481" t="str">
        <f>IF(Q349="","",Q349)</f>
        <v/>
      </c>
      <c r="F414" s="481" t="str">
        <f>IF(Q350="","",Q350)</f>
        <v/>
      </c>
      <c r="G414" s="274" t="str">
        <f>IF(OR(R349="",R350=""),"",IF(AND(R349="Pass",R350="Pass"),"Pass","Fail"))</f>
        <v/>
      </c>
      <c r="M414" s="197"/>
      <c r="O414" s="159"/>
      <c r="P414" s="234" t="s">
        <v>193</v>
      </c>
      <c r="Q414" s="156" t="s">
        <v>336</v>
      </c>
      <c r="Y414" s="161"/>
    </row>
    <row r="415" spans="1:25" ht="14.1" customHeight="1">
      <c r="A415" s="146">
        <v>55</v>
      </c>
      <c r="B415" s="194"/>
      <c r="C415" s="136" t="s">
        <v>555</v>
      </c>
      <c r="D415" s="275" t="str">
        <f>IF(U327="","",U327)</f>
        <v/>
      </c>
      <c r="E415" s="373" t="str">
        <f>IF(T349="","",T349)</f>
        <v/>
      </c>
      <c r="F415" s="373" t="str">
        <f>IF(T350="","",T350)</f>
        <v/>
      </c>
      <c r="G415" s="276" t="str">
        <f>IF(OR(U349="",U350=""),"",IF(AND(U349="Pass",U350="Pass"),"Pass","Fail"))</f>
        <v/>
      </c>
      <c r="M415" s="197"/>
      <c r="O415" s="237">
        <f>IF(R412="",3,IF(R412/1000&gt;=3,1,2))</f>
        <v>3</v>
      </c>
      <c r="P415" s="118" t="s">
        <v>337</v>
      </c>
      <c r="Y415" s="161"/>
    </row>
    <row r="416" spans="1:25" ht="14.1" customHeight="1" thickBot="1">
      <c r="A416" s="146">
        <v>56</v>
      </c>
      <c r="B416" s="194"/>
      <c r="C416" s="136" t="s">
        <v>556</v>
      </c>
      <c r="D416" s="279" t="str">
        <f>IF(U334="","",U334)</f>
        <v/>
      </c>
      <c r="E416" s="489" t="str">
        <f>IF(W349="","",W349)</f>
        <v/>
      </c>
      <c r="F416" s="489" t="str">
        <f>IF(W350="","",W350)</f>
        <v/>
      </c>
      <c r="G416" s="281" t="str">
        <f>IF(OR(X349="",X350=""),"",IF(AND(X349="Pass",X350="Pass"),"Pass","Fail"))</f>
        <v/>
      </c>
      <c r="M416" s="197"/>
      <c r="O416" s="531">
        <f>IF(U412="",3,IF(U412&gt;=2.7,1,2))</f>
        <v>3</v>
      </c>
      <c r="P416" s="169" t="s">
        <v>756</v>
      </c>
      <c r="Q416" s="169"/>
      <c r="R416" s="169"/>
      <c r="S416" s="169"/>
      <c r="T416" s="169"/>
      <c r="U416" s="169"/>
      <c r="V416" s="169"/>
      <c r="W416" s="169"/>
      <c r="X416" s="169"/>
      <c r="Y416" s="170"/>
    </row>
    <row r="417" spans="1:25" ht="14.1" customHeight="1" thickBot="1">
      <c r="A417" s="146">
        <v>57</v>
      </c>
      <c r="B417" s="194"/>
      <c r="D417" s="234" t="str">
        <f>P316</f>
        <v>Criteria:</v>
      </c>
      <c r="E417" s="156" t="str">
        <f>Q353</f>
        <v>ASF(a) is &lt; 0.9 for all positions. ASF(b) is &lt; 0.6 for all positions</v>
      </c>
      <c r="M417" s="197"/>
      <c r="O417" s="260" t="s">
        <v>339</v>
      </c>
      <c r="P417" s="151"/>
      <c r="Q417" s="604">
        <v>1</v>
      </c>
      <c r="R417" s="151" t="s">
        <v>481</v>
      </c>
      <c r="S417" s="151"/>
      <c r="T417" s="151"/>
      <c r="U417" s="151"/>
      <c r="V417" s="151"/>
      <c r="W417" s="151"/>
      <c r="X417" s="151"/>
      <c r="Y417" s="152"/>
    </row>
    <row r="418" spans="1:25" ht="14.1" customHeight="1">
      <c r="A418" s="146">
        <v>58</v>
      </c>
      <c r="B418" s="194"/>
      <c r="M418" s="197"/>
      <c r="O418" s="159"/>
      <c r="P418" s="605" t="s">
        <v>62</v>
      </c>
      <c r="Q418" s="606" t="str">
        <f>P371</f>
        <v>/</v>
      </c>
      <c r="R418" s="606" t="str">
        <f>P378</f>
        <v>/</v>
      </c>
      <c r="S418" s="607"/>
      <c r="T418" s="271"/>
      <c r="U418" s="271"/>
      <c r="V418" s="271"/>
      <c r="W418" s="271"/>
      <c r="X418" s="271"/>
      <c r="Y418" s="161"/>
    </row>
    <row r="419" spans="1:25" ht="14.1" customHeight="1">
      <c r="A419" s="146">
        <v>59</v>
      </c>
      <c r="B419" s="194"/>
      <c r="C419" s="117" t="s">
        <v>566</v>
      </c>
      <c r="M419" s="197"/>
      <c r="O419" s="159"/>
      <c r="P419" s="608" t="s">
        <v>258</v>
      </c>
      <c r="Q419" s="609">
        <f>Q374</f>
        <v>28</v>
      </c>
      <c r="R419" s="609">
        <f>Q378</f>
        <v>28</v>
      </c>
      <c r="S419" s="610"/>
      <c r="T419" s="271"/>
      <c r="U419" s="271"/>
      <c r="V419" s="271"/>
      <c r="W419" s="271"/>
      <c r="X419" s="271"/>
      <c r="Y419" s="161"/>
    </row>
    <row r="420" spans="1:25" ht="14.1" customHeight="1" thickBot="1">
      <c r="A420" s="146">
        <v>60</v>
      </c>
      <c r="B420" s="194"/>
      <c r="D420" s="130" t="s">
        <v>567</v>
      </c>
      <c r="E420" s="130" t="s">
        <v>568</v>
      </c>
      <c r="G420" s="271"/>
      <c r="M420" s="197"/>
      <c r="O420" s="159"/>
      <c r="P420" s="608" t="s">
        <v>340</v>
      </c>
      <c r="Q420" s="786" t="s">
        <v>341</v>
      </c>
      <c r="R420" s="787"/>
      <c r="S420" s="788"/>
      <c r="T420" s="271"/>
      <c r="U420" s="271"/>
      <c r="V420" s="271"/>
      <c r="W420" s="271"/>
      <c r="X420" s="271"/>
      <c r="Y420" s="161"/>
    </row>
    <row r="421" spans="1:25" ht="14.1" customHeight="1">
      <c r="A421" s="146">
        <v>61</v>
      </c>
      <c r="B421" s="194"/>
      <c r="C421" s="136" t="s">
        <v>177</v>
      </c>
      <c r="D421" s="347" t="str">
        <f t="shared" ref="D421:D424" si="97">IF(P357="","",P357)</f>
        <v/>
      </c>
      <c r="E421" s="274" t="str">
        <f>IF(Q357="","",Q357)</f>
        <v/>
      </c>
      <c r="G421" s="271"/>
      <c r="M421" s="197"/>
      <c r="O421" s="159"/>
      <c r="P421" s="608">
        <v>0</v>
      </c>
      <c r="Q421" s="611" t="str">
        <f>IF(Sheet2!G8="","",Sheet2!G8)</f>
        <v/>
      </c>
      <c r="R421" s="611" t="str">
        <f>IF(Sheet2!G17="","",Sheet2!G17)</f>
        <v/>
      </c>
      <c r="S421" s="612"/>
      <c r="T421" s="271"/>
      <c r="U421" s="271"/>
      <c r="V421" s="271"/>
      <c r="W421" s="271"/>
      <c r="X421" s="271"/>
      <c r="Y421" s="161"/>
    </row>
    <row r="422" spans="1:25" ht="14.1" customHeight="1">
      <c r="A422" s="146">
        <v>62</v>
      </c>
      <c r="B422" s="194"/>
      <c r="C422" s="136" t="s">
        <v>179</v>
      </c>
      <c r="D422" s="275" t="str">
        <f t="shared" si="97"/>
        <v/>
      </c>
      <c r="E422" s="276" t="str">
        <f>IF(Q358="","",Q358)</f>
        <v/>
      </c>
      <c r="G422" s="271"/>
      <c r="M422" s="197"/>
      <c r="O422" s="159"/>
      <c r="P422" s="608">
        <v>0</v>
      </c>
      <c r="Q422" s="611" t="str">
        <f>IF(Sheet2!G9="","",Sheet2!G9)</f>
        <v/>
      </c>
      <c r="R422" s="611"/>
      <c r="S422" s="612"/>
      <c r="T422" s="271"/>
      <c r="U422" s="271"/>
      <c r="V422" s="271"/>
      <c r="W422" s="271"/>
      <c r="X422" s="271"/>
      <c r="Y422" s="161"/>
    </row>
    <row r="423" spans="1:25" ht="14.1" customHeight="1">
      <c r="A423" s="146">
        <v>63</v>
      </c>
      <c r="B423" s="194"/>
      <c r="C423" s="136" t="s">
        <v>181</v>
      </c>
      <c r="D423" s="275" t="str">
        <f t="shared" si="97"/>
        <v/>
      </c>
      <c r="E423" s="276" t="str">
        <f>IF(Q359="","",Q359)</f>
        <v/>
      </c>
      <c r="G423" s="271"/>
      <c r="M423" s="197"/>
      <c r="O423" s="159"/>
      <c r="P423" s="608" t="s">
        <v>342</v>
      </c>
      <c r="Q423" s="611" t="str">
        <f>IF(Sheet2!J8="","",AVERAGE(Sheet2!J7:J13))</f>
        <v/>
      </c>
      <c r="R423" s="611" t="str">
        <f>IF(Sheet2!J17="","",Sheet2!J17)</f>
        <v/>
      </c>
      <c r="S423" s="612"/>
      <c r="T423" s="271"/>
      <c r="U423" s="271"/>
      <c r="V423" s="271"/>
      <c r="W423" s="271"/>
      <c r="X423" s="271"/>
      <c r="Y423" s="161"/>
    </row>
    <row r="424" spans="1:25" ht="14.1" customHeight="1" thickBot="1">
      <c r="A424" s="146">
        <v>64</v>
      </c>
      <c r="B424" s="194"/>
      <c r="C424" s="136" t="s">
        <v>207</v>
      </c>
      <c r="D424" s="279" t="str">
        <f t="shared" si="97"/>
        <v/>
      </c>
      <c r="E424" s="281" t="str">
        <f>IF(Q360="","",Q360)</f>
        <v/>
      </c>
      <c r="G424" s="271"/>
      <c r="M424" s="197"/>
      <c r="O424" s="159"/>
      <c r="P424" s="608" t="s">
        <v>343</v>
      </c>
      <c r="Q424" s="613" t="str">
        <f>IF(OR(Q421="",Q422=""),"",ABS(Q422-Q421)/Q421)</f>
        <v/>
      </c>
      <c r="R424" s="613"/>
      <c r="S424" s="614"/>
      <c r="T424" s="271"/>
      <c r="U424" s="271"/>
      <c r="V424" s="271"/>
      <c r="W424" s="271"/>
      <c r="X424" s="271"/>
      <c r="Y424" s="161"/>
    </row>
    <row r="425" spans="1:25" ht="14.1" customHeight="1" thickBot="1">
      <c r="A425" s="146">
        <v>65</v>
      </c>
      <c r="B425" s="194"/>
      <c r="D425" s="234" t="str">
        <f>P353</f>
        <v>Criteria:</v>
      </c>
      <c r="E425" s="156" t="str">
        <f>Q361</f>
        <v>Must be able to see 4 fibers, 3 speck groups, 3 masses</v>
      </c>
      <c r="M425" s="197"/>
      <c r="O425" s="159"/>
      <c r="P425" s="279" t="s">
        <v>207</v>
      </c>
      <c r="Q425" s="280" t="str">
        <f t="shared" ref="Q425:R425" si="98">IF(Q423="","",IF(Q423&gt;=0.28,"Pass","Fail"))</f>
        <v/>
      </c>
      <c r="R425" s="280" t="str">
        <f t="shared" si="98"/>
        <v/>
      </c>
      <c r="S425" s="281"/>
      <c r="T425" s="271"/>
      <c r="U425" s="271"/>
      <c r="V425" s="271"/>
      <c r="W425" s="271"/>
      <c r="X425" s="271"/>
      <c r="Y425" s="161"/>
    </row>
    <row r="426" spans="1:25" ht="14.1" customHeight="1">
      <c r="A426" s="146">
        <v>66</v>
      </c>
      <c r="B426" s="194"/>
      <c r="M426" s="197"/>
      <c r="O426" s="159"/>
      <c r="P426" s="234" t="s">
        <v>193</v>
      </c>
      <c r="Q426" s="156" t="s">
        <v>594</v>
      </c>
      <c r="R426" s="271"/>
      <c r="S426" s="271"/>
      <c r="T426" s="271"/>
      <c r="U426" s="271"/>
      <c r="V426" s="271" t="s">
        <v>532</v>
      </c>
      <c r="W426" s="140" t="s">
        <v>532</v>
      </c>
      <c r="X426" s="140" t="s">
        <v>532</v>
      </c>
      <c r="Y426" s="161"/>
    </row>
    <row r="427" spans="1:25" ht="14.1" customHeight="1" thickBot="1">
      <c r="A427" s="146">
        <v>67</v>
      </c>
      <c r="B427" s="194"/>
      <c r="C427" s="346" t="str">
        <f>IF(O362="","",IF(O362=1,"Pass",IF(O362=2,"Fail","NA")))</f>
        <v/>
      </c>
      <c r="D427" s="118" t="s">
        <v>696</v>
      </c>
      <c r="M427" s="197"/>
      <c r="O427" s="168"/>
      <c r="Q427" s="156" t="s">
        <v>753</v>
      </c>
      <c r="R427" s="154"/>
      <c r="S427" s="154"/>
      <c r="T427" s="154"/>
      <c r="U427" s="154"/>
      <c r="V427" s="154"/>
      <c r="W427" s="154"/>
      <c r="X427" s="154"/>
      <c r="Y427" s="170"/>
    </row>
    <row r="428" spans="1:25" ht="14.1" customHeight="1">
      <c r="A428" s="146">
        <v>68</v>
      </c>
      <c r="B428" s="194"/>
      <c r="C428" s="346" t="str">
        <f>IF(O363="","",IF(O363=1,"Pass",IF(O363=2,"Fail","NA")))</f>
        <v/>
      </c>
      <c r="D428" s="118" t="s">
        <v>697</v>
      </c>
      <c r="M428" s="197"/>
      <c r="O428" s="260" t="s">
        <v>311</v>
      </c>
      <c r="P428" s="151"/>
      <c r="Q428" s="151"/>
      <c r="R428" s="151"/>
      <c r="S428" s="151"/>
      <c r="T428" s="151"/>
      <c r="U428" s="151"/>
      <c r="V428" s="151"/>
      <c r="W428" s="151"/>
      <c r="X428" s="151"/>
      <c r="Y428" s="152"/>
    </row>
    <row r="429" spans="1:25" ht="14.1" customHeight="1">
      <c r="A429" s="146">
        <v>69</v>
      </c>
      <c r="B429" s="194"/>
      <c r="C429" s="346" t="str">
        <f>IF(O364="","",IF(O364=1,"Pass",IF(O364=2,"Fail","NA")))</f>
        <v/>
      </c>
      <c r="D429" s="118" t="s">
        <v>695</v>
      </c>
      <c r="M429" s="197"/>
      <c r="O429" s="615" t="s">
        <v>312</v>
      </c>
      <c r="P429" s="136" t="s">
        <v>36</v>
      </c>
      <c r="Q429" s="562"/>
      <c r="R429" s="136" t="s">
        <v>326</v>
      </c>
      <c r="S429" s="562"/>
      <c r="U429" s="136" t="s">
        <v>344</v>
      </c>
      <c r="V429" s="562"/>
      <c r="Y429" s="161"/>
    </row>
    <row r="430" spans="1:25" ht="14.1" customHeight="1" thickBot="1">
      <c r="A430" s="146">
        <v>70</v>
      </c>
      <c r="B430" s="205"/>
      <c r="C430" s="616"/>
      <c r="D430" s="617"/>
      <c r="E430" s="618"/>
      <c r="F430" s="618"/>
      <c r="G430" s="618"/>
      <c r="H430" s="618"/>
      <c r="I430" s="618"/>
      <c r="J430" s="618"/>
      <c r="K430" s="618"/>
      <c r="L430" s="206"/>
      <c r="M430" s="207"/>
      <c r="O430" s="159"/>
      <c r="Y430" s="161"/>
    </row>
    <row r="431" spans="1:25" ht="14.1" customHeight="1" thickTop="1">
      <c r="A431" s="146">
        <v>71</v>
      </c>
      <c r="C431" s="230" t="s">
        <v>8</v>
      </c>
      <c r="D431" s="231" t="str">
        <f>IF($P$7="","",$P$7)</f>
        <v/>
      </c>
      <c r="E431" s="156"/>
      <c r="F431" s="156"/>
      <c r="G431" s="156"/>
      <c r="H431" s="156"/>
      <c r="I431" s="156"/>
      <c r="J431" s="156"/>
      <c r="K431" s="156"/>
      <c r="L431" s="230" t="s">
        <v>9</v>
      </c>
      <c r="M431" s="232" t="str">
        <f>IF($X$7="","",$X$7)</f>
        <v>Eugene Mah</v>
      </c>
      <c r="O431" s="159"/>
      <c r="P431" s="136"/>
      <c r="R431" s="118" t="s">
        <v>310</v>
      </c>
      <c r="V431" s="118" t="s">
        <v>310</v>
      </c>
      <c r="Y431" s="161"/>
    </row>
    <row r="432" spans="1:25" ht="14.1" customHeight="1">
      <c r="A432" s="146">
        <v>72</v>
      </c>
      <c r="C432" s="230" t="s">
        <v>111</v>
      </c>
      <c r="D432" s="232" t="str">
        <f>IF($R$14="","",$R$14)</f>
        <v/>
      </c>
      <c r="E432" s="156"/>
      <c r="F432" s="156"/>
      <c r="G432" s="156"/>
      <c r="H432" s="156"/>
      <c r="I432" s="156"/>
      <c r="J432" s="156"/>
      <c r="K432" s="156"/>
      <c r="L432" s="230" t="s">
        <v>29</v>
      </c>
      <c r="M432" s="232" t="str">
        <f>IF($R$13="","",$R$13)</f>
        <v/>
      </c>
      <c r="O432" s="159"/>
      <c r="P432" s="136" t="s">
        <v>163</v>
      </c>
      <c r="Q432" s="277"/>
      <c r="R432" s="245" t="str">
        <f t="shared" ref="R432:R437" si="99">IF(AB93="","",AB93)</f>
        <v/>
      </c>
      <c r="T432" s="136" t="s">
        <v>177</v>
      </c>
      <c r="U432" s="277"/>
      <c r="V432" s="245" t="str">
        <f>IF(AB99="","",AB99)</f>
        <v/>
      </c>
      <c r="Y432" s="161"/>
    </row>
    <row r="433" spans="1:25" ht="14.1" customHeight="1">
      <c r="A433" s="146">
        <v>1</v>
      </c>
      <c r="M433" s="233" t="str">
        <f>$H$2</f>
        <v>Medical University of South Carolina</v>
      </c>
      <c r="O433" s="159"/>
      <c r="P433" s="136" t="s">
        <v>166</v>
      </c>
      <c r="Q433" s="277"/>
      <c r="R433" s="245" t="str">
        <f t="shared" si="99"/>
        <v/>
      </c>
      <c r="T433" s="136" t="s">
        <v>179</v>
      </c>
      <c r="U433" s="277"/>
      <c r="V433" s="245" t="str">
        <f>IF(AB100="","",AB100)</f>
        <v/>
      </c>
      <c r="Y433" s="161"/>
    </row>
    <row r="434" spans="1:25" ht="14.1" customHeight="1" thickBot="1">
      <c r="A434" s="146">
        <v>2</v>
      </c>
      <c r="H434" s="179" t="s">
        <v>64</v>
      </c>
      <c r="M434" s="234" t="str">
        <f>$H$5</f>
        <v>Mammography System Compliance Inspection</v>
      </c>
      <c r="O434" s="159"/>
      <c r="P434" s="136" t="s">
        <v>318</v>
      </c>
      <c r="Q434" s="277"/>
      <c r="R434" s="245" t="str">
        <f t="shared" si="99"/>
        <v/>
      </c>
      <c r="T434" s="136" t="s">
        <v>181</v>
      </c>
      <c r="U434" s="277"/>
      <c r="V434" s="245" t="str">
        <f>IF(AB101="","",AB101)</f>
        <v/>
      </c>
      <c r="Y434" s="161"/>
    </row>
    <row r="435" spans="1:25" ht="14.1" customHeight="1" thickTop="1" thickBot="1">
      <c r="A435" s="146">
        <v>3</v>
      </c>
      <c r="B435" s="185"/>
      <c r="C435" s="186"/>
      <c r="D435" s="186"/>
      <c r="E435" s="186"/>
      <c r="F435" s="186"/>
      <c r="G435" s="186"/>
      <c r="H435" s="186"/>
      <c r="I435" s="186"/>
      <c r="J435" s="186"/>
      <c r="K435" s="186"/>
      <c r="L435" s="186"/>
      <c r="M435" s="188"/>
      <c r="O435" s="159"/>
      <c r="P435" s="136" t="s">
        <v>172</v>
      </c>
      <c r="Q435" s="277"/>
      <c r="R435" s="245" t="str">
        <f t="shared" si="99"/>
        <v/>
      </c>
      <c r="T435" s="136" t="s">
        <v>207</v>
      </c>
      <c r="U435" s="267" t="str">
        <f>IF(OR(U432="",U433="",U434=""),"",IF(AND(U432&gt;=5,U433&gt;=4,U434&gt;=4),"Pass","Fail"))</f>
        <v/>
      </c>
      <c r="Y435" s="161"/>
    </row>
    <row r="436" spans="1:25" ht="14.1" customHeight="1">
      <c r="A436" s="146">
        <v>4</v>
      </c>
      <c r="B436" s="194"/>
      <c r="C436" s="619" t="s">
        <v>213</v>
      </c>
      <c r="D436" s="620" t="str">
        <f>IF(Q491="","",IF(LEN(Q491)&lt;=135,Q491,IF(LEN(Q491)&lt;=260,LEFT(Q491,SEARCH(" ",Q491,125)),LEFT(Q491,SEARCH(" ",Q491,130)))))</f>
        <v/>
      </c>
      <c r="E436" s="621"/>
      <c r="F436" s="621"/>
      <c r="G436" s="621"/>
      <c r="H436" s="621"/>
      <c r="I436" s="621"/>
      <c r="J436" s="621"/>
      <c r="K436" s="621"/>
      <c r="L436" s="621"/>
      <c r="M436" s="197"/>
      <c r="O436" s="159"/>
      <c r="P436" s="136" t="s">
        <v>174</v>
      </c>
      <c r="Q436" s="277"/>
      <c r="R436" s="245" t="str">
        <f t="shared" si="99"/>
        <v/>
      </c>
      <c r="T436" s="234" t="s">
        <v>193</v>
      </c>
      <c r="U436" s="156" t="s">
        <v>345</v>
      </c>
      <c r="Y436" s="161"/>
    </row>
    <row r="437" spans="1:25" ht="14.1" customHeight="1">
      <c r="A437" s="146">
        <v>5</v>
      </c>
      <c r="B437" s="194"/>
      <c r="C437" s="622"/>
      <c r="D437" s="623" t="str">
        <f>IF(LEN(Q491)&lt;=135,"",IF(LEN(Q491)&lt;=260,RIGHT(Q491,LEN(Q491)-SEARCH(" ",Q491,125)),MID(Q491,SEARCH(" ",Q491,130),IF(LEN(Q491)&lt;=265,LEN(Q491),SEARCH(" ",Q491,255)-SEARCH(" ",Q491,130)))))</f>
        <v/>
      </c>
      <c r="E437" s="624"/>
      <c r="F437" s="624"/>
      <c r="G437" s="624"/>
      <c r="H437" s="624"/>
      <c r="I437" s="624"/>
      <c r="J437" s="624"/>
      <c r="K437" s="624"/>
      <c r="L437" s="624"/>
      <c r="M437" s="197"/>
      <c r="O437" s="159"/>
      <c r="P437" s="136" t="s">
        <v>175</v>
      </c>
      <c r="Q437" s="122" t="str">
        <f>IF(OR(Q435="",Q436=""),"",Q436-Q435)</f>
        <v/>
      </c>
      <c r="R437" s="245" t="str">
        <f t="shared" si="99"/>
        <v/>
      </c>
      <c r="Y437" s="161"/>
    </row>
    <row r="438" spans="1:25" ht="14.1" customHeight="1">
      <c r="A438" s="146">
        <v>6</v>
      </c>
      <c r="B438" s="194"/>
      <c r="C438" s="622"/>
      <c r="D438" s="623" t="str">
        <f>IF(LEN(Q491)&lt;=265,"",RIGHT(Q491,LEN(Q491)-SEARCH(" ",Q491,255)))</f>
        <v/>
      </c>
      <c r="E438" s="624"/>
      <c r="F438" s="624"/>
      <c r="G438" s="624"/>
      <c r="H438" s="624"/>
      <c r="I438" s="624"/>
      <c r="J438" s="624"/>
      <c r="K438" s="624"/>
      <c r="L438" s="624"/>
      <c r="M438" s="197"/>
      <c r="O438" s="159"/>
      <c r="Y438" s="161"/>
    </row>
    <row r="439" spans="1:25" ht="14.1" customHeight="1">
      <c r="A439" s="146">
        <v>7</v>
      </c>
      <c r="B439" s="194"/>
      <c r="C439" s="625"/>
      <c r="D439" s="623" t="str">
        <f>IF(Q493="","",IF(LEN(Q493)&lt;=135,Q493,IF(LEN(Q493)&lt;=260,LEFT(Q493,SEARCH(" ",Q493,125)),LEFT(Q493,SEARCH(" ",Q493,130)))))</f>
        <v/>
      </c>
      <c r="E439" s="624"/>
      <c r="F439" s="624"/>
      <c r="G439" s="624"/>
      <c r="H439" s="624"/>
      <c r="I439" s="624"/>
      <c r="J439" s="624"/>
      <c r="K439" s="624"/>
      <c r="L439" s="624"/>
      <c r="M439" s="197"/>
      <c r="O439" s="615" t="s">
        <v>346</v>
      </c>
      <c r="Y439" s="161"/>
    </row>
    <row r="440" spans="1:25" ht="14.1" customHeight="1">
      <c r="A440" s="146">
        <v>8</v>
      </c>
      <c r="B440" s="194"/>
      <c r="C440" s="625"/>
      <c r="D440" s="623" t="str">
        <f>IF(LEN(Q493)&lt;=135,"",IF(LEN(Q493)&lt;=260,RIGHT(Q493,LEN(Q493)-SEARCH(" ",Q493,125)),MID(Q493,SEARCH(" ",Q493,130),IF(LEN(Q493)&lt;=265,LEN(Q493),SEARCH(" ",Q493,255)-SEARCH(" ",Q493,130)))))</f>
        <v/>
      </c>
      <c r="E440" s="624"/>
      <c r="F440" s="624"/>
      <c r="G440" s="624"/>
      <c r="H440" s="624"/>
      <c r="I440" s="624"/>
      <c r="J440" s="624"/>
      <c r="K440" s="624"/>
      <c r="L440" s="624"/>
      <c r="M440" s="197"/>
      <c r="O440" s="159"/>
      <c r="Q440" s="136" t="s">
        <v>316</v>
      </c>
      <c r="R440" s="562"/>
      <c r="U440" s="136" t="s">
        <v>316</v>
      </c>
      <c r="V440" s="562"/>
      <c r="Y440" s="161"/>
    </row>
    <row r="441" spans="1:25" ht="14.1" customHeight="1">
      <c r="A441" s="146">
        <v>9</v>
      </c>
      <c r="B441" s="194"/>
      <c r="C441" s="625"/>
      <c r="D441" s="623" t="str">
        <f>IF(LEN(Q493)&lt;=265,"",RIGHT(Q493,LEN(Q493)-SEARCH(" ",Q493,255)))</f>
        <v/>
      </c>
      <c r="E441" s="624"/>
      <c r="F441" s="624"/>
      <c r="G441" s="624"/>
      <c r="H441" s="624"/>
      <c r="I441" s="624"/>
      <c r="J441" s="624"/>
      <c r="K441" s="624"/>
      <c r="L441" s="624"/>
      <c r="M441" s="197"/>
      <c r="O441" s="159"/>
      <c r="Q441" s="130" t="s">
        <v>243</v>
      </c>
      <c r="R441" s="130" t="s">
        <v>244</v>
      </c>
      <c r="U441" s="130" t="s">
        <v>243</v>
      </c>
      <c r="V441" s="130" t="s">
        <v>244</v>
      </c>
      <c r="Y441" s="161"/>
    </row>
    <row r="442" spans="1:25" ht="14.1" customHeight="1">
      <c r="A442" s="146">
        <v>10</v>
      </c>
      <c r="B442" s="194"/>
      <c r="C442" s="626"/>
      <c r="D442" s="623" t="str">
        <f>IF(Q495="","",IF(LEN(Q495)&lt;=135,Q495,IF(LEN(Q495)&lt;=260,LEFT(Q495,SEARCH(" ",Q495,125)),LEFT(Q495,SEARCH(" ",Q495,130)))))</f>
        <v/>
      </c>
      <c r="E442" s="624"/>
      <c r="F442" s="624"/>
      <c r="G442" s="624"/>
      <c r="H442" s="624"/>
      <c r="I442" s="624"/>
      <c r="J442" s="624"/>
      <c r="K442" s="624"/>
      <c r="L442" s="624"/>
      <c r="M442" s="197"/>
      <c r="O442" s="311"/>
      <c r="P442" s="136" t="s">
        <v>177</v>
      </c>
      <c r="Q442" s="277"/>
      <c r="R442" s="277"/>
      <c r="T442" s="136" t="s">
        <v>177</v>
      </c>
      <c r="U442" s="277"/>
      <c r="V442" s="277"/>
      <c r="Y442" s="161"/>
    </row>
    <row r="443" spans="1:25" ht="14.1" customHeight="1">
      <c r="A443" s="146">
        <v>11</v>
      </c>
      <c r="B443" s="194"/>
      <c r="C443" s="626"/>
      <c r="D443" s="623" t="str">
        <f>IF(LEN(Q495)&lt;=135,"",IF(LEN(Q495)&lt;=260,RIGHT(Q495,LEN(Q495)-SEARCH(" ",Q495,125)),MID(Q495,SEARCH(" ",Q495,130),IF(LEN(Q495)&lt;=265,LEN(Q495),SEARCH(" ",Q495,255)-SEARCH(" ",Q495,130)))))</f>
        <v/>
      </c>
      <c r="E443" s="624"/>
      <c r="F443" s="624"/>
      <c r="G443" s="624"/>
      <c r="H443" s="624"/>
      <c r="I443" s="624"/>
      <c r="J443" s="624"/>
      <c r="K443" s="624"/>
      <c r="L443" s="624"/>
      <c r="M443" s="197"/>
      <c r="O443" s="311"/>
      <c r="P443" s="136" t="s">
        <v>179</v>
      </c>
      <c r="Q443" s="277"/>
      <c r="R443" s="277"/>
      <c r="T443" s="136" t="s">
        <v>179</v>
      </c>
      <c r="U443" s="277"/>
      <c r="V443" s="277"/>
      <c r="Y443" s="161"/>
    </row>
    <row r="444" spans="1:25" ht="14.1" customHeight="1">
      <c r="A444" s="146">
        <v>12</v>
      </c>
      <c r="B444" s="194"/>
      <c r="C444" s="626"/>
      <c r="D444" s="623" t="str">
        <f>IF(LEN(Q495)&lt;=265,"",RIGHT(Q495,LEN(Q495)-SEARCH(" ",Q495,255)))</f>
        <v/>
      </c>
      <c r="E444" s="624"/>
      <c r="F444" s="624"/>
      <c r="G444" s="624"/>
      <c r="H444" s="624"/>
      <c r="I444" s="624"/>
      <c r="J444" s="624"/>
      <c r="K444" s="624"/>
      <c r="L444" s="624"/>
      <c r="M444" s="197"/>
      <c r="O444" s="311"/>
      <c r="P444" s="136" t="s">
        <v>181</v>
      </c>
      <c r="Q444" s="277"/>
      <c r="R444" s="277"/>
      <c r="T444" s="136" t="s">
        <v>181</v>
      </c>
      <c r="U444" s="277"/>
      <c r="V444" s="277"/>
      <c r="Y444" s="161"/>
    </row>
    <row r="445" spans="1:25" ht="14.1" customHeight="1">
      <c r="A445" s="146">
        <v>13</v>
      </c>
      <c r="B445" s="194"/>
      <c r="C445" s="627"/>
      <c r="D445" s="623" t="str">
        <f>IF(Q497="","",IF(LEN(Q497)&lt;=135,Q497,IF(LEN(Q497)&lt;=260,LEFT(Q497,SEARCH(" ",Q497,125)),LEFT(Q497,SEARCH(" ",Q497,130)))))</f>
        <v/>
      </c>
      <c r="E445" s="624"/>
      <c r="F445" s="624"/>
      <c r="G445" s="624"/>
      <c r="H445" s="624"/>
      <c r="I445" s="624"/>
      <c r="J445" s="624"/>
      <c r="K445" s="624"/>
      <c r="L445" s="624"/>
      <c r="M445" s="197"/>
      <c r="O445" s="159"/>
      <c r="Y445" s="161"/>
    </row>
    <row r="446" spans="1:25" ht="14.1" customHeight="1">
      <c r="A446" s="146">
        <v>14</v>
      </c>
      <c r="B446" s="194"/>
      <c r="C446" s="622"/>
      <c r="D446" s="623" t="str">
        <f>IF(LEN(Q497)&lt;=135,"",IF(LEN(Q497)&lt;=260,RIGHT(Q497,LEN(Q497)-SEARCH(" ",Q497,125)),MID(Q497,SEARCH(" ",Q497,130),IF(LEN(Q497)&lt;=265,LEN(Q497),SEARCH(" ",Q497,255)-SEARCH(" ",Q497,130)))))</f>
        <v/>
      </c>
      <c r="E446" s="624"/>
      <c r="F446" s="624"/>
      <c r="G446" s="624"/>
      <c r="H446" s="624"/>
      <c r="I446" s="624"/>
      <c r="J446" s="624"/>
      <c r="K446" s="624"/>
      <c r="L446" s="624"/>
      <c r="M446" s="197"/>
      <c r="O446" s="615" t="s">
        <v>347</v>
      </c>
      <c r="Q446" s="154"/>
      <c r="R446" s="136" t="s">
        <v>348</v>
      </c>
      <c r="S446" s="195">
        <f>Q259</f>
        <v>0</v>
      </c>
      <c r="Y446" s="161"/>
    </row>
    <row r="447" spans="1:25" ht="14.1" customHeight="1">
      <c r="A447" s="146">
        <v>15</v>
      </c>
      <c r="B447" s="194"/>
      <c r="C447" s="622"/>
      <c r="D447" s="623" t="str">
        <f>IF(LEN(Q497)&lt;=265,"",RIGHT(Q497,LEN(Q497)-SEARCH(" ",Q497,255)))</f>
        <v/>
      </c>
      <c r="E447" s="624"/>
      <c r="F447" s="624"/>
      <c r="G447" s="624"/>
      <c r="H447" s="624"/>
      <c r="I447" s="624"/>
      <c r="J447" s="624"/>
      <c r="K447" s="624"/>
      <c r="L447" s="624"/>
      <c r="M447" s="197"/>
      <c r="O447" s="159"/>
      <c r="P447" s="136" t="s">
        <v>760</v>
      </c>
      <c r="Q447" s="628" t="s">
        <v>595</v>
      </c>
      <c r="R447" s="629"/>
      <c r="S447" s="630" t="s">
        <v>761</v>
      </c>
      <c r="Y447" s="161"/>
    </row>
    <row r="448" spans="1:25" ht="14.1" customHeight="1">
      <c r="A448" s="146">
        <v>16</v>
      </c>
      <c r="B448" s="194"/>
      <c r="C448" s="627"/>
      <c r="D448" s="623" t="str">
        <f>IF(Q499="","",IF(LEN(Q499)&lt;=135,Q499,IF(LEN(Q499)&lt;=260,LEFT(Q499,SEARCH(" ",Q499,125)),LEFT(Q499,SEARCH(" ",Q499,130)))))</f>
        <v/>
      </c>
      <c r="E448" s="624"/>
      <c r="F448" s="624"/>
      <c r="G448" s="624"/>
      <c r="H448" s="624"/>
      <c r="I448" s="624"/>
      <c r="J448" s="624"/>
      <c r="K448" s="624"/>
      <c r="L448" s="624"/>
      <c r="M448" s="197"/>
      <c r="O448" s="159"/>
      <c r="P448" s="136" t="s">
        <v>85</v>
      </c>
      <c r="Q448" s="628"/>
      <c r="R448" s="629"/>
      <c r="S448" s="630"/>
      <c r="T448" s="136" t="s">
        <v>310</v>
      </c>
      <c r="U448" s="136" t="s">
        <v>62</v>
      </c>
      <c r="V448" s="631" t="str">
        <f t="shared" ref="V448:V453" si="100">IF(AB103="","",AB103)</f>
        <v/>
      </c>
      <c r="W448" s="632" t="str">
        <f t="shared" ref="W448:W453" si="101">IF(AB109="","",AB109)</f>
        <v/>
      </c>
      <c r="X448" s="633" t="str">
        <f t="shared" ref="X448:X453" si="102">IF(AB115="","",AB115)</f>
        <v/>
      </c>
      <c r="Y448" s="161"/>
    </row>
    <row r="449" spans="1:30" ht="14.1" customHeight="1">
      <c r="A449" s="146">
        <v>17</v>
      </c>
      <c r="B449" s="194"/>
      <c r="C449" s="622"/>
      <c r="D449" s="623" t="str">
        <f>IF(LEN(Q499)&lt;=135,"",IF(LEN(Q499)&lt;=260,RIGHT(Q499,LEN(Q499)-SEARCH(" ",Q499,125)),MID(Q499,SEARCH(" ",Q499,130),IF(LEN(Q499)&lt;=265,LEN(Q499),SEARCH(" ",Q499,255)-SEARCH(" ",Q499,130)))))</f>
        <v/>
      </c>
      <c r="E449" s="624"/>
      <c r="F449" s="624"/>
      <c r="G449" s="624"/>
      <c r="H449" s="624"/>
      <c r="I449" s="624"/>
      <c r="J449" s="624"/>
      <c r="K449" s="624"/>
      <c r="L449" s="624"/>
      <c r="M449" s="197"/>
      <c r="O449" s="159"/>
      <c r="P449" s="136" t="s">
        <v>163</v>
      </c>
      <c r="Q449" s="628"/>
      <c r="R449" s="629"/>
      <c r="S449" s="630"/>
      <c r="T449" s="154"/>
      <c r="U449" s="136" t="s">
        <v>258</v>
      </c>
      <c r="V449" s="631" t="str">
        <f t="shared" si="100"/>
        <v/>
      </c>
      <c r="W449" s="632" t="str">
        <f t="shared" si="101"/>
        <v/>
      </c>
      <c r="X449" s="633" t="str">
        <f t="shared" si="102"/>
        <v/>
      </c>
      <c r="Y449" s="161"/>
    </row>
    <row r="450" spans="1:30" ht="14.1" customHeight="1">
      <c r="A450" s="146">
        <v>18</v>
      </c>
      <c r="B450" s="194"/>
      <c r="C450" s="622"/>
      <c r="D450" s="623" t="str">
        <f>IF(LEN(Q499)&lt;=265,"",RIGHT(Q499,LEN(Q499)-SEARCH(" ",Q499,255)))</f>
        <v/>
      </c>
      <c r="E450" s="624"/>
      <c r="F450" s="624"/>
      <c r="G450" s="624"/>
      <c r="H450" s="624"/>
      <c r="I450" s="624"/>
      <c r="J450" s="624"/>
      <c r="K450" s="624"/>
      <c r="L450" s="624"/>
      <c r="M450" s="197"/>
      <c r="O450" s="159"/>
      <c r="P450" s="136" t="s">
        <v>208</v>
      </c>
      <c r="Q450" s="634"/>
      <c r="R450" s="635"/>
      <c r="S450" s="636"/>
      <c r="T450" s="154"/>
      <c r="U450" s="136" t="s">
        <v>63</v>
      </c>
      <c r="V450" s="637" t="str">
        <f t="shared" si="100"/>
        <v/>
      </c>
      <c r="W450" s="638" t="str">
        <f t="shared" si="101"/>
        <v/>
      </c>
      <c r="X450" s="639" t="str">
        <f t="shared" si="102"/>
        <v/>
      </c>
      <c r="Y450" s="161"/>
    </row>
    <row r="451" spans="1:30" ht="14.1" customHeight="1">
      <c r="A451" s="146">
        <v>19</v>
      </c>
      <c r="B451" s="194"/>
      <c r="C451" s="627"/>
      <c r="D451" s="623" t="str">
        <f>IF(Q501="","",IF(LEN(Q501)&lt;=135,Q501,IF(LEN(Q501)&lt;=260,LEFT(Q501,SEARCH(" ",Q501,125)),LEFT(Q501,SEARCH(" ",Q501,130)))))</f>
        <v/>
      </c>
      <c r="E451" s="624"/>
      <c r="F451" s="624"/>
      <c r="G451" s="624"/>
      <c r="H451" s="624"/>
      <c r="I451" s="624"/>
      <c r="J451" s="624"/>
      <c r="K451" s="624"/>
      <c r="L451" s="624"/>
      <c r="M451" s="197"/>
      <c r="O451" s="159"/>
      <c r="P451" s="136" t="s">
        <v>177</v>
      </c>
      <c r="Q451" s="634"/>
      <c r="R451" s="635"/>
      <c r="S451" s="636"/>
      <c r="T451" s="154"/>
      <c r="U451" s="136" t="s">
        <v>349</v>
      </c>
      <c r="V451" s="637" t="str">
        <f t="shared" si="100"/>
        <v/>
      </c>
      <c r="W451" s="638" t="str">
        <f t="shared" si="101"/>
        <v/>
      </c>
      <c r="X451" s="639" t="str">
        <f t="shared" si="102"/>
        <v/>
      </c>
      <c r="Y451" s="161"/>
    </row>
    <row r="452" spans="1:30" ht="14.1" customHeight="1">
      <c r="A452" s="146">
        <v>20</v>
      </c>
      <c r="B452" s="194"/>
      <c r="C452" s="622"/>
      <c r="D452" s="623" t="str">
        <f>IF(LEN(Q501)&lt;=135,"",IF(LEN(Q501)&lt;=260,RIGHT(Q501,LEN(Q501)-SEARCH(" ",Q501,125)),MID(Q501,SEARCH(" ",Q501,130),IF(LEN(Q501)&lt;=265,LEN(Q501),SEARCH(" ",Q501,255)-SEARCH(" ",Q501,130)))))</f>
        <v/>
      </c>
      <c r="E452" s="624"/>
      <c r="F452" s="624"/>
      <c r="G452" s="624"/>
      <c r="H452" s="624"/>
      <c r="I452" s="624"/>
      <c r="J452" s="624"/>
      <c r="K452" s="624"/>
      <c r="L452" s="624"/>
      <c r="M452" s="197"/>
      <c r="O452" s="159"/>
      <c r="P452" s="136" t="s">
        <v>179</v>
      </c>
      <c r="Q452" s="634"/>
      <c r="R452" s="635"/>
      <c r="S452" s="636"/>
      <c r="T452" s="154"/>
      <c r="U452" s="136" t="s">
        <v>350</v>
      </c>
      <c r="V452" s="637" t="str">
        <f t="shared" si="100"/>
        <v/>
      </c>
      <c r="W452" s="638" t="str">
        <f t="shared" si="101"/>
        <v/>
      </c>
      <c r="X452" s="639" t="str">
        <f t="shared" si="102"/>
        <v/>
      </c>
      <c r="Y452" s="161"/>
    </row>
    <row r="453" spans="1:30" ht="14.1" customHeight="1">
      <c r="A453" s="146">
        <v>21</v>
      </c>
      <c r="B453" s="194"/>
      <c r="C453" s="622"/>
      <c r="D453" s="623" t="str">
        <f>IF(LEN(Q501)&lt;=265,"",RIGHT(Q501,LEN(Q501)-SEARCH(" ",Q501,255)))</f>
        <v/>
      </c>
      <c r="E453" s="624"/>
      <c r="F453" s="624"/>
      <c r="G453" s="624"/>
      <c r="H453" s="624"/>
      <c r="I453" s="624"/>
      <c r="J453" s="624"/>
      <c r="K453" s="624"/>
      <c r="L453" s="640"/>
      <c r="M453" s="197"/>
      <c r="O453" s="159"/>
      <c r="P453" s="136" t="s">
        <v>181</v>
      </c>
      <c r="Q453" s="634"/>
      <c r="R453" s="635"/>
      <c r="S453" s="636"/>
      <c r="T453" s="154"/>
      <c r="U453" s="136" t="s">
        <v>351</v>
      </c>
      <c r="V453" s="637" t="str">
        <f t="shared" si="100"/>
        <v/>
      </c>
      <c r="W453" s="638" t="str">
        <f t="shared" si="101"/>
        <v/>
      </c>
      <c r="X453" s="639" t="str">
        <f t="shared" si="102"/>
        <v/>
      </c>
      <c r="Y453" s="161"/>
    </row>
    <row r="454" spans="1:30" ht="14.1" customHeight="1">
      <c r="A454" s="146">
        <v>22</v>
      </c>
      <c r="B454" s="194"/>
      <c r="C454" s="627"/>
      <c r="D454" s="623" t="str">
        <f>IF(Q503="","",IF(LEN(Q503)&lt;=135,Q503,IF(LEN(Q503)&lt;=260,LEFT(Q503,SEARCH(" ",Q503,125)),LEFT(Q503,SEARCH(" ",Q503,130)))))</f>
        <v/>
      </c>
      <c r="E454" s="624"/>
      <c r="F454" s="624"/>
      <c r="G454" s="624"/>
      <c r="H454" s="624"/>
      <c r="I454" s="624"/>
      <c r="J454" s="624"/>
      <c r="K454" s="624"/>
      <c r="L454" s="640"/>
      <c r="M454" s="197"/>
      <c r="O454" s="159"/>
      <c r="P454" s="171"/>
      <c r="Q454" s="263" t="str">
        <f>IF(Q451="","",IF(AND(Q451&gt;=5,Q452&gt;=4,Q453&gt;=4),"Pass","Fail"))</f>
        <v/>
      </c>
      <c r="R454" s="263" t="str">
        <f>IF(R451="","",IF(AND(R451&gt;=5,R452&gt;=4,R453&gt;=4),"Pass","Fail"))</f>
        <v/>
      </c>
      <c r="S454" s="263" t="str">
        <f>IF(S451="","",IF(S447="3D",IF(AND(S451&gt;=4,S452&gt;=3,S453&gt;=3),"Pass","Fail"),IF(S447="2D",IF(AND(S451&gt;=5,S452&gt;=4,S453&gt;=4),"Pass","Fail"))))</f>
        <v/>
      </c>
      <c r="T454" s="154"/>
      <c r="U454" s="154"/>
      <c r="V454" s="154"/>
      <c r="Y454" s="161"/>
      <c r="AA454" s="753"/>
      <c r="AB454" s="753"/>
      <c r="AC454" s="753"/>
      <c r="AD454" s="753"/>
    </row>
    <row r="455" spans="1:30" ht="14.1" customHeight="1">
      <c r="A455" s="146">
        <v>23</v>
      </c>
      <c r="B455" s="194"/>
      <c r="D455" s="623" t="str">
        <f>IF(LEN(Q503)&lt;=135,"",IF(LEN(Q503)&lt;=260,RIGHT(Q503,LEN(Q503)-SEARCH(" ",Q503,125)),MID(Q503,SEARCH(" ",Q503,130),IF(LEN(Q503)&lt;=265,LEN(Q503),SEARCH(" ",Q503,255)-SEARCH(" ",Q503,130)))))</f>
        <v/>
      </c>
      <c r="E455" s="640"/>
      <c r="F455" s="640"/>
      <c r="G455" s="640"/>
      <c r="H455" s="640"/>
      <c r="I455" s="640"/>
      <c r="J455" s="640"/>
      <c r="K455" s="640"/>
      <c r="L455" s="640"/>
      <c r="M455" s="197"/>
      <c r="O455" s="159"/>
      <c r="P455" s="234" t="s">
        <v>193</v>
      </c>
      <c r="Q455" s="156" t="s">
        <v>758</v>
      </c>
      <c r="Y455" s="161"/>
      <c r="AA455" s="130"/>
      <c r="AB455" s="130"/>
      <c r="AC455" s="130"/>
      <c r="AD455" s="130"/>
    </row>
    <row r="456" spans="1:30" ht="14.1" customHeight="1" thickBot="1">
      <c r="A456" s="146">
        <v>24</v>
      </c>
      <c r="B456" s="194"/>
      <c r="D456" s="623" t="str">
        <f>IF(LEN(Q503)&lt;=265,"",RIGHT(Q503,LEN(Q503)-SEARCH(" ",Q503,255)))</f>
        <v/>
      </c>
      <c r="E456" s="640"/>
      <c r="F456" s="640"/>
      <c r="G456" s="640"/>
      <c r="H456" s="640"/>
      <c r="I456" s="640"/>
      <c r="J456" s="640"/>
      <c r="K456" s="640"/>
      <c r="L456" s="640"/>
      <c r="M456" s="197"/>
      <c r="O456" s="168"/>
      <c r="P456" s="641"/>
      <c r="Q456" s="642" t="s">
        <v>759</v>
      </c>
      <c r="R456" s="357"/>
      <c r="S456" s="357"/>
      <c r="T456" s="169"/>
      <c r="U456" s="169"/>
      <c r="V456" s="169"/>
      <c r="W456" s="169"/>
      <c r="X456" s="169"/>
      <c r="Y456" s="170"/>
    </row>
    <row r="457" spans="1:30" ht="14.1" customHeight="1">
      <c r="A457" s="146">
        <v>25</v>
      </c>
      <c r="B457" s="194"/>
      <c r="D457" s="623" t="str">
        <f>IF(Q505="","",IF(LEN(Q505)&lt;=135,Q505,IF(LEN(Q505)&lt;=260,LEFT(Q505,SEARCH(" ",Q505,125)),LEFT(Q505,SEARCH(" ",Q505,130)))))</f>
        <v/>
      </c>
      <c r="E457" s="640"/>
      <c r="F457" s="640"/>
      <c r="G457" s="640"/>
      <c r="H457" s="640"/>
      <c r="I457" s="640"/>
      <c r="J457" s="640"/>
      <c r="K457" s="640"/>
      <c r="L457" s="640"/>
      <c r="M457" s="197"/>
      <c r="O457" s="265" t="s">
        <v>353</v>
      </c>
      <c r="Y457" s="161"/>
    </row>
    <row r="458" spans="1:30" ht="14.1" customHeight="1">
      <c r="A458" s="146">
        <v>26</v>
      </c>
      <c r="B458" s="194"/>
      <c r="C458" s="622"/>
      <c r="D458" s="623" t="str">
        <f>IF(LEN(Q505)&lt;=135,"",IF(LEN(Q505)&lt;=260,RIGHT(Q505,LEN(Q505)-SEARCH(" ",Q505,125)),MID(Q505,SEARCH(" ",Q505,130),IF(LEN(Q505)&lt;=265,LEN(Q505),SEARCH(" ",Q505,255)-SEARCH(" ",Q505,130)))))</f>
        <v/>
      </c>
      <c r="E458" s="624"/>
      <c r="F458" s="624"/>
      <c r="G458" s="624"/>
      <c r="H458" s="624"/>
      <c r="I458" s="624"/>
      <c r="J458" s="624"/>
      <c r="K458" s="624"/>
      <c r="L458" s="624"/>
      <c r="M458" s="197"/>
      <c r="O458" s="159"/>
      <c r="T458" s="130" t="s">
        <v>354</v>
      </c>
      <c r="U458" s="130" t="s">
        <v>355</v>
      </c>
      <c r="Y458" s="161"/>
    </row>
    <row r="459" spans="1:30" ht="14.1" customHeight="1">
      <c r="A459" s="146">
        <v>27</v>
      </c>
      <c r="B459" s="194"/>
      <c r="D459" s="623" t="str">
        <f>IF(LEN(Q505)&lt;=265,"",RIGHT(Q505,LEN(Q505)-SEARCH(" ",Q505,255)))</f>
        <v/>
      </c>
      <c r="E459" s="640"/>
      <c r="F459" s="640"/>
      <c r="G459" s="640"/>
      <c r="H459" s="640"/>
      <c r="I459" s="640"/>
      <c r="J459" s="640"/>
      <c r="K459" s="640"/>
      <c r="L459" s="640"/>
      <c r="M459" s="197"/>
      <c r="O459" s="159"/>
      <c r="P459" s="136" t="s">
        <v>163</v>
      </c>
      <c r="Q459" s="261">
        <f>U228</f>
        <v>28</v>
      </c>
      <c r="R459" s="136"/>
      <c r="S459" s="136" t="s">
        <v>356</v>
      </c>
      <c r="T459" s="322" t="str">
        <f>Q237</f>
        <v/>
      </c>
      <c r="U459" s="322" t="str">
        <f>Q238</f>
        <v/>
      </c>
      <c r="Y459" s="161"/>
    </row>
    <row r="460" spans="1:30" ht="14.1" customHeight="1">
      <c r="A460" s="146">
        <v>28</v>
      </c>
      <c r="B460" s="194"/>
      <c r="M460" s="197"/>
      <c r="O460" s="159"/>
      <c r="P460" s="136" t="s">
        <v>166</v>
      </c>
      <c r="Q460" s="261">
        <f>T260</f>
        <v>100</v>
      </c>
      <c r="R460" s="136"/>
      <c r="S460" s="136" t="s">
        <v>357</v>
      </c>
      <c r="T460" s="322" t="str">
        <f>R237</f>
        <v/>
      </c>
      <c r="U460" s="322" t="str">
        <f>R238</f>
        <v/>
      </c>
      <c r="Y460" s="161"/>
    </row>
    <row r="461" spans="1:30" ht="14.1" customHeight="1">
      <c r="A461" s="146">
        <v>29</v>
      </c>
      <c r="B461" s="194"/>
      <c r="M461" s="197"/>
      <c r="O461" s="159"/>
      <c r="P461" s="136" t="s">
        <v>43</v>
      </c>
      <c r="Q461" s="562" t="str">
        <f>V21</f>
        <v/>
      </c>
      <c r="Y461" s="161"/>
    </row>
    <row r="462" spans="1:30" ht="14.1" customHeight="1">
      <c r="A462" s="146">
        <v>30</v>
      </c>
      <c r="B462" s="194"/>
      <c r="M462" s="197"/>
      <c r="O462" s="159"/>
      <c r="P462" s="136" t="s">
        <v>45</v>
      </c>
      <c r="Q462" s="562" t="str">
        <f>V24</f>
        <v/>
      </c>
      <c r="T462" s="130" t="s">
        <v>309</v>
      </c>
      <c r="U462" s="130" t="s">
        <v>310</v>
      </c>
      <c r="V462" s="130" t="s">
        <v>279</v>
      </c>
      <c r="W462" s="130" t="s">
        <v>358</v>
      </c>
      <c r="X462" s="130" t="s">
        <v>280</v>
      </c>
      <c r="Y462" s="161"/>
    </row>
    <row r="463" spans="1:30" ht="14.1" customHeight="1">
      <c r="A463" s="146">
        <v>31</v>
      </c>
      <c r="B463" s="194"/>
      <c r="M463" s="197"/>
      <c r="O463" s="159"/>
      <c r="S463" s="136" t="s">
        <v>188</v>
      </c>
      <c r="T463" s="643" t="str">
        <f>T237</f>
        <v/>
      </c>
      <c r="U463" s="644" t="str">
        <f>IF(AB121="","",AB121)</f>
        <v/>
      </c>
      <c r="V463" s="434" t="str">
        <f>IF(OR(T463="",W463=""),"",ABS(T463-W463)/W463)</f>
        <v/>
      </c>
      <c r="W463" s="645"/>
      <c r="X463" s="646" t="str">
        <f>IF(OR(T463="",V463=""),"",IF(AND(T463&gt;=40,V463&lt;=0.15),"Pass","Fail"))</f>
        <v/>
      </c>
      <c r="Y463" s="161"/>
    </row>
    <row r="464" spans="1:30" ht="14.1" customHeight="1">
      <c r="A464" s="146">
        <v>32</v>
      </c>
      <c r="B464" s="194"/>
      <c r="M464" s="197"/>
      <c r="O464" s="159"/>
      <c r="S464" s="136" t="s">
        <v>189</v>
      </c>
      <c r="T464" s="643" t="str">
        <f>U237</f>
        <v/>
      </c>
      <c r="U464" s="644" t="str">
        <f>IF(AB122="","",AB122)</f>
        <v/>
      </c>
      <c r="V464" s="434" t="str">
        <f>IF(OR(T464="",W464=""),"",ABS(T464-W464)/W464)</f>
        <v/>
      </c>
      <c r="W464" s="645"/>
      <c r="X464" s="122" t="str">
        <f>IF(OR(T464="",V464=""),"",IF(AND(T464&gt;=2,V464&lt;=0.15),"Pass","Fail"))</f>
        <v/>
      </c>
      <c r="Y464" s="161"/>
    </row>
    <row r="465" spans="1:28" ht="14.1" customHeight="1">
      <c r="A465" s="146">
        <v>33</v>
      </c>
      <c r="B465" s="194"/>
      <c r="M465" s="197"/>
      <c r="O465" s="159"/>
      <c r="P465" s="234" t="s">
        <v>193</v>
      </c>
      <c r="Q465" s="156" t="s">
        <v>359</v>
      </c>
      <c r="Y465" s="161"/>
    </row>
    <row r="466" spans="1:28" ht="14.1" customHeight="1">
      <c r="A466" s="146">
        <v>34</v>
      </c>
      <c r="B466" s="194"/>
      <c r="M466" s="197"/>
      <c r="O466" s="159"/>
      <c r="Q466" s="156" t="s">
        <v>360</v>
      </c>
      <c r="Y466" s="161"/>
    </row>
    <row r="467" spans="1:28" ht="14.1" customHeight="1" thickBot="1">
      <c r="A467" s="146">
        <v>35</v>
      </c>
      <c r="B467" s="194"/>
      <c r="M467" s="197"/>
      <c r="O467" s="168"/>
      <c r="P467" s="169"/>
      <c r="Q467" s="603" t="s">
        <v>796</v>
      </c>
      <c r="R467" s="169"/>
      <c r="S467" s="169"/>
      <c r="T467" s="169"/>
      <c r="U467" s="169"/>
      <c r="V467" s="169"/>
      <c r="W467" s="169"/>
      <c r="X467" s="169"/>
      <c r="Y467" s="170"/>
    </row>
    <row r="468" spans="1:28" ht="14.1" customHeight="1">
      <c r="A468" s="146">
        <v>36</v>
      </c>
      <c r="B468" s="194"/>
      <c r="M468" s="197"/>
      <c r="O468" s="271"/>
      <c r="P468" s="271"/>
      <c r="Q468" s="271"/>
      <c r="R468" s="271"/>
      <c r="S468" s="271"/>
      <c r="T468" s="271"/>
      <c r="U468" s="271"/>
      <c r="V468" s="271"/>
      <c r="W468" s="271"/>
      <c r="X468" s="271"/>
      <c r="Y468" s="271"/>
      <c r="AA468" s="271"/>
      <c r="AB468" s="271"/>
    </row>
    <row r="469" spans="1:28" ht="14.1" customHeight="1">
      <c r="A469" s="146">
        <v>37</v>
      </c>
      <c r="B469" s="194"/>
      <c r="M469" s="197"/>
      <c r="O469" s="271"/>
      <c r="P469" s="271"/>
      <c r="Q469" s="271"/>
      <c r="R469" s="271"/>
      <c r="S469" s="271"/>
      <c r="T469" s="271"/>
      <c r="U469" s="271"/>
      <c r="V469" s="271"/>
      <c r="W469" s="271"/>
      <c r="X469" s="271"/>
      <c r="Y469" s="271"/>
      <c r="AA469" s="271"/>
      <c r="AB469" s="271"/>
    </row>
    <row r="470" spans="1:28" ht="14.1" customHeight="1">
      <c r="A470" s="146">
        <v>38</v>
      </c>
      <c r="B470" s="194"/>
      <c r="M470" s="197"/>
      <c r="O470" s="271"/>
      <c r="P470" s="271"/>
      <c r="Q470" s="271"/>
      <c r="R470" s="271"/>
      <c r="S470" s="271"/>
      <c r="T470" s="271"/>
      <c r="U470" s="271"/>
      <c r="V470" s="271"/>
      <c r="W470" s="271"/>
      <c r="X470" s="271"/>
      <c r="Y470" s="271"/>
      <c r="AA470" s="271"/>
      <c r="AB470" s="271"/>
    </row>
    <row r="471" spans="1:28" ht="14.1" customHeight="1">
      <c r="A471" s="146">
        <v>39</v>
      </c>
      <c r="B471" s="194"/>
      <c r="M471" s="197"/>
      <c r="O471" s="271"/>
      <c r="P471" s="271"/>
      <c r="Q471" s="271"/>
      <c r="R471" s="271"/>
      <c r="S471" s="271"/>
      <c r="T471" s="271"/>
      <c r="U471" s="271"/>
      <c r="V471" s="271"/>
      <c r="W471" s="271"/>
      <c r="X471" s="271"/>
      <c r="Y471" s="271"/>
      <c r="AA471" s="271"/>
      <c r="AB471" s="271"/>
    </row>
    <row r="472" spans="1:28" ht="14.1" customHeight="1">
      <c r="A472" s="146">
        <v>40</v>
      </c>
      <c r="B472" s="194"/>
      <c r="M472" s="197"/>
      <c r="O472" s="271"/>
      <c r="P472" s="271"/>
      <c r="Q472" s="271"/>
      <c r="R472" s="271"/>
      <c r="S472" s="271"/>
      <c r="T472" s="271"/>
      <c r="U472" s="271"/>
      <c r="V472" s="271"/>
      <c r="W472" s="271"/>
      <c r="X472" s="271"/>
      <c r="Y472" s="271"/>
      <c r="AA472" s="271"/>
      <c r="AB472" s="271"/>
    </row>
    <row r="473" spans="1:28" ht="14.1" customHeight="1">
      <c r="A473" s="146">
        <v>41</v>
      </c>
      <c r="B473" s="194"/>
      <c r="M473" s="197"/>
      <c r="O473" s="271"/>
      <c r="P473" s="271"/>
      <c r="Q473" s="271"/>
      <c r="R473" s="271"/>
      <c r="S473" s="271"/>
      <c r="T473" s="271"/>
      <c r="U473" s="271"/>
      <c r="V473" s="271"/>
      <c r="W473" s="271"/>
      <c r="X473" s="271"/>
      <c r="Y473" s="271"/>
      <c r="AA473" s="271"/>
      <c r="AB473" s="271"/>
    </row>
    <row r="474" spans="1:28" ht="14.1" customHeight="1">
      <c r="A474" s="146">
        <v>42</v>
      </c>
      <c r="B474" s="194"/>
      <c r="M474" s="197"/>
      <c r="O474" s="271"/>
      <c r="P474" s="271"/>
      <c r="Q474" s="271"/>
      <c r="R474" s="271"/>
      <c r="S474" s="271"/>
      <c r="T474" s="271"/>
      <c r="U474" s="271"/>
      <c r="V474" s="271"/>
      <c r="W474" s="271"/>
      <c r="X474" s="271"/>
      <c r="Y474" s="271"/>
      <c r="AA474" s="271"/>
      <c r="AB474" s="271"/>
    </row>
    <row r="475" spans="1:28" ht="14.1" customHeight="1">
      <c r="A475" s="146">
        <v>43</v>
      </c>
      <c r="B475" s="194"/>
      <c r="M475" s="197"/>
      <c r="O475" s="271"/>
      <c r="P475" s="271"/>
      <c r="Q475" s="271"/>
      <c r="R475" s="271"/>
      <c r="S475" s="271"/>
      <c r="T475" s="271"/>
      <c r="U475" s="271"/>
      <c r="V475" s="271"/>
      <c r="W475" s="271"/>
      <c r="X475" s="271"/>
      <c r="Y475" s="271"/>
    </row>
    <row r="476" spans="1:28" ht="14.1" customHeight="1">
      <c r="A476" s="146">
        <v>44</v>
      </c>
      <c r="B476" s="194"/>
      <c r="M476" s="197"/>
      <c r="O476" s="271"/>
      <c r="P476" s="271"/>
      <c r="Q476" s="271"/>
      <c r="R476" s="271"/>
      <c r="S476" s="271"/>
      <c r="T476" s="271"/>
      <c r="U476" s="271"/>
      <c r="V476" s="271"/>
      <c r="W476" s="271"/>
      <c r="X476" s="271"/>
      <c r="Y476" s="271"/>
    </row>
    <row r="477" spans="1:28" ht="14.1" customHeight="1">
      <c r="A477" s="146">
        <v>45</v>
      </c>
      <c r="B477" s="194"/>
      <c r="M477" s="197"/>
    </row>
    <row r="478" spans="1:28" ht="14.1" customHeight="1">
      <c r="A478" s="146">
        <v>46</v>
      </c>
      <c r="B478" s="194"/>
      <c r="M478" s="197"/>
    </row>
    <row r="479" spans="1:28" ht="14.1" customHeight="1">
      <c r="A479" s="146">
        <v>47</v>
      </c>
      <c r="B479" s="194"/>
      <c r="M479" s="197"/>
    </row>
    <row r="480" spans="1:28" ht="14.1" customHeight="1">
      <c r="A480" s="146">
        <v>48</v>
      </c>
      <c r="B480" s="194"/>
      <c r="M480" s="197"/>
    </row>
    <row r="481" spans="1:25" ht="14.1" customHeight="1">
      <c r="A481" s="146">
        <v>49</v>
      </c>
      <c r="B481" s="194"/>
      <c r="M481" s="197"/>
    </row>
    <row r="482" spans="1:25" ht="14.1" customHeight="1">
      <c r="A482" s="146">
        <v>50</v>
      </c>
      <c r="B482" s="194"/>
      <c r="M482" s="197"/>
    </row>
    <row r="483" spans="1:25" ht="14.1" customHeight="1">
      <c r="A483" s="146">
        <v>51</v>
      </c>
      <c r="B483" s="194"/>
      <c r="M483" s="197"/>
    </row>
    <row r="484" spans="1:25" ht="14.1" customHeight="1">
      <c r="A484" s="146">
        <v>52</v>
      </c>
      <c r="B484" s="194"/>
      <c r="M484" s="197"/>
    </row>
    <row r="485" spans="1:25" ht="14.1" customHeight="1">
      <c r="A485" s="146">
        <v>53</v>
      </c>
      <c r="B485" s="194"/>
      <c r="M485" s="197"/>
    </row>
    <row r="486" spans="1:25" ht="14.1" customHeight="1">
      <c r="A486" s="146">
        <v>54</v>
      </c>
      <c r="B486" s="194"/>
      <c r="M486" s="197"/>
    </row>
    <row r="487" spans="1:25" ht="14.1" customHeight="1">
      <c r="A487" s="146">
        <v>55</v>
      </c>
      <c r="B487" s="194"/>
      <c r="M487" s="197"/>
    </row>
    <row r="488" spans="1:25" ht="14.1" customHeight="1">
      <c r="A488" s="146">
        <v>56</v>
      </c>
      <c r="B488" s="194"/>
      <c r="M488" s="197"/>
      <c r="O488" s="647"/>
      <c r="P488" s="647"/>
      <c r="Q488" s="647"/>
      <c r="R488" s="647"/>
      <c r="S488" s="647"/>
      <c r="T488" s="648" t="s">
        <v>513</v>
      </c>
      <c r="U488" s="647"/>
      <c r="V488" s="647"/>
      <c r="W488" s="647"/>
      <c r="X488" s="647"/>
      <c r="Y488" s="647"/>
    </row>
    <row r="489" spans="1:25" ht="14.1" customHeight="1" thickBot="1">
      <c r="A489" s="146">
        <v>57</v>
      </c>
      <c r="B489" s="194"/>
      <c r="M489" s="197"/>
      <c r="O489" s="647"/>
      <c r="P489" s="616" t="s">
        <v>514</v>
      </c>
      <c r="Q489" s="647"/>
      <c r="R489" s="647"/>
      <c r="S489" s="647"/>
      <c r="T489" s="647"/>
      <c r="U489" s="647"/>
      <c r="V489" s="647"/>
      <c r="W489" s="647"/>
      <c r="X489" s="647"/>
      <c r="Y489" s="647"/>
    </row>
    <row r="490" spans="1:25" ht="14.1" customHeight="1" thickTop="1" thickBot="1">
      <c r="A490" s="146">
        <v>58</v>
      </c>
      <c r="B490" s="205"/>
      <c r="C490" s="206"/>
      <c r="D490" s="206"/>
      <c r="E490" s="206"/>
      <c r="F490" s="206"/>
      <c r="G490" s="206"/>
      <c r="H490" s="206"/>
      <c r="I490" s="206"/>
      <c r="J490" s="206"/>
      <c r="K490" s="206"/>
      <c r="L490" s="206"/>
      <c r="M490" s="207"/>
      <c r="O490" s="649"/>
      <c r="P490" s="650"/>
      <c r="Q490" s="650"/>
      <c r="R490" s="651"/>
      <c r="S490" s="652" t="s">
        <v>515</v>
      </c>
      <c r="T490" s="650"/>
      <c r="U490" s="650"/>
      <c r="V490" s="650"/>
      <c r="W490" s="650"/>
      <c r="X490" s="650"/>
      <c r="Y490" s="653"/>
    </row>
    <row r="491" spans="1:25" ht="14.1" customHeight="1" thickTop="1">
      <c r="A491" s="146">
        <v>59</v>
      </c>
      <c r="O491" s="654"/>
      <c r="P491" s="627" t="s">
        <v>213</v>
      </c>
      <c r="Q491" s="655"/>
      <c r="R491" s="656"/>
      <c r="S491" s="657" t="str">
        <f>IF(OR(AD720=0,AD720=""),"",AD720)</f>
        <v/>
      </c>
      <c r="T491" s="658"/>
      <c r="U491" s="658"/>
      <c r="V491" s="658"/>
      <c r="W491" s="658"/>
      <c r="X491" s="658"/>
      <c r="Y491" s="659"/>
    </row>
    <row r="492" spans="1:25" ht="14.1" customHeight="1">
      <c r="A492" s="146">
        <v>60</v>
      </c>
      <c r="O492" s="660"/>
      <c r="P492" s="661" t="s">
        <v>516</v>
      </c>
      <c r="Q492" s="662"/>
      <c r="R492" s="663">
        <f>LEN(Q491)</f>
        <v>0</v>
      </c>
      <c r="S492" s="664"/>
      <c r="T492" s="665">
        <f>LEN(S491)</f>
        <v>0</v>
      </c>
      <c r="U492" s="666"/>
      <c r="V492" s="667"/>
      <c r="W492" s="667"/>
      <c r="X492" s="667"/>
      <c r="Y492" s="668"/>
    </row>
    <row r="493" spans="1:25" ht="14.1" customHeight="1">
      <c r="A493" s="146">
        <v>61</v>
      </c>
      <c r="O493" s="660"/>
      <c r="P493" s="627" t="s">
        <v>517</v>
      </c>
      <c r="Q493" s="655"/>
      <c r="R493" s="656"/>
      <c r="S493" s="657" t="str">
        <f>IF(OR(AD722=0,AD722=""),"",AD722)</f>
        <v/>
      </c>
      <c r="T493" s="658"/>
      <c r="U493" s="658"/>
      <c r="V493" s="658"/>
      <c r="W493" s="658"/>
      <c r="X493" s="658"/>
      <c r="Y493" s="659"/>
    </row>
    <row r="494" spans="1:25" ht="14.1" customHeight="1">
      <c r="A494" s="146">
        <v>62</v>
      </c>
      <c r="O494" s="660"/>
      <c r="P494" s="661" t="s">
        <v>516</v>
      </c>
      <c r="Q494" s="662"/>
      <c r="R494" s="663">
        <f>LEN(Q493)</f>
        <v>0</v>
      </c>
      <c r="S494" s="664"/>
      <c r="T494" s="665">
        <f>LEN(S493)</f>
        <v>0</v>
      </c>
      <c r="U494" s="666"/>
      <c r="V494" s="658"/>
      <c r="W494" s="658"/>
      <c r="X494" s="658"/>
      <c r="Y494" s="659"/>
    </row>
    <row r="495" spans="1:25" ht="14.1" customHeight="1">
      <c r="A495" s="146">
        <v>63</v>
      </c>
      <c r="O495" s="669"/>
      <c r="P495" s="627" t="s">
        <v>517</v>
      </c>
      <c r="Q495" s="655"/>
      <c r="R495" s="656"/>
      <c r="S495" s="657" t="str">
        <f>IF(OR(AD724=0,AD724=""),"",AD724)</f>
        <v/>
      </c>
      <c r="T495" s="667"/>
      <c r="U495" s="667"/>
      <c r="V495" s="667"/>
      <c r="W495" s="667"/>
      <c r="X495" s="667"/>
      <c r="Y495" s="668"/>
    </row>
    <row r="496" spans="1:25" ht="14.1" customHeight="1">
      <c r="A496" s="146">
        <v>64</v>
      </c>
      <c r="O496" s="660"/>
      <c r="P496" s="661" t="s">
        <v>516</v>
      </c>
      <c r="Q496" s="662"/>
      <c r="R496" s="663">
        <f>LEN(Q495)</f>
        <v>0</v>
      </c>
      <c r="S496" s="664"/>
      <c r="T496" s="665">
        <f>LEN(S495)</f>
        <v>0</v>
      </c>
      <c r="U496" s="666"/>
      <c r="V496" s="658"/>
      <c r="W496" s="658"/>
      <c r="X496" s="658"/>
      <c r="Y496" s="659"/>
    </row>
    <row r="497" spans="1:25" ht="14.1" customHeight="1">
      <c r="A497" s="146">
        <v>65</v>
      </c>
      <c r="O497" s="660"/>
      <c r="P497" s="627" t="s">
        <v>517</v>
      </c>
      <c r="Q497" s="655"/>
      <c r="R497" s="656"/>
      <c r="S497" s="657" t="str">
        <f>IF(OR(AD726=0,AD726=""),"",AD726)</f>
        <v/>
      </c>
      <c r="T497" s="658"/>
      <c r="U497" s="658"/>
      <c r="V497" s="658"/>
      <c r="W497" s="658"/>
      <c r="X497" s="658"/>
      <c r="Y497" s="659"/>
    </row>
    <row r="498" spans="1:25" ht="14.1" customHeight="1">
      <c r="A498" s="146">
        <v>66</v>
      </c>
      <c r="O498" s="669"/>
      <c r="P498" s="661" t="s">
        <v>516</v>
      </c>
      <c r="Q498" s="662"/>
      <c r="R498" s="663">
        <f>LEN(Q497)</f>
        <v>0</v>
      </c>
      <c r="S498" s="664"/>
      <c r="T498" s="665">
        <f>LEN(S497)</f>
        <v>0</v>
      </c>
      <c r="U498" s="666"/>
      <c r="V498" s="667"/>
      <c r="W498" s="667"/>
      <c r="X498" s="667"/>
      <c r="Y498" s="668"/>
    </row>
    <row r="499" spans="1:25" ht="14.1" customHeight="1">
      <c r="A499" s="146">
        <v>67</v>
      </c>
      <c r="O499" s="660"/>
      <c r="P499" s="627" t="s">
        <v>517</v>
      </c>
      <c r="Q499" s="655"/>
      <c r="R499" s="656"/>
      <c r="S499" s="657" t="str">
        <f>IF(OR(AD728=0,AD728=""),"",AD728)</f>
        <v/>
      </c>
      <c r="T499" s="658"/>
      <c r="U499" s="658"/>
      <c r="V499" s="658"/>
      <c r="W499" s="658"/>
      <c r="X499" s="658"/>
      <c r="Y499" s="659"/>
    </row>
    <row r="500" spans="1:25" ht="14.1" customHeight="1">
      <c r="A500" s="146">
        <v>68</v>
      </c>
      <c r="O500" s="660"/>
      <c r="P500" s="661" t="s">
        <v>516</v>
      </c>
      <c r="Q500" s="662"/>
      <c r="R500" s="663">
        <f>LEN(Q499)</f>
        <v>0</v>
      </c>
      <c r="S500" s="664"/>
      <c r="T500" s="665">
        <f>LEN(S499)</f>
        <v>0</v>
      </c>
      <c r="U500" s="666"/>
      <c r="V500" s="658"/>
      <c r="W500" s="658"/>
      <c r="X500" s="658"/>
      <c r="Y500" s="659"/>
    </row>
    <row r="501" spans="1:25" ht="14.1" customHeight="1">
      <c r="A501" s="146">
        <v>69</v>
      </c>
      <c r="O501" s="669"/>
      <c r="P501" s="627" t="s">
        <v>517</v>
      </c>
      <c r="Q501" s="655"/>
      <c r="R501" s="656"/>
      <c r="S501" s="657" t="str">
        <f>IF(OR(AD730=0,AD730=""),"",AD730)</f>
        <v/>
      </c>
      <c r="T501" s="667"/>
      <c r="U501" s="667"/>
      <c r="V501" s="667"/>
      <c r="W501" s="667"/>
      <c r="X501" s="667"/>
      <c r="Y501" s="668"/>
    </row>
    <row r="502" spans="1:25" ht="14.1" customHeight="1">
      <c r="A502" s="146">
        <v>70</v>
      </c>
      <c r="O502" s="660"/>
      <c r="P502" s="661" t="s">
        <v>516</v>
      </c>
      <c r="Q502" s="670"/>
      <c r="R502" s="671">
        <f>LEN(Q501)</f>
        <v>0</v>
      </c>
      <c r="S502" s="672"/>
      <c r="T502" s="673">
        <f>LEN(S501)</f>
        <v>0</v>
      </c>
      <c r="U502" s="674"/>
      <c r="V502" s="675"/>
      <c r="W502" s="675"/>
      <c r="X502" s="675"/>
      <c r="Y502" s="659"/>
    </row>
    <row r="503" spans="1:25" ht="14.1" customHeight="1">
      <c r="A503" s="146">
        <v>71</v>
      </c>
      <c r="C503" s="230" t="s">
        <v>8</v>
      </c>
      <c r="D503" s="231" t="str">
        <f>IF($P$7="","",$P$7)</f>
        <v/>
      </c>
      <c r="E503" s="156"/>
      <c r="F503" s="156"/>
      <c r="G503" s="156"/>
      <c r="H503" s="156"/>
      <c r="I503" s="156"/>
      <c r="J503" s="156"/>
      <c r="K503" s="156"/>
      <c r="L503" s="230" t="s">
        <v>9</v>
      </c>
      <c r="M503" s="232" t="str">
        <f>IF($X$7="","",$X$7)</f>
        <v>Eugene Mah</v>
      </c>
      <c r="O503" s="660"/>
      <c r="P503" s="627" t="s">
        <v>517</v>
      </c>
      <c r="Q503" s="655"/>
      <c r="R503" s="656"/>
      <c r="S503" s="657" t="str">
        <f>IF(OR(AD732=0,AD732=""),"",AD732)</f>
        <v/>
      </c>
      <c r="T503" s="667"/>
      <c r="U503" s="667"/>
      <c r="V503" s="667"/>
      <c r="W503" s="667"/>
      <c r="X503" s="667"/>
      <c r="Y503" s="659"/>
    </row>
    <row r="504" spans="1:25" ht="14.1" customHeight="1">
      <c r="A504" s="146">
        <v>72</v>
      </c>
      <c r="C504" s="230" t="s">
        <v>111</v>
      </c>
      <c r="D504" s="232" t="str">
        <f>IF($R$14="","",$R$14)</f>
        <v/>
      </c>
      <c r="E504" s="156"/>
      <c r="F504" s="156"/>
      <c r="G504" s="156"/>
      <c r="H504" s="156"/>
      <c r="I504" s="156"/>
      <c r="J504" s="156"/>
      <c r="K504" s="156"/>
      <c r="L504" s="230" t="s">
        <v>29</v>
      </c>
      <c r="M504" s="232" t="str">
        <f>IF($R$13="","",$R$13)</f>
        <v/>
      </c>
      <c r="O504" s="669"/>
      <c r="P504" s="661" t="s">
        <v>516</v>
      </c>
      <c r="Q504" s="670"/>
      <c r="R504" s="671">
        <f>LEN(Q503)</f>
        <v>0</v>
      </c>
      <c r="S504" s="672"/>
      <c r="T504" s="673">
        <f>LEN(S503)</f>
        <v>0</v>
      </c>
      <c r="U504" s="674"/>
      <c r="V504" s="675"/>
      <c r="W504" s="675"/>
      <c r="X504" s="675"/>
      <c r="Y504" s="668"/>
    </row>
    <row r="505" spans="1:25" ht="14.1" customHeight="1">
      <c r="O505" s="660"/>
      <c r="P505" s="627" t="s">
        <v>517</v>
      </c>
      <c r="Q505" s="655"/>
      <c r="R505" s="656"/>
      <c r="S505" s="657" t="str">
        <f>IF(OR(AD734=0,AD734=""),"",AD734)</f>
        <v/>
      </c>
      <c r="T505" s="667"/>
      <c r="U505" s="667"/>
      <c r="V505" s="667"/>
      <c r="W505" s="667"/>
      <c r="X505" s="667"/>
      <c r="Y505" s="659"/>
    </row>
    <row r="506" spans="1:25" ht="14.1" customHeight="1">
      <c r="O506" s="660"/>
      <c r="P506" s="661" t="s">
        <v>516</v>
      </c>
      <c r="Q506" s="670"/>
      <c r="R506" s="671">
        <f>LEN(Q505)</f>
        <v>0</v>
      </c>
      <c r="S506" s="672"/>
      <c r="T506" s="673">
        <f>LEN(S505)</f>
        <v>0</v>
      </c>
      <c r="U506" s="674"/>
      <c r="V506" s="675"/>
      <c r="W506" s="675"/>
      <c r="X506" s="675"/>
      <c r="Y506" s="659"/>
    </row>
    <row r="507" spans="1:25" ht="14.1" customHeight="1">
      <c r="O507" s="669"/>
      <c r="P507" s="627"/>
      <c r="Q507" s="676"/>
      <c r="R507" s="677"/>
      <c r="S507" s="678"/>
      <c r="T507" s="622"/>
      <c r="U507" s="622"/>
      <c r="V507" s="622"/>
      <c r="W507" s="622"/>
      <c r="X507" s="622"/>
      <c r="Y507" s="668"/>
    </row>
    <row r="508" spans="1:25" ht="14.1" customHeight="1">
      <c r="O508" s="660"/>
      <c r="P508" s="661"/>
      <c r="Q508" s="670"/>
      <c r="R508" s="671"/>
      <c r="S508" s="671"/>
      <c r="T508" s="671"/>
      <c r="U508" s="679"/>
      <c r="V508" s="675"/>
      <c r="W508" s="675"/>
      <c r="X508" s="675"/>
      <c r="Y508" s="659"/>
    </row>
    <row r="509" spans="1:25" ht="14.1" customHeight="1">
      <c r="O509" s="660"/>
      <c r="P509" s="622"/>
      <c r="Q509" s="680"/>
      <c r="R509" s="677"/>
      <c r="S509" s="678"/>
      <c r="T509" s="675"/>
      <c r="U509" s="675"/>
      <c r="V509" s="675"/>
      <c r="W509" s="675"/>
      <c r="X509" s="675"/>
      <c r="Y509" s="659"/>
    </row>
    <row r="510" spans="1:25" ht="14.1" customHeight="1">
      <c r="O510" s="669"/>
      <c r="P510" s="681"/>
      <c r="Q510" s="681"/>
      <c r="R510" s="677"/>
      <c r="S510" s="622"/>
      <c r="T510" s="622"/>
      <c r="U510" s="622"/>
      <c r="V510" s="622"/>
      <c r="W510" s="622"/>
      <c r="X510" s="622"/>
      <c r="Y510" s="668"/>
    </row>
    <row r="511" spans="1:25" ht="14.1" customHeight="1">
      <c r="O511" s="660"/>
      <c r="P511" s="681"/>
      <c r="Q511" s="681"/>
      <c r="R511" s="677"/>
      <c r="S511" s="675"/>
      <c r="T511" s="675"/>
      <c r="U511" s="675"/>
      <c r="V511" s="675"/>
      <c r="W511" s="675"/>
      <c r="X511" s="675"/>
      <c r="Y511" s="659"/>
    </row>
    <row r="512" spans="1:25" ht="14.1" customHeight="1">
      <c r="O512" s="660"/>
      <c r="P512" s="681"/>
      <c r="Q512" s="681"/>
      <c r="R512" s="677"/>
      <c r="S512" s="675"/>
      <c r="T512" s="675"/>
      <c r="U512" s="675"/>
      <c r="V512" s="675"/>
      <c r="W512" s="675"/>
      <c r="X512" s="675"/>
      <c r="Y512" s="659"/>
    </row>
    <row r="513" spans="15:25" ht="14.1" customHeight="1">
      <c r="O513" s="669"/>
      <c r="P513" s="681"/>
      <c r="Q513" s="681"/>
      <c r="R513" s="677"/>
      <c r="S513" s="682"/>
      <c r="T513" s="622"/>
      <c r="U513" s="622"/>
      <c r="V513" s="675"/>
      <c r="W513" s="675"/>
      <c r="X513" s="675"/>
      <c r="Y513" s="668"/>
    </row>
    <row r="514" spans="15:25" ht="14.1" customHeight="1">
      <c r="O514" s="660"/>
      <c r="P514" s="681"/>
      <c r="Q514" s="681"/>
      <c r="R514" s="677"/>
      <c r="S514" s="675"/>
      <c r="T514" s="677"/>
      <c r="U514" s="675"/>
      <c r="V514" s="677"/>
      <c r="W514" s="675"/>
      <c r="X514" s="675"/>
      <c r="Y514" s="659"/>
    </row>
    <row r="515" spans="15:25" ht="14.1" customHeight="1">
      <c r="O515" s="660"/>
      <c r="P515" s="681"/>
      <c r="Q515" s="681"/>
      <c r="R515" s="677"/>
      <c r="S515" s="675"/>
      <c r="T515" s="677"/>
      <c r="U515" s="675"/>
      <c r="V515" s="677"/>
      <c r="W515" s="675"/>
      <c r="X515" s="675"/>
      <c r="Y515" s="659"/>
    </row>
    <row r="516" spans="15:25" ht="14.1" customHeight="1">
      <c r="O516" s="669"/>
      <c r="P516" s="681"/>
      <c r="Q516" s="681"/>
      <c r="R516" s="677"/>
      <c r="S516" s="675"/>
      <c r="T516" s="677"/>
      <c r="U516" s="675"/>
      <c r="V516" s="677"/>
      <c r="W516" s="675"/>
      <c r="X516" s="675"/>
      <c r="Y516" s="668"/>
    </row>
    <row r="517" spans="15:25" ht="14.1" customHeight="1" thickBot="1">
      <c r="O517" s="683"/>
      <c r="P517" s="618"/>
      <c r="Q517" s="684"/>
      <c r="R517" s="685"/>
      <c r="S517" s="618"/>
      <c r="T517" s="618"/>
      <c r="U517" s="618"/>
      <c r="V517" s="618"/>
      <c r="W517" s="618"/>
      <c r="X517" s="618"/>
      <c r="Y517" s="686"/>
    </row>
    <row r="518" spans="15:25" ht="14.1" customHeight="1" thickTop="1"/>
  </sheetData>
  <customSheetViews>
    <customSheetView guid="{F38AF2A4-EC1D-460A-B405-E4A69D902BA6}" showPageBreaks="1" fitToPage="1" printArea="1">
      <rowBreaks count="6" manualBreakCount="6">
        <brk id="72" max="16383" man="1"/>
        <brk id="144" max="16383" man="1"/>
        <brk id="216" max="16383" man="1"/>
        <brk id="288" max="16383" man="1"/>
        <brk id="360" max="16383" man="1"/>
        <brk id="432" max="16383" man="1"/>
      </rowBreaks>
      <pageMargins left="0.7" right="0.7" top="0.75" bottom="0.75" header="0.3" footer="0.3"/>
      <pageSetup scale="69" fitToHeight="0" pageOrder="overThenDown" orientation="portrait" r:id="rId1"/>
      <headerFooter>
        <oddFooter>&amp;CPage &amp;P</oddFooter>
      </headerFooter>
    </customSheetView>
  </customSheetViews>
  <mergeCells count="66">
    <mergeCell ref="C296:C302"/>
    <mergeCell ref="C303:C307"/>
    <mergeCell ref="C308:C312"/>
    <mergeCell ref="AA454:AB454"/>
    <mergeCell ref="AC454:AD454"/>
    <mergeCell ref="P378:P383"/>
    <mergeCell ref="P384:P388"/>
    <mergeCell ref="Q420:S420"/>
    <mergeCell ref="Q194:S194"/>
    <mergeCell ref="U194:W194"/>
    <mergeCell ref="U245:W245"/>
    <mergeCell ref="S369:W369"/>
    <mergeCell ref="P371:P377"/>
    <mergeCell ref="P129:R130"/>
    <mergeCell ref="S129:U130"/>
    <mergeCell ref="V129:X130"/>
    <mergeCell ref="P173:S173"/>
    <mergeCell ref="Q182:S182"/>
    <mergeCell ref="U182:W182"/>
    <mergeCell ref="G36:I36"/>
    <mergeCell ref="L44:M44"/>
    <mergeCell ref="P121:R122"/>
    <mergeCell ref="V121:X122"/>
    <mergeCell ref="S121:U122"/>
    <mergeCell ref="F29:G29"/>
    <mergeCell ref="K29:L29"/>
    <mergeCell ref="F30:G30"/>
    <mergeCell ref="K30:L30"/>
    <mergeCell ref="D35:F35"/>
    <mergeCell ref="G35:I35"/>
    <mergeCell ref="J35:L35"/>
    <mergeCell ref="F25:G25"/>
    <mergeCell ref="F26:G26"/>
    <mergeCell ref="F28:G28"/>
    <mergeCell ref="K28:L28"/>
    <mergeCell ref="K27:L27"/>
    <mergeCell ref="K25:L25"/>
    <mergeCell ref="K24:L24"/>
    <mergeCell ref="F10:G10"/>
    <mergeCell ref="K10:L10"/>
    <mergeCell ref="F11:G11"/>
    <mergeCell ref="K11:L11"/>
    <mergeCell ref="F12:G12"/>
    <mergeCell ref="K12:L12"/>
    <mergeCell ref="F13:G13"/>
    <mergeCell ref="K13:L13"/>
    <mergeCell ref="F16:G16"/>
    <mergeCell ref="K16:L16"/>
    <mergeCell ref="F17:G17"/>
    <mergeCell ref="K17:L17"/>
    <mergeCell ref="F294:H294"/>
    <mergeCell ref="I291:J291"/>
    <mergeCell ref="I292:J292"/>
    <mergeCell ref="F18:G18"/>
    <mergeCell ref="K18:L18"/>
    <mergeCell ref="H250:J250"/>
    <mergeCell ref="D179:G179"/>
    <mergeCell ref="D186:F186"/>
    <mergeCell ref="H186:J186"/>
    <mergeCell ref="K186:M186"/>
    <mergeCell ref="F21:G21"/>
    <mergeCell ref="K21:L21"/>
    <mergeCell ref="F22:G22"/>
    <mergeCell ref="K22:L22"/>
    <mergeCell ref="K23:L23"/>
    <mergeCell ref="F24:G24"/>
  </mergeCells>
  <conditionalFormatting sqref="C229:C230">
    <cfRule type="cellIs" dxfId="159" priority="55" operator="equal">
      <formula>"TBD"</formula>
    </cfRule>
    <cfRule type="cellIs" dxfId="158" priority="54" operator="equal">
      <formula>"NO"</formula>
    </cfRule>
  </conditionalFormatting>
  <conditionalFormatting sqref="C427:C429">
    <cfRule type="cellIs" dxfId="157" priority="43" operator="equal">
      <formula>"Fail"</formula>
    </cfRule>
  </conditionalFormatting>
  <conditionalFormatting sqref="D421:E421">
    <cfRule type="cellIs" dxfId="156" priority="12" operator="lessThan">
      <formula>4</formula>
    </cfRule>
  </conditionalFormatting>
  <conditionalFormatting sqref="D422:E423">
    <cfRule type="cellIs" dxfId="155" priority="11" operator="lessThan">
      <formula>3</formula>
    </cfRule>
  </conditionalFormatting>
  <conditionalFormatting sqref="D378:F378 Q425:S425">
    <cfRule type="cellIs" dxfId="154" priority="40" operator="equal">
      <formula>"Fail"</formula>
    </cfRule>
  </conditionalFormatting>
  <conditionalFormatting sqref="E343">
    <cfRule type="cellIs" dxfId="153" priority="174" stopIfTrue="1" operator="equal">
      <formula>"Fail"</formula>
    </cfRule>
    <cfRule type="cellIs" dxfId="152" priority="173" stopIfTrue="1" operator="equal">
      <formula>"Pass"</formula>
    </cfRule>
  </conditionalFormatting>
  <conditionalFormatting sqref="E414:E416">
    <cfRule type="cellIs" dxfId="151" priority="14" operator="greaterThan">
      <formula>0.9</formula>
    </cfRule>
  </conditionalFormatting>
  <conditionalFormatting sqref="F279">
    <cfRule type="cellIs" dxfId="150" priority="19" operator="greaterThan">
      <formula>$G$279</formula>
    </cfRule>
  </conditionalFormatting>
  <conditionalFormatting sqref="F280">
    <cfRule type="cellIs" dxfId="149" priority="18" operator="greaterThan">
      <formula>$G$280</formula>
    </cfRule>
  </conditionalFormatting>
  <conditionalFormatting sqref="F281">
    <cfRule type="cellIs" dxfId="148" priority="17" operator="greaterThan">
      <formula>$G$281</formula>
    </cfRule>
  </conditionalFormatting>
  <conditionalFormatting sqref="F407:F409 G414:G416">
    <cfRule type="cellIs" dxfId="147" priority="35" operator="equal">
      <formula>"Fail"</formula>
    </cfRule>
  </conditionalFormatting>
  <conditionalFormatting sqref="F414:F416">
    <cfRule type="cellIs" dxfId="146" priority="13" operator="greaterThan">
      <formula>0.6</formula>
    </cfRule>
  </conditionalFormatting>
  <conditionalFormatting sqref="H194:H196">
    <cfRule type="cellIs" dxfId="145" priority="58" operator="equal">
      <formula>"Fail"</formula>
    </cfRule>
  </conditionalFormatting>
  <conditionalFormatting sqref="H205">
    <cfRule type="cellIs" dxfId="144" priority="57" operator="equal">
      <formula>"Fail"</formula>
    </cfRule>
  </conditionalFormatting>
  <conditionalFormatting sqref="H279:H281">
    <cfRule type="cellIs" dxfId="143" priority="48" operator="equal">
      <formula>"Fail"</formula>
    </cfRule>
  </conditionalFormatting>
  <conditionalFormatting sqref="H395:J395">
    <cfRule type="cellIs" dxfId="142" priority="10" operator="lessThan">
      <formula>5</formula>
    </cfRule>
  </conditionalFormatting>
  <conditionalFormatting sqref="H396:J397">
    <cfRule type="cellIs" dxfId="141" priority="9" operator="lessThan">
      <formula>4</formula>
    </cfRule>
  </conditionalFormatting>
  <conditionalFormatting sqref="H398:J398 Q454:S454">
    <cfRule type="cellIs" dxfId="140" priority="38" operator="equal">
      <formula>"Fail"</formula>
    </cfRule>
  </conditionalFormatting>
  <conditionalFormatting sqref="I366:I368">
    <cfRule type="cellIs" dxfId="139" priority="7" operator="equal">
      <formula>"Fail"</formula>
    </cfRule>
  </conditionalFormatting>
  <conditionalFormatting sqref="J154:J156">
    <cfRule type="cellIs" dxfId="138" priority="65" operator="equal">
      <formula>"TBD"</formula>
    </cfRule>
  </conditionalFormatting>
  <conditionalFormatting sqref="J156 P360:Q360 D424:E424">
    <cfRule type="cellIs" dxfId="137" priority="64" operator="equal">
      <formula>"Fail"</formula>
    </cfRule>
  </conditionalFormatting>
  <conditionalFormatting sqref="J343">
    <cfRule type="cellIs" dxfId="136" priority="172" stopIfTrue="1" operator="equal">
      <formula>"Fail"</formula>
    </cfRule>
    <cfRule type="cellIs" dxfId="135" priority="171" stopIfTrue="1" operator="equal">
      <formula>"Pass"</formula>
    </cfRule>
  </conditionalFormatting>
  <conditionalFormatting sqref="K154:K155">
    <cfRule type="cellIs" dxfId="134" priority="66" operator="equal">
      <formula>"NO"</formula>
    </cfRule>
  </conditionalFormatting>
  <conditionalFormatting sqref="K226">
    <cfRule type="cellIs" dxfId="133" priority="56" operator="equal">
      <formula>"Fail"</formula>
    </cfRule>
  </conditionalFormatting>
  <conditionalFormatting sqref="K270">
    <cfRule type="cellIs" dxfId="132" priority="49" operator="greaterThan">
      <formula>3</formula>
    </cfRule>
  </conditionalFormatting>
  <conditionalFormatting sqref="L45:L50 L52:L64 L76:L107 L109:L125 L128:L132 L135:L141">
    <cfRule type="cellIs" dxfId="131" priority="68" operator="equal">
      <formula>"TBD"</formula>
    </cfRule>
  </conditionalFormatting>
  <conditionalFormatting sqref="L181">
    <cfRule type="cellIs" dxfId="130" priority="59" operator="equal">
      <formula>"NO"</formula>
    </cfRule>
  </conditionalFormatting>
  <conditionalFormatting sqref="L302 L307 L312">
    <cfRule type="cellIs" dxfId="129" priority="20" operator="equal">
      <formula>"Fail"</formula>
    </cfRule>
  </conditionalFormatting>
  <conditionalFormatting sqref="L383:L384">
    <cfRule type="cellIs" dxfId="128" priority="32" operator="equal">
      <formula>"Fail"</formula>
    </cfRule>
  </conditionalFormatting>
  <conditionalFormatting sqref="M45:M50 M52:M64 M76:M107 M109:M125 M128:M132 M135:M141">
    <cfRule type="cellIs" dxfId="127" priority="69" operator="equal">
      <formula>"NO"</formula>
    </cfRule>
  </conditionalFormatting>
  <conditionalFormatting sqref="M283">
    <cfRule type="cellIs" dxfId="126" priority="45" operator="equal">
      <formula>"Fail"</formula>
    </cfRule>
  </conditionalFormatting>
  <conditionalFormatting sqref="M353">
    <cfRule type="cellIs" dxfId="125" priority="30" operator="equal">
      <formula>"Fail"</formula>
    </cfRule>
  </conditionalFormatting>
  <conditionalFormatting sqref="P313:P315">
    <cfRule type="cellIs" dxfId="124" priority="76" operator="between">
      <formula>$R$310*0.98</formula>
      <formula>$R$310*1.02</formula>
    </cfRule>
  </conditionalFormatting>
  <conditionalFormatting sqref="P357:Q357">
    <cfRule type="cellIs" dxfId="123" priority="113" operator="greaterThanOrEqual">
      <formula>4</formula>
    </cfRule>
    <cfRule type="cellIs" dxfId="122" priority="112" operator="lessThan">
      <formula>4</formula>
    </cfRule>
  </conditionalFormatting>
  <conditionalFormatting sqref="P358:Q359">
    <cfRule type="cellIs" dxfId="121" priority="110" operator="lessThan">
      <formula>3</formula>
    </cfRule>
    <cfRule type="cellIs" dxfId="120" priority="111" operator="greaterThanOrEqual">
      <formula>3</formula>
    </cfRule>
  </conditionalFormatting>
  <conditionalFormatting sqref="P401:S401">
    <cfRule type="cellIs" dxfId="119" priority="202" operator="lessThan">
      <formula>0.02</formula>
    </cfRule>
    <cfRule type="cellIs" dxfId="118" priority="201" operator="greaterThan">
      <formula>0.02</formula>
    </cfRule>
  </conditionalFormatting>
  <conditionalFormatting sqref="P239:V239">
    <cfRule type="cellIs" dxfId="117" priority="218" operator="greaterThan">
      <formula>0.05</formula>
    </cfRule>
    <cfRule type="cellIs" dxfId="116" priority="217" operator="lessThan">
      <formula>0.05</formula>
    </cfRule>
  </conditionalFormatting>
  <conditionalFormatting sqref="Q349 T349 W349">
    <cfRule type="cellIs" dxfId="115" priority="98" operator="greaterThanOrEqual">
      <formula>0.9</formula>
    </cfRule>
    <cfRule type="cellIs" dxfId="114" priority="97" operator="lessThan">
      <formula>0.9</formula>
    </cfRule>
  </conditionalFormatting>
  <conditionalFormatting sqref="Q350 T350 W350">
    <cfRule type="cellIs" dxfId="113" priority="96" operator="greaterThanOrEqual">
      <formula>0.6</formula>
    </cfRule>
    <cfRule type="cellIs" dxfId="112" priority="95" operator="lessThan">
      <formula>0.6</formula>
    </cfRule>
  </conditionalFormatting>
  <conditionalFormatting sqref="Q392">
    <cfRule type="cellIs" dxfId="111" priority="237" stopIfTrue="1" operator="equal">
      <formula>"Pass"</formula>
    </cfRule>
    <cfRule type="cellIs" dxfId="110" priority="238" stopIfTrue="1" operator="equal">
      <formula>"Fail"</formula>
    </cfRule>
  </conditionalFormatting>
  <conditionalFormatting sqref="Q407">
    <cfRule type="cellIs" dxfId="109" priority="239" stopIfTrue="1" operator="equal">
      <formula>"Pass"</formula>
    </cfRule>
    <cfRule type="cellIs" dxfId="108" priority="240" stopIfTrue="1" operator="equal">
      <formula>"Fail"</formula>
    </cfRule>
  </conditionalFormatting>
  <conditionalFormatting sqref="Q210:R210">
    <cfRule type="cellIs" dxfId="107" priority="124" operator="greaterThan">
      <formula>6</formula>
    </cfRule>
    <cfRule type="cellIs" dxfId="106" priority="123" operator="lessThan">
      <formula>6</formula>
    </cfRule>
  </conditionalFormatting>
  <conditionalFormatting sqref="Q211:R211">
    <cfRule type="containsText" dxfId="105" priority="193" operator="containsText" text="Pass">
      <formula>NOT(ISERROR(SEARCH("Pass",Q211)))</formula>
    </cfRule>
    <cfRule type="containsText" dxfId="104" priority="192" operator="containsText" text="Fail">
      <formula>NOT(ISERROR(SEARCH("Fail",Q211)))</formula>
    </cfRule>
  </conditionalFormatting>
  <conditionalFormatting sqref="Q313:R315">
    <cfRule type="cellIs" dxfId="103" priority="241" operator="between">
      <formula>$T$310*0.98</formula>
      <formula>$T$310*1.02</formula>
    </cfRule>
  </conditionalFormatting>
  <conditionalFormatting sqref="Q166:S166">
    <cfRule type="cellIs" dxfId="102" priority="16" operator="equal">
      <formula>"Fail"</formula>
    </cfRule>
    <cfRule type="cellIs" dxfId="101" priority="15" operator="equal">
      <formula>"Pass"</formula>
    </cfRule>
  </conditionalFormatting>
  <conditionalFormatting sqref="Q188:S189 U188:W189">
    <cfRule type="cellIs" dxfId="100" priority="213" operator="lessThan">
      <formula>13</formula>
    </cfRule>
    <cfRule type="cellIs" dxfId="99" priority="214" operator="greaterThan">
      <formula>13</formula>
    </cfRule>
  </conditionalFormatting>
  <conditionalFormatting sqref="Q200:S200 U200:W200">
    <cfRule type="cellIs" dxfId="98" priority="212" operator="greaterThan">
      <formula>6.5</formula>
    </cfRule>
    <cfRule type="cellIs" dxfId="97" priority="211" operator="lessThan">
      <formula>6.5</formula>
    </cfRule>
  </conditionalFormatting>
  <conditionalFormatting sqref="Q201:S201 U201:W201">
    <cfRule type="cellIs" dxfId="96" priority="210" operator="greaterThan">
      <formula>5</formula>
    </cfRule>
    <cfRule type="cellIs" dxfId="95" priority="209" operator="lessThan">
      <formula>5</formula>
    </cfRule>
  </conditionalFormatting>
  <conditionalFormatting sqref="Q254:S254">
    <cfRule type="cellIs" dxfId="94" priority="168" operator="greaterThan">
      <formula>0.07</formula>
    </cfRule>
    <cfRule type="cellIs" dxfId="93" priority="167" operator="lessThan">
      <formula>0.07</formula>
    </cfRule>
  </conditionalFormatting>
  <conditionalFormatting sqref="Q255:S255 D260:F260">
    <cfRule type="cellIs" dxfId="92" priority="51" operator="equal">
      <formula>"Fail"</formula>
    </cfRule>
  </conditionalFormatting>
  <conditionalFormatting sqref="Q255:S255">
    <cfRule type="cellIs" dxfId="91" priority="50" operator="equal">
      <formula>"Pass"</formula>
    </cfRule>
  </conditionalFormatting>
  <conditionalFormatting sqref="Q260:S260">
    <cfRule type="cellIs" dxfId="90" priority="29" stopIfTrue="1" operator="equal">
      <formula>"Fail"</formula>
    </cfRule>
    <cfRule type="cellIs" dxfId="89" priority="28" stopIfTrue="1" operator="equal">
      <formula>"Pass"</formula>
    </cfRule>
  </conditionalFormatting>
  <conditionalFormatting sqref="Q423:S423">
    <cfRule type="cellIs" dxfId="88" priority="104" operator="greaterThan">
      <formula>0.28</formula>
    </cfRule>
    <cfRule type="cellIs" dxfId="87" priority="103" operator="lessThan">
      <formula>0.28</formula>
    </cfRule>
  </conditionalFormatting>
  <conditionalFormatting sqref="Q424:S424">
    <cfRule type="cellIs" dxfId="86" priority="23" operator="greaterThan">
      <formula>0.02</formula>
    </cfRule>
    <cfRule type="cellIs" dxfId="85" priority="22" operator="lessThan">
      <formula>0.02</formula>
    </cfRule>
  </conditionalFormatting>
  <conditionalFormatting sqref="Q425:S425">
    <cfRule type="cellIs" dxfId="84" priority="41" operator="equal">
      <formula>"Pass"</formula>
    </cfRule>
  </conditionalFormatting>
  <conditionalFormatting sqref="Q454:S454">
    <cfRule type="cellIs" dxfId="83" priority="39" operator="equal">
      <formula>"Pass"</formula>
    </cfRule>
  </conditionalFormatting>
  <conditionalFormatting sqref="R141">
    <cfRule type="cellIs" dxfId="82" priority="83" operator="equal">
      <formula>"Pass"</formula>
    </cfRule>
    <cfRule type="cellIs" dxfId="81" priority="84" operator="equal">
      <formula>"Fail"</formula>
    </cfRule>
  </conditionalFormatting>
  <conditionalFormatting sqref="R147:R154">
    <cfRule type="cellIs" dxfId="80" priority="128" operator="greaterThan">
      <formula>0.5</formula>
    </cfRule>
    <cfRule type="cellIs" dxfId="79" priority="127" operator="lessThan">
      <formula>0.5</formula>
    </cfRule>
  </conditionalFormatting>
  <conditionalFormatting sqref="R349:R350 U349:U350 X349:X350">
    <cfRule type="containsText" dxfId="78" priority="161" operator="containsText" text="Fail">
      <formula>NOT(ISERROR(SEARCH("Fail",R349)))</formula>
    </cfRule>
    <cfRule type="containsText" dxfId="77" priority="160" operator="containsText" text="Pass">
      <formula>NOT(ISERROR(SEARCH("Pass",R349)))</formula>
    </cfRule>
  </conditionalFormatting>
  <conditionalFormatting sqref="S274">
    <cfRule type="cellIs" dxfId="76" priority="94" operator="greaterThan">
      <formula>$U$274</formula>
    </cfRule>
    <cfRule type="cellIs" dxfId="75" priority="93" operator="lessThan">
      <formula>$U$274</formula>
    </cfRule>
  </conditionalFormatting>
  <conditionalFormatting sqref="S275">
    <cfRule type="cellIs" dxfId="74" priority="92" operator="greaterThan">
      <formula>$U$274</formula>
    </cfRule>
    <cfRule type="cellIs" dxfId="73" priority="91" operator="lessThan">
      <formula>$U$275</formula>
    </cfRule>
  </conditionalFormatting>
  <conditionalFormatting sqref="S276">
    <cfRule type="cellIs" dxfId="72" priority="89" operator="lessThan">
      <formula>$U$276</formula>
    </cfRule>
    <cfRule type="cellIs" dxfId="71" priority="90" operator="greaterThan">
      <formula>$U$276</formula>
    </cfRule>
  </conditionalFormatting>
  <conditionalFormatting sqref="S313:S315">
    <cfRule type="cellIs" dxfId="70" priority="37" operator="equal">
      <formula>"Pass"</formula>
    </cfRule>
    <cfRule type="cellIs" dxfId="69" priority="36" operator="equal">
      <formula>"Fail"</formula>
    </cfRule>
  </conditionalFormatting>
  <conditionalFormatting sqref="S306:T306">
    <cfRule type="cellIs" dxfId="68" priority="118" operator="lessThan">
      <formula>3</formula>
    </cfRule>
    <cfRule type="cellIs" dxfId="67" priority="119" operator="greaterThanOrEqual">
      <formula>3</formula>
    </cfRule>
  </conditionalFormatting>
  <conditionalFormatting sqref="T232:T236">
    <cfRule type="cellIs" dxfId="66" priority="26" operator="lessThan">
      <formula>40</formula>
    </cfRule>
    <cfRule type="cellIs" dxfId="65" priority="27" operator="greaterThan">
      <formula>40</formula>
    </cfRule>
  </conditionalFormatting>
  <conditionalFormatting sqref="T399">
    <cfRule type="cellIs" dxfId="64" priority="187" operator="greaterThan">
      <formula>2.7</formula>
    </cfRule>
    <cfRule type="cellIs" dxfId="63" priority="186" operator="lessThan">
      <formula>2.7</formula>
    </cfRule>
  </conditionalFormatting>
  <conditionalFormatting sqref="T413">
    <cfRule type="cellIs" dxfId="62" priority="105" operator="lessThan">
      <formula>0.1</formula>
    </cfRule>
    <cfRule type="cellIs" dxfId="61" priority="106" operator="greaterThan">
      <formula>0.1</formula>
    </cfRule>
  </conditionalFormatting>
  <conditionalFormatting sqref="U175">
    <cfRule type="cellIs" dxfId="56" priority="126" operator="greaterThan">
      <formula>160</formula>
    </cfRule>
    <cfRule type="cellIs" dxfId="55" priority="125" operator="lessThan">
      <formula>160</formula>
    </cfRule>
  </conditionalFormatting>
  <conditionalFormatting sqref="U218:U220">
    <cfRule type="cellIs" dxfId="54" priority="229" operator="greaterThan">
      <formula>0.1</formula>
    </cfRule>
    <cfRule type="cellIs" dxfId="53" priority="228" operator="lessThan">
      <formula>0.1</formula>
    </cfRule>
  </conditionalFormatting>
  <conditionalFormatting sqref="U232:U236">
    <cfRule type="cellIs" dxfId="52" priority="24" operator="lessThan">
      <formula>2</formula>
    </cfRule>
    <cfRule type="cellIs" dxfId="51" priority="25" operator="greaterThan">
      <formula>2</formula>
    </cfRule>
  </conditionalFormatting>
  <conditionalFormatting sqref="U432 Q442:R442 U442:V442 Q451:R451">
    <cfRule type="cellIs" dxfId="50" priority="102" operator="greaterThanOrEqual">
      <formula>5</formula>
    </cfRule>
    <cfRule type="cellIs" dxfId="49" priority="101" operator="lessThan">
      <formula>5</formula>
    </cfRule>
  </conditionalFormatting>
  <conditionalFormatting sqref="U433:U434 Q443:R444 U443:V444 Q452:R453">
    <cfRule type="cellIs" dxfId="48" priority="100" operator="greaterThanOrEqual">
      <formula>4</formula>
    </cfRule>
    <cfRule type="cellIs" dxfId="47" priority="99" operator="lessThan">
      <formula>4</formula>
    </cfRule>
  </conditionalFormatting>
  <conditionalFormatting sqref="U247:W251">
    <cfRule type="cellIs" dxfId="46" priority="82" operator="greaterThanOrEqual">
      <formula>0.07</formula>
    </cfRule>
    <cfRule type="cellIs" dxfId="45" priority="81" operator="lessThan">
      <formula>0.07</formula>
    </cfRule>
  </conditionalFormatting>
  <conditionalFormatting sqref="U401:X401">
    <cfRule type="cellIs" dxfId="44" priority="188" operator="greaterThan">
      <formula>0.02</formula>
    </cfRule>
    <cfRule type="cellIs" dxfId="43" priority="189" operator="lessThan">
      <formula>0.02</formula>
    </cfRule>
  </conditionalFormatting>
  <conditionalFormatting sqref="V274:V276">
    <cfRule type="cellIs" dxfId="42" priority="46" operator="equal">
      <formula>"Pass"</formula>
    </cfRule>
    <cfRule type="containsText" dxfId="41" priority="156" operator="containsText" text="Pass">
      <formula>NOT(ISERROR(SEARCH("Pass",V274)))</formula>
    </cfRule>
    <cfRule type="containsText" dxfId="40" priority="157" operator="containsText" text="Fail">
      <formula>NOT(ISERROR(SEARCH("Fail",V274)))</formula>
    </cfRule>
    <cfRule type="cellIs" dxfId="39" priority="47" operator="equal">
      <formula>"Fail"</formula>
    </cfRule>
  </conditionalFormatting>
  <conditionalFormatting sqref="V304">
    <cfRule type="cellIs" dxfId="38" priority="78" operator="equal">
      <formula>"Fail"</formula>
    </cfRule>
    <cfRule type="cellIs" dxfId="37" priority="77" operator="equal">
      <formula>"Pass"</formula>
    </cfRule>
  </conditionalFormatting>
  <conditionalFormatting sqref="V392">
    <cfRule type="cellIs" dxfId="36" priority="190" stopIfTrue="1" operator="equal">
      <formula>"Pass"</formula>
    </cfRule>
    <cfRule type="cellIs" dxfId="35" priority="191" stopIfTrue="1" operator="equal">
      <formula>"Fail"</formula>
    </cfRule>
  </conditionalFormatting>
  <conditionalFormatting sqref="V463:V464">
    <cfRule type="cellIs" dxfId="34" priority="221" operator="greaterThan">
      <formula>0.15</formula>
    </cfRule>
    <cfRule type="cellIs" dxfId="33" priority="222" operator="lessThan">
      <formula>0.15</formula>
    </cfRule>
  </conditionalFormatting>
  <conditionalFormatting sqref="X175">
    <cfRule type="cellIs" dxfId="32" priority="62" operator="equal">
      <formula>"NO"</formula>
    </cfRule>
    <cfRule type="cellIs" dxfId="31" priority="63" operator="equal">
      <formula>"YES"</formula>
    </cfRule>
  </conditionalFormatting>
  <conditionalFormatting sqref="X220">
    <cfRule type="cellIs" dxfId="30" priority="215" operator="lessThan">
      <formula>0.05</formula>
    </cfRule>
    <cfRule type="cellIs" dxfId="29" priority="216" operator="greaterThan">
      <formula>0.05</formula>
    </cfRule>
  </conditionalFormatting>
  <conditionalFormatting sqref="X221">
    <cfRule type="cellIs" dxfId="28" priority="60" operator="equal">
      <formula>"Fail"</formula>
    </cfRule>
    <cfRule type="cellIs" dxfId="27" priority="61" operator="equal">
      <formula>"Pass"</formula>
    </cfRule>
  </conditionalFormatting>
  <conditionalFormatting sqref="X265">
    <cfRule type="cellIs" dxfId="26" priority="206" operator="greaterThan">
      <formula>3</formula>
    </cfRule>
    <cfRule type="cellIs" dxfId="25" priority="205" operator="lessThan">
      <formula>3</formula>
    </cfRule>
  </conditionalFormatting>
  <conditionalFormatting sqref="X269 X288 X299">
    <cfRule type="cellIs" dxfId="24" priority="122" operator="between">
      <formula>-0.15</formula>
      <formula>0.15</formula>
    </cfRule>
    <cfRule type="cellIs" dxfId="23" priority="121" operator="greaterThan">
      <formula>0.15</formula>
    </cfRule>
    <cfRule type="cellIs" dxfId="22" priority="120" operator="lessThan">
      <formula>-0.15</formula>
    </cfRule>
  </conditionalFormatting>
  <conditionalFormatting sqref="X284">
    <cfRule type="cellIs" dxfId="21" priority="149" operator="lessThan">
      <formula>3</formula>
    </cfRule>
    <cfRule type="cellIs" dxfId="20" priority="150" operator="greaterThan">
      <formula>3</formula>
    </cfRule>
  </conditionalFormatting>
  <conditionalFormatting sqref="X295">
    <cfRule type="cellIs" dxfId="19" priority="145" operator="greaterThan">
      <formula>3</formula>
    </cfRule>
    <cfRule type="cellIs" dxfId="18" priority="144" operator="lessThan">
      <formula>3</formula>
    </cfRule>
  </conditionalFormatting>
  <conditionalFormatting sqref="X371:X388">
    <cfRule type="cellIs" dxfId="17" priority="109" operator="between">
      <formula>-0.05</formula>
      <formula>0.05</formula>
    </cfRule>
    <cfRule type="cellIs" dxfId="16" priority="108" operator="greaterThan">
      <formula>0.05</formula>
    </cfRule>
    <cfRule type="cellIs" dxfId="15" priority="107" operator="lessThan">
      <formula>-0.05</formula>
    </cfRule>
  </conditionalFormatting>
  <conditionalFormatting sqref="X463:X464">
    <cfRule type="cellIs" dxfId="14" priority="80" operator="equal">
      <formula>"Fail"</formula>
    </cfRule>
    <cfRule type="cellIs" dxfId="13" priority="79" operator="equal">
      <formula>"Pass"</formula>
    </cfRule>
  </conditionalFormatting>
  <conditionalFormatting sqref="X237:Y237">
    <cfRule type="cellIs" dxfId="12" priority="219" operator="lessThan">
      <formula>0.15</formula>
    </cfRule>
    <cfRule type="cellIs" dxfId="11" priority="220" operator="greaterThan">
      <formula>0.15</formula>
    </cfRule>
  </conditionalFormatting>
  <conditionalFormatting sqref="X238:Y238 P240 V240 K243:L243 D245 J245">
    <cfRule type="cellIs" dxfId="10" priority="53" operator="equal">
      <formula>"Fail"</formula>
    </cfRule>
  </conditionalFormatting>
  <conditionalFormatting sqref="X238:Y238 P240 V240 P360:Q360">
    <cfRule type="cellIs" dxfId="9" priority="52" operator="equal">
      <formula>"Pass"</formula>
    </cfRule>
  </conditionalFormatting>
  <conditionalFormatting sqref="Y399">
    <cfRule type="cellIs" dxfId="8" priority="185" operator="greaterThan">
      <formula>2.7</formula>
    </cfRule>
    <cfRule type="cellIs" dxfId="7" priority="184" operator="lessThan">
      <formula>2.7</formula>
    </cfRule>
  </conditionalFormatting>
  <conditionalFormatting sqref="T463">
    <cfRule type="cellIs" dxfId="6" priority="1" operator="lessThan">
      <formula>40</formula>
    </cfRule>
    <cfRule type="cellIs" dxfId="5" priority="2" operator="greaterThan">
      <formula>40</formula>
    </cfRule>
  </conditionalFormatting>
  <conditionalFormatting sqref="T464">
    <cfRule type="cellIs" dxfId="4" priority="3" operator="lessThan">
      <formula>2</formula>
    </cfRule>
    <cfRule type="cellIs" dxfId="3" priority="4" operator="greaterThan">
      <formula>2</formula>
    </cfRule>
  </conditionalFormatting>
  <pageMargins left="0.7" right="0.7" top="0.75" bottom="0.75" header="0.3" footer="0.3"/>
  <pageSetup scale="69" fitToHeight="0" pageOrder="overThenDown" orientation="portrait" r:id="rId2"/>
  <headerFooter>
    <oddFooter>&amp;CPage &amp;P</oddFooter>
  </headerFooter>
  <rowBreaks count="6" manualBreakCount="6">
    <brk id="72" max="16383" man="1"/>
    <brk id="144" max="16383" man="1"/>
    <brk id="216" max="16383" man="1"/>
    <brk id="288" max="16383" man="1"/>
    <brk id="360" max="16383" man="1"/>
    <brk id="432" max="16383" man="1"/>
  </rowBreaks>
  <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140"/>
  <sheetViews>
    <sheetView topLeftCell="A112" zoomScaleNormal="100" workbookViewId="0">
      <selection activeCell="A138" sqref="A138:C140"/>
    </sheetView>
  </sheetViews>
  <sheetFormatPr defaultColWidth="9" defaultRowHeight="14.1" customHeight="1"/>
  <cols>
    <col min="1" max="30" width="10.59765625" style="118" customWidth="1"/>
    <col min="31" max="16384" width="9" style="118"/>
  </cols>
  <sheetData>
    <row r="1" spans="1:30" ht="14.1" customHeight="1" thickBot="1">
      <c r="A1" s="117" t="s">
        <v>406</v>
      </c>
      <c r="K1" s="117" t="s">
        <v>407</v>
      </c>
      <c r="U1" s="118" t="s">
        <v>408</v>
      </c>
    </row>
    <row r="2" spans="1:30" ht="14.1" customHeight="1">
      <c r="A2" s="119"/>
      <c r="B2" s="789" t="s">
        <v>19</v>
      </c>
      <c r="C2" s="789"/>
      <c r="D2" s="789"/>
      <c r="E2" s="789"/>
      <c r="F2" s="789"/>
      <c r="G2" s="789"/>
      <c r="H2" s="789"/>
      <c r="I2" s="789"/>
      <c r="J2" s="789"/>
      <c r="K2" s="119"/>
      <c r="L2" s="789" t="s">
        <v>19</v>
      </c>
      <c r="M2" s="789"/>
      <c r="N2" s="789"/>
      <c r="O2" s="789"/>
      <c r="P2" s="789"/>
      <c r="Q2" s="789"/>
      <c r="R2" s="789"/>
      <c r="S2" s="789"/>
      <c r="T2" s="789"/>
      <c r="U2" s="119"/>
      <c r="V2" s="789" t="s">
        <v>19</v>
      </c>
      <c r="W2" s="789"/>
      <c r="X2" s="789"/>
      <c r="Y2" s="789"/>
      <c r="Z2" s="789"/>
      <c r="AA2" s="789"/>
      <c r="AB2" s="789"/>
      <c r="AC2" s="789"/>
      <c r="AD2" s="789"/>
    </row>
    <row r="3" spans="1:30" ht="14.1" customHeight="1">
      <c r="A3" s="121" t="s">
        <v>342</v>
      </c>
      <c r="B3" s="122">
        <v>23</v>
      </c>
      <c r="C3" s="122">
        <v>24</v>
      </c>
      <c r="D3" s="122">
        <v>25</v>
      </c>
      <c r="E3" s="122">
        <v>26</v>
      </c>
      <c r="F3" s="122">
        <v>27</v>
      </c>
      <c r="G3" s="122">
        <v>28</v>
      </c>
      <c r="H3" s="122">
        <v>29</v>
      </c>
      <c r="I3" s="122">
        <v>30</v>
      </c>
      <c r="J3" s="123">
        <v>31</v>
      </c>
      <c r="K3" s="121" t="s">
        <v>342</v>
      </c>
      <c r="L3" s="122">
        <v>23</v>
      </c>
      <c r="M3" s="122">
        <v>24</v>
      </c>
      <c r="N3" s="122">
        <v>25</v>
      </c>
      <c r="O3" s="122">
        <v>26</v>
      </c>
      <c r="P3" s="122">
        <v>27</v>
      </c>
      <c r="Q3" s="122">
        <v>28</v>
      </c>
      <c r="R3" s="122">
        <v>29</v>
      </c>
      <c r="S3" s="122">
        <v>30</v>
      </c>
      <c r="T3" s="123">
        <v>31</v>
      </c>
      <c r="U3" s="121" t="s">
        <v>342</v>
      </c>
      <c r="V3" s="122">
        <v>23</v>
      </c>
      <c r="W3" s="122">
        <v>24</v>
      </c>
      <c r="X3" s="122">
        <v>25</v>
      </c>
      <c r="Y3" s="122">
        <v>26</v>
      </c>
      <c r="Z3" s="122">
        <v>27</v>
      </c>
      <c r="AA3" s="122">
        <v>28</v>
      </c>
      <c r="AB3" s="122">
        <v>29</v>
      </c>
      <c r="AC3" s="122">
        <v>30</v>
      </c>
      <c r="AD3" s="123">
        <v>31</v>
      </c>
    </row>
    <row r="4" spans="1:30" ht="14.1" customHeight="1">
      <c r="A4" s="121">
        <v>0.23</v>
      </c>
      <c r="B4" s="122">
        <v>116</v>
      </c>
      <c r="C4" s="122"/>
      <c r="D4" s="122"/>
      <c r="E4" s="122"/>
      <c r="F4" s="122"/>
      <c r="G4" s="122"/>
      <c r="H4" s="122"/>
      <c r="I4" s="122"/>
      <c r="J4" s="123"/>
      <c r="K4" s="121">
        <v>0.23</v>
      </c>
      <c r="L4" s="122"/>
      <c r="M4" s="122"/>
      <c r="N4" s="122"/>
      <c r="O4" s="122"/>
      <c r="P4" s="122"/>
      <c r="Q4" s="122"/>
      <c r="R4" s="122"/>
      <c r="S4" s="122"/>
      <c r="T4" s="123"/>
      <c r="U4" s="121">
        <v>0.23</v>
      </c>
      <c r="V4" s="122"/>
      <c r="W4" s="122"/>
      <c r="X4" s="122"/>
      <c r="Y4" s="122"/>
      <c r="Z4" s="122"/>
      <c r="AA4" s="122"/>
      <c r="AB4" s="122"/>
      <c r="AC4" s="122"/>
      <c r="AD4" s="123"/>
    </row>
    <row r="5" spans="1:30" ht="14.1" customHeight="1">
      <c r="A5" s="121">
        <v>0.24</v>
      </c>
      <c r="B5" s="122">
        <v>121</v>
      </c>
      <c r="C5" s="122">
        <v>124</v>
      </c>
      <c r="D5" s="122"/>
      <c r="E5" s="122"/>
      <c r="F5" s="122"/>
      <c r="G5" s="122"/>
      <c r="H5" s="122"/>
      <c r="I5" s="122"/>
      <c r="J5" s="123"/>
      <c r="K5" s="121">
        <v>0.24</v>
      </c>
      <c r="L5" s="122"/>
      <c r="M5" s="122"/>
      <c r="N5" s="122"/>
      <c r="O5" s="122"/>
      <c r="P5" s="122"/>
      <c r="Q5" s="122"/>
      <c r="R5" s="122"/>
      <c r="S5" s="122"/>
      <c r="T5" s="123"/>
      <c r="U5" s="121">
        <v>0.24</v>
      </c>
      <c r="V5" s="122"/>
      <c r="W5" s="122"/>
      <c r="X5" s="122"/>
      <c r="Y5" s="122"/>
      <c r="Z5" s="122"/>
      <c r="AA5" s="122"/>
      <c r="AB5" s="122"/>
      <c r="AC5" s="122"/>
      <c r="AD5" s="123"/>
    </row>
    <row r="6" spans="1:30" ht="14.1" customHeight="1">
      <c r="A6" s="121">
        <v>0.25</v>
      </c>
      <c r="B6" s="122">
        <v>126</v>
      </c>
      <c r="C6" s="122">
        <v>129</v>
      </c>
      <c r="D6" s="122">
        <v>131</v>
      </c>
      <c r="E6" s="122"/>
      <c r="F6" s="122"/>
      <c r="G6" s="122"/>
      <c r="H6" s="122"/>
      <c r="I6" s="122"/>
      <c r="J6" s="123"/>
      <c r="K6" s="121">
        <v>0.25</v>
      </c>
      <c r="L6" s="122"/>
      <c r="M6" s="122"/>
      <c r="N6" s="122"/>
      <c r="O6" s="122"/>
      <c r="P6" s="122"/>
      <c r="Q6" s="122"/>
      <c r="R6" s="122"/>
      <c r="S6" s="122"/>
      <c r="T6" s="123"/>
      <c r="U6" s="121">
        <v>0.25</v>
      </c>
      <c r="V6" s="122"/>
      <c r="W6" s="122"/>
      <c r="X6" s="122"/>
      <c r="Y6" s="122"/>
      <c r="Z6" s="122"/>
      <c r="AA6" s="122"/>
      <c r="AB6" s="122"/>
      <c r="AC6" s="122"/>
      <c r="AD6" s="123"/>
    </row>
    <row r="7" spans="1:30" ht="14.1" customHeight="1">
      <c r="A7" s="121">
        <v>0.26</v>
      </c>
      <c r="B7" s="122">
        <v>130</v>
      </c>
      <c r="C7" s="122">
        <v>133</v>
      </c>
      <c r="D7" s="122">
        <v>135</v>
      </c>
      <c r="E7" s="122">
        <v>138</v>
      </c>
      <c r="F7" s="122"/>
      <c r="G7" s="122"/>
      <c r="H7" s="122"/>
      <c r="I7" s="122"/>
      <c r="J7" s="123"/>
      <c r="K7" s="121">
        <v>0.26</v>
      </c>
      <c r="L7" s="122"/>
      <c r="M7" s="122"/>
      <c r="N7" s="122"/>
      <c r="O7" s="122"/>
      <c r="P7" s="122"/>
      <c r="Q7" s="122"/>
      <c r="R7" s="122"/>
      <c r="S7" s="122"/>
      <c r="T7" s="123"/>
      <c r="U7" s="121">
        <v>0.26</v>
      </c>
      <c r="V7" s="122"/>
      <c r="W7" s="122"/>
      <c r="X7" s="122"/>
      <c r="Y7" s="122"/>
      <c r="Z7" s="122"/>
      <c r="AA7" s="122"/>
      <c r="AB7" s="122"/>
      <c r="AC7" s="122"/>
      <c r="AD7" s="123"/>
    </row>
    <row r="8" spans="1:30" ht="14.1" customHeight="1">
      <c r="A8" s="121">
        <v>0.27</v>
      </c>
      <c r="B8" s="122">
        <v>135</v>
      </c>
      <c r="C8" s="122">
        <v>138</v>
      </c>
      <c r="D8" s="122">
        <v>140</v>
      </c>
      <c r="E8" s="122">
        <v>142</v>
      </c>
      <c r="F8" s="122">
        <v>143</v>
      </c>
      <c r="G8" s="122"/>
      <c r="H8" s="122"/>
      <c r="I8" s="122"/>
      <c r="J8" s="123"/>
      <c r="K8" s="121">
        <v>0.27</v>
      </c>
      <c r="L8" s="122"/>
      <c r="M8" s="122"/>
      <c r="N8" s="122"/>
      <c r="O8" s="122"/>
      <c r="P8" s="122"/>
      <c r="Q8" s="122"/>
      <c r="R8" s="122"/>
      <c r="S8" s="122"/>
      <c r="T8" s="123"/>
      <c r="U8" s="121">
        <v>0.27</v>
      </c>
      <c r="V8" s="122"/>
      <c r="W8" s="122"/>
      <c r="X8" s="122"/>
      <c r="Y8" s="122"/>
      <c r="Z8" s="122"/>
      <c r="AA8" s="122"/>
      <c r="AB8" s="122"/>
      <c r="AC8" s="122"/>
      <c r="AD8" s="123"/>
    </row>
    <row r="9" spans="1:30" ht="14.1" customHeight="1">
      <c r="A9" s="121">
        <v>0.28000000000000003</v>
      </c>
      <c r="B9" s="122">
        <v>140</v>
      </c>
      <c r="C9" s="122">
        <v>142</v>
      </c>
      <c r="D9" s="122">
        <v>144</v>
      </c>
      <c r="E9" s="122">
        <v>146</v>
      </c>
      <c r="F9" s="122">
        <v>147</v>
      </c>
      <c r="G9" s="122">
        <v>149</v>
      </c>
      <c r="H9" s="122"/>
      <c r="I9" s="122"/>
      <c r="J9" s="123"/>
      <c r="K9" s="121">
        <v>0.28000000000000003</v>
      </c>
      <c r="L9" s="122"/>
      <c r="M9" s="122"/>
      <c r="N9" s="122">
        <v>149</v>
      </c>
      <c r="O9" s="122">
        <v>151</v>
      </c>
      <c r="P9" s="122">
        <v>154</v>
      </c>
      <c r="Q9" s="122"/>
      <c r="R9" s="122"/>
      <c r="S9" s="122"/>
      <c r="T9" s="123"/>
      <c r="U9" s="121">
        <v>0.28000000000000003</v>
      </c>
      <c r="V9" s="122"/>
      <c r="W9" s="122"/>
      <c r="X9" s="122">
        <v>150</v>
      </c>
      <c r="Y9" s="122">
        <v>155</v>
      </c>
      <c r="Z9" s="122">
        <v>159</v>
      </c>
      <c r="AA9" s="122"/>
      <c r="AB9" s="122"/>
      <c r="AC9" s="122"/>
      <c r="AD9" s="123"/>
    </row>
    <row r="10" spans="1:30" ht="14.1" customHeight="1">
      <c r="A10" s="121">
        <v>0.28999999999999998</v>
      </c>
      <c r="B10" s="122">
        <v>144</v>
      </c>
      <c r="C10" s="122">
        <v>146</v>
      </c>
      <c r="D10" s="122">
        <v>148</v>
      </c>
      <c r="E10" s="122">
        <v>150</v>
      </c>
      <c r="F10" s="122">
        <v>151</v>
      </c>
      <c r="G10" s="122">
        <v>153</v>
      </c>
      <c r="H10" s="122">
        <v>154</v>
      </c>
      <c r="I10" s="122"/>
      <c r="J10" s="123"/>
      <c r="K10" s="121">
        <v>0.28999999999999998</v>
      </c>
      <c r="L10" s="122"/>
      <c r="M10" s="122"/>
      <c r="N10" s="122">
        <v>154</v>
      </c>
      <c r="O10" s="122">
        <v>156</v>
      </c>
      <c r="P10" s="122">
        <v>158</v>
      </c>
      <c r="Q10" s="122">
        <v>159</v>
      </c>
      <c r="R10" s="122"/>
      <c r="S10" s="122"/>
      <c r="T10" s="123"/>
      <c r="U10" s="121">
        <v>0.28999999999999998</v>
      </c>
      <c r="V10" s="122"/>
      <c r="W10" s="122"/>
      <c r="X10" s="122">
        <v>155</v>
      </c>
      <c r="Y10" s="122">
        <v>160</v>
      </c>
      <c r="Z10" s="122">
        <v>164</v>
      </c>
      <c r="AA10" s="122">
        <v>168</v>
      </c>
      <c r="AB10" s="122"/>
      <c r="AC10" s="122"/>
      <c r="AD10" s="123"/>
    </row>
    <row r="11" spans="1:30" ht="14.1" customHeight="1">
      <c r="A11" s="121">
        <v>0.3</v>
      </c>
      <c r="B11" s="122">
        <v>149</v>
      </c>
      <c r="C11" s="122">
        <v>151</v>
      </c>
      <c r="D11" s="122">
        <v>153</v>
      </c>
      <c r="E11" s="122">
        <v>155</v>
      </c>
      <c r="F11" s="122">
        <v>156</v>
      </c>
      <c r="G11" s="122">
        <v>157</v>
      </c>
      <c r="H11" s="122">
        <v>158</v>
      </c>
      <c r="I11" s="122">
        <v>159</v>
      </c>
      <c r="J11" s="123"/>
      <c r="K11" s="121">
        <v>0.3</v>
      </c>
      <c r="L11" s="122"/>
      <c r="M11" s="122"/>
      <c r="N11" s="122">
        <v>158</v>
      </c>
      <c r="O11" s="122">
        <v>160</v>
      </c>
      <c r="P11" s="122">
        <v>162</v>
      </c>
      <c r="Q11" s="122">
        <v>162</v>
      </c>
      <c r="R11" s="122">
        <v>163</v>
      </c>
      <c r="S11" s="122"/>
      <c r="T11" s="123"/>
      <c r="U11" s="121">
        <v>0.3</v>
      </c>
      <c r="V11" s="122"/>
      <c r="W11" s="122"/>
      <c r="X11" s="122">
        <v>160</v>
      </c>
      <c r="Y11" s="122">
        <v>164</v>
      </c>
      <c r="Z11" s="122">
        <v>168</v>
      </c>
      <c r="AA11" s="122">
        <v>172</v>
      </c>
      <c r="AB11" s="122">
        <v>176</v>
      </c>
      <c r="AC11" s="122"/>
      <c r="AD11" s="123"/>
    </row>
    <row r="12" spans="1:30" ht="14.1" customHeight="1">
      <c r="A12" s="121">
        <v>0.31</v>
      </c>
      <c r="B12" s="122">
        <v>154</v>
      </c>
      <c r="C12" s="122">
        <v>156</v>
      </c>
      <c r="D12" s="122">
        <v>157</v>
      </c>
      <c r="E12" s="122">
        <v>159</v>
      </c>
      <c r="F12" s="122">
        <v>160</v>
      </c>
      <c r="G12" s="122">
        <v>161</v>
      </c>
      <c r="H12" s="122">
        <v>162</v>
      </c>
      <c r="I12" s="122">
        <v>163</v>
      </c>
      <c r="J12" s="123">
        <v>164</v>
      </c>
      <c r="K12" s="121">
        <v>0.31</v>
      </c>
      <c r="L12" s="122"/>
      <c r="M12" s="122"/>
      <c r="N12" s="122">
        <v>163</v>
      </c>
      <c r="O12" s="122">
        <v>164</v>
      </c>
      <c r="P12" s="122">
        <v>166</v>
      </c>
      <c r="Q12" s="122">
        <v>166</v>
      </c>
      <c r="R12" s="122">
        <v>167</v>
      </c>
      <c r="S12" s="122">
        <v>167</v>
      </c>
      <c r="T12" s="123"/>
      <c r="U12" s="121">
        <v>0.31</v>
      </c>
      <c r="V12" s="122"/>
      <c r="W12" s="122"/>
      <c r="X12" s="122">
        <v>165</v>
      </c>
      <c r="Y12" s="122">
        <v>168</v>
      </c>
      <c r="Z12" s="122">
        <v>172</v>
      </c>
      <c r="AA12" s="122">
        <v>174</v>
      </c>
      <c r="AB12" s="122">
        <v>180</v>
      </c>
      <c r="AC12" s="122">
        <v>182</v>
      </c>
      <c r="AD12" s="123"/>
    </row>
    <row r="13" spans="1:30" ht="14.1" customHeight="1">
      <c r="A13" s="121">
        <v>0.32</v>
      </c>
      <c r="B13" s="122">
        <v>158</v>
      </c>
      <c r="C13" s="122">
        <v>160</v>
      </c>
      <c r="D13" s="122">
        <v>162</v>
      </c>
      <c r="E13" s="122">
        <v>163</v>
      </c>
      <c r="F13" s="122">
        <v>164</v>
      </c>
      <c r="G13" s="122">
        <v>166</v>
      </c>
      <c r="H13" s="122">
        <v>167</v>
      </c>
      <c r="I13" s="122">
        <v>168</v>
      </c>
      <c r="J13" s="123">
        <v>168</v>
      </c>
      <c r="K13" s="121">
        <v>0.32</v>
      </c>
      <c r="L13" s="122"/>
      <c r="M13" s="122"/>
      <c r="N13" s="122">
        <v>167</v>
      </c>
      <c r="O13" s="122">
        <v>169</v>
      </c>
      <c r="P13" s="122">
        <v>171</v>
      </c>
      <c r="Q13" s="122">
        <v>171</v>
      </c>
      <c r="R13" s="122">
        <v>171</v>
      </c>
      <c r="S13" s="122">
        <v>172</v>
      </c>
      <c r="T13" s="123">
        <v>172</v>
      </c>
      <c r="U13" s="121">
        <v>0.32</v>
      </c>
      <c r="V13" s="122"/>
      <c r="W13" s="122"/>
      <c r="X13" s="122">
        <v>169</v>
      </c>
      <c r="Y13" s="122">
        <v>173</v>
      </c>
      <c r="Z13" s="122">
        <v>177</v>
      </c>
      <c r="AA13" s="122">
        <v>181</v>
      </c>
      <c r="AB13" s="122">
        <v>184</v>
      </c>
      <c r="AC13" s="122">
        <v>186</v>
      </c>
      <c r="AD13" s="123">
        <v>188</v>
      </c>
    </row>
    <row r="14" spans="1:30" ht="14.1" customHeight="1">
      <c r="A14" s="121">
        <v>0.33</v>
      </c>
      <c r="B14" s="122">
        <v>163</v>
      </c>
      <c r="C14" s="122">
        <v>165</v>
      </c>
      <c r="D14" s="122">
        <v>166</v>
      </c>
      <c r="E14" s="122">
        <v>168</v>
      </c>
      <c r="F14" s="122">
        <v>169</v>
      </c>
      <c r="G14" s="122">
        <v>170</v>
      </c>
      <c r="H14" s="122">
        <v>171</v>
      </c>
      <c r="I14" s="122">
        <v>173</v>
      </c>
      <c r="J14" s="123">
        <v>173</v>
      </c>
      <c r="K14" s="121">
        <v>0.33</v>
      </c>
      <c r="L14" s="122"/>
      <c r="M14" s="122"/>
      <c r="N14" s="122">
        <v>171</v>
      </c>
      <c r="O14" s="122">
        <v>173</v>
      </c>
      <c r="P14" s="122">
        <v>175</v>
      </c>
      <c r="Q14" s="122">
        <v>176</v>
      </c>
      <c r="R14" s="122">
        <v>176</v>
      </c>
      <c r="S14" s="122">
        <v>176</v>
      </c>
      <c r="T14" s="123">
        <v>176</v>
      </c>
      <c r="U14" s="121">
        <v>0.33</v>
      </c>
      <c r="V14" s="122"/>
      <c r="W14" s="122"/>
      <c r="X14" s="122">
        <v>174</v>
      </c>
      <c r="Y14" s="122">
        <v>178</v>
      </c>
      <c r="Z14" s="122">
        <v>181</v>
      </c>
      <c r="AA14" s="122">
        <v>185</v>
      </c>
      <c r="AB14" s="122">
        <v>188</v>
      </c>
      <c r="AC14" s="122">
        <v>190</v>
      </c>
      <c r="AD14" s="123">
        <v>192</v>
      </c>
    </row>
    <row r="15" spans="1:30" ht="14.1" customHeight="1">
      <c r="A15" s="121">
        <v>0.34</v>
      </c>
      <c r="B15" s="122">
        <v>168</v>
      </c>
      <c r="C15" s="122">
        <v>170</v>
      </c>
      <c r="D15" s="122">
        <v>171</v>
      </c>
      <c r="E15" s="122">
        <v>172</v>
      </c>
      <c r="F15" s="122">
        <v>173</v>
      </c>
      <c r="G15" s="122">
        <v>174</v>
      </c>
      <c r="H15" s="122">
        <v>175</v>
      </c>
      <c r="I15" s="122">
        <v>176</v>
      </c>
      <c r="J15" s="123">
        <v>177</v>
      </c>
      <c r="K15" s="121">
        <v>0.34</v>
      </c>
      <c r="L15" s="122"/>
      <c r="M15" s="122"/>
      <c r="N15" s="122">
        <v>176</v>
      </c>
      <c r="O15" s="122">
        <v>178</v>
      </c>
      <c r="P15" s="122">
        <v>179</v>
      </c>
      <c r="Q15" s="122">
        <v>179</v>
      </c>
      <c r="R15" s="122">
        <v>180</v>
      </c>
      <c r="S15" s="122">
        <v>180</v>
      </c>
      <c r="T15" s="123">
        <v>180</v>
      </c>
      <c r="U15" s="121">
        <v>0.34</v>
      </c>
      <c r="V15" s="122"/>
      <c r="W15" s="122"/>
      <c r="X15" s="122">
        <v>179</v>
      </c>
      <c r="Y15" s="122">
        <v>183</v>
      </c>
      <c r="Z15" s="122">
        <v>186</v>
      </c>
      <c r="AA15" s="122">
        <v>190</v>
      </c>
      <c r="AB15" s="122">
        <v>193</v>
      </c>
      <c r="AC15" s="122">
        <v>195</v>
      </c>
      <c r="AD15" s="123">
        <v>196</v>
      </c>
    </row>
    <row r="16" spans="1:30" ht="14.1" customHeight="1">
      <c r="A16" s="121">
        <v>0.35</v>
      </c>
      <c r="B16" s="122"/>
      <c r="C16" s="122">
        <v>174</v>
      </c>
      <c r="D16" s="122">
        <v>175</v>
      </c>
      <c r="E16" s="122">
        <v>176</v>
      </c>
      <c r="F16" s="122">
        <v>177</v>
      </c>
      <c r="G16" s="122">
        <v>178</v>
      </c>
      <c r="H16" s="122">
        <v>179</v>
      </c>
      <c r="I16" s="122">
        <v>180</v>
      </c>
      <c r="J16" s="123">
        <v>181</v>
      </c>
      <c r="K16" s="121">
        <v>0.35</v>
      </c>
      <c r="L16" s="122"/>
      <c r="M16" s="122"/>
      <c r="N16" s="122">
        <v>180</v>
      </c>
      <c r="O16" s="122">
        <v>181</v>
      </c>
      <c r="P16" s="122">
        <v>183</v>
      </c>
      <c r="Q16" s="122">
        <v>183</v>
      </c>
      <c r="R16" s="122">
        <v>184</v>
      </c>
      <c r="S16" s="122">
        <v>185</v>
      </c>
      <c r="T16" s="123">
        <v>185</v>
      </c>
      <c r="U16" s="121">
        <v>0.35</v>
      </c>
      <c r="V16" s="122"/>
      <c r="W16" s="122"/>
      <c r="X16" s="122">
        <v>184</v>
      </c>
      <c r="Y16" s="122">
        <v>187</v>
      </c>
      <c r="Z16" s="122">
        <v>190</v>
      </c>
      <c r="AA16" s="122">
        <v>194</v>
      </c>
      <c r="AB16" s="122">
        <v>197</v>
      </c>
      <c r="AC16" s="122">
        <v>199</v>
      </c>
      <c r="AD16" s="123">
        <v>201</v>
      </c>
    </row>
    <row r="17" spans="1:30" ht="14.1" customHeight="1">
      <c r="A17" s="121">
        <v>0.36</v>
      </c>
      <c r="B17" s="122"/>
      <c r="C17" s="122"/>
      <c r="D17" s="122">
        <v>179</v>
      </c>
      <c r="E17" s="122">
        <v>181</v>
      </c>
      <c r="F17" s="122">
        <v>182</v>
      </c>
      <c r="G17" s="122">
        <v>183</v>
      </c>
      <c r="H17" s="122">
        <v>184</v>
      </c>
      <c r="I17" s="122">
        <v>185</v>
      </c>
      <c r="J17" s="123">
        <v>185</v>
      </c>
      <c r="K17" s="121">
        <v>0.36</v>
      </c>
      <c r="L17" s="122"/>
      <c r="M17" s="122"/>
      <c r="N17" s="122">
        <v>185</v>
      </c>
      <c r="O17" s="122">
        <v>186</v>
      </c>
      <c r="P17" s="122">
        <v>187</v>
      </c>
      <c r="Q17" s="122">
        <v>187</v>
      </c>
      <c r="R17" s="122">
        <v>188</v>
      </c>
      <c r="S17" s="122">
        <v>188</v>
      </c>
      <c r="T17" s="123">
        <v>189</v>
      </c>
      <c r="U17" s="121">
        <v>0.36</v>
      </c>
      <c r="V17" s="122"/>
      <c r="W17" s="122"/>
      <c r="X17" s="122">
        <v>189</v>
      </c>
      <c r="Y17" s="122">
        <v>192</v>
      </c>
      <c r="Z17" s="122">
        <v>195</v>
      </c>
      <c r="AA17" s="122">
        <v>198</v>
      </c>
      <c r="AB17" s="122">
        <v>201</v>
      </c>
      <c r="AC17" s="122">
        <v>204</v>
      </c>
      <c r="AD17" s="123">
        <v>205</v>
      </c>
    </row>
    <row r="18" spans="1:30" ht="14.1" customHeight="1">
      <c r="A18" s="121">
        <v>0.37</v>
      </c>
      <c r="B18" s="122"/>
      <c r="C18" s="122"/>
      <c r="D18" s="122"/>
      <c r="E18" s="122">
        <v>185</v>
      </c>
      <c r="F18" s="122">
        <v>186</v>
      </c>
      <c r="G18" s="122">
        <v>187</v>
      </c>
      <c r="H18" s="122">
        <v>188</v>
      </c>
      <c r="I18" s="122">
        <v>189</v>
      </c>
      <c r="J18" s="123">
        <v>190</v>
      </c>
      <c r="K18" s="121">
        <v>0.37</v>
      </c>
      <c r="L18" s="122"/>
      <c r="M18" s="122"/>
      <c r="N18" s="122">
        <v>189</v>
      </c>
      <c r="O18" s="122">
        <v>190</v>
      </c>
      <c r="P18" s="122">
        <v>191</v>
      </c>
      <c r="Q18" s="122">
        <v>191</v>
      </c>
      <c r="R18" s="122">
        <v>192</v>
      </c>
      <c r="S18" s="122">
        <v>193</v>
      </c>
      <c r="T18" s="123">
        <v>193</v>
      </c>
      <c r="U18" s="121">
        <v>0.37</v>
      </c>
      <c r="V18" s="122"/>
      <c r="W18" s="122"/>
      <c r="X18" s="122">
        <v>193</v>
      </c>
      <c r="Y18" s="122">
        <v>196</v>
      </c>
      <c r="Z18" s="122">
        <v>199</v>
      </c>
      <c r="AA18" s="122">
        <v>202</v>
      </c>
      <c r="AB18" s="122">
        <v>205</v>
      </c>
      <c r="AC18" s="122">
        <v>207</v>
      </c>
      <c r="AD18" s="123">
        <v>209</v>
      </c>
    </row>
    <row r="19" spans="1:30" ht="14.1" customHeight="1">
      <c r="A19" s="121">
        <v>0.38</v>
      </c>
      <c r="B19" s="122"/>
      <c r="C19" s="122"/>
      <c r="D19" s="122"/>
      <c r="E19" s="122"/>
      <c r="F19" s="122">
        <v>190</v>
      </c>
      <c r="G19" s="122">
        <v>191</v>
      </c>
      <c r="H19" s="122">
        <v>192</v>
      </c>
      <c r="I19" s="122">
        <v>193</v>
      </c>
      <c r="J19" s="123">
        <v>194</v>
      </c>
      <c r="K19" s="121">
        <v>0.38</v>
      </c>
      <c r="L19" s="122"/>
      <c r="M19" s="122"/>
      <c r="N19" s="122">
        <v>193</v>
      </c>
      <c r="O19" s="122">
        <v>194</v>
      </c>
      <c r="P19" s="122">
        <v>196</v>
      </c>
      <c r="Q19" s="122">
        <v>196</v>
      </c>
      <c r="R19" s="122">
        <v>197</v>
      </c>
      <c r="S19" s="122">
        <v>197</v>
      </c>
      <c r="T19" s="123">
        <v>197</v>
      </c>
      <c r="U19" s="121">
        <v>0.38</v>
      </c>
      <c r="V19" s="122"/>
      <c r="W19" s="122"/>
      <c r="X19" s="122">
        <v>198</v>
      </c>
      <c r="Y19" s="122">
        <v>201</v>
      </c>
      <c r="Z19" s="122">
        <v>204</v>
      </c>
      <c r="AA19" s="122">
        <v>207</v>
      </c>
      <c r="AB19" s="122">
        <v>209</v>
      </c>
      <c r="AC19" s="122">
        <v>211</v>
      </c>
      <c r="AD19" s="123">
        <v>213</v>
      </c>
    </row>
    <row r="20" spans="1:30" ht="14.1" customHeight="1">
      <c r="A20" s="121">
        <v>0.39</v>
      </c>
      <c r="B20" s="122"/>
      <c r="C20" s="122"/>
      <c r="D20" s="122"/>
      <c r="E20" s="122"/>
      <c r="F20" s="122"/>
      <c r="G20" s="122">
        <v>196</v>
      </c>
      <c r="H20" s="122">
        <v>197</v>
      </c>
      <c r="I20" s="122">
        <v>198</v>
      </c>
      <c r="J20" s="123">
        <v>198</v>
      </c>
      <c r="K20" s="121">
        <v>0.39</v>
      </c>
      <c r="L20" s="122"/>
      <c r="M20" s="122"/>
      <c r="N20" s="122">
        <v>198</v>
      </c>
      <c r="O20" s="122">
        <v>199</v>
      </c>
      <c r="P20" s="122">
        <v>200</v>
      </c>
      <c r="Q20" s="122">
        <v>200</v>
      </c>
      <c r="R20" s="122">
        <v>201</v>
      </c>
      <c r="S20" s="122">
        <v>201</v>
      </c>
      <c r="T20" s="123">
        <v>202</v>
      </c>
      <c r="U20" s="121">
        <v>0.39</v>
      </c>
      <c r="V20" s="122"/>
      <c r="W20" s="122"/>
      <c r="X20" s="122">
        <v>203</v>
      </c>
      <c r="Y20" s="122">
        <v>206</v>
      </c>
      <c r="Z20" s="122">
        <v>208</v>
      </c>
      <c r="AA20" s="122">
        <v>211</v>
      </c>
      <c r="AB20" s="122">
        <v>214</v>
      </c>
      <c r="AC20" s="122">
        <v>216</v>
      </c>
      <c r="AD20" s="123">
        <v>217</v>
      </c>
    </row>
    <row r="21" spans="1:30" ht="14.1" customHeight="1">
      <c r="A21" s="121">
        <v>0.4</v>
      </c>
      <c r="B21" s="122"/>
      <c r="C21" s="122"/>
      <c r="D21" s="122"/>
      <c r="E21" s="122"/>
      <c r="F21" s="122"/>
      <c r="G21" s="122"/>
      <c r="H21" s="122">
        <v>201</v>
      </c>
      <c r="I21" s="122">
        <v>202</v>
      </c>
      <c r="J21" s="123">
        <v>203</v>
      </c>
      <c r="K21" s="121">
        <v>0.4</v>
      </c>
      <c r="L21" s="122"/>
      <c r="M21" s="122"/>
      <c r="N21" s="122">
        <v>202</v>
      </c>
      <c r="O21" s="122">
        <v>203</v>
      </c>
      <c r="P21" s="122">
        <v>204</v>
      </c>
      <c r="Q21" s="122">
        <v>204</v>
      </c>
      <c r="R21" s="122">
        <v>205</v>
      </c>
      <c r="S21" s="122">
        <v>205</v>
      </c>
      <c r="T21" s="123">
        <v>206</v>
      </c>
      <c r="U21" s="121">
        <v>0.4</v>
      </c>
      <c r="V21" s="122"/>
      <c r="W21" s="122"/>
      <c r="X21" s="122">
        <v>208</v>
      </c>
      <c r="Y21" s="122">
        <v>211</v>
      </c>
      <c r="Z21" s="122">
        <v>213</v>
      </c>
      <c r="AA21" s="122">
        <v>216</v>
      </c>
      <c r="AB21" s="122">
        <v>218</v>
      </c>
      <c r="AC21" s="122">
        <v>220</v>
      </c>
      <c r="AD21" s="123">
        <v>221</v>
      </c>
    </row>
    <row r="22" spans="1:30" ht="14.1" customHeight="1">
      <c r="A22" s="121">
        <v>0.41</v>
      </c>
      <c r="B22" s="122"/>
      <c r="C22" s="122"/>
      <c r="D22" s="122"/>
      <c r="E22" s="122"/>
      <c r="F22" s="122"/>
      <c r="G22" s="122"/>
      <c r="H22" s="122"/>
      <c r="I22" s="122">
        <v>206</v>
      </c>
      <c r="J22" s="123">
        <v>207</v>
      </c>
      <c r="K22" s="121">
        <v>0.41</v>
      </c>
      <c r="L22" s="122"/>
      <c r="M22" s="122"/>
      <c r="N22" s="122">
        <v>206</v>
      </c>
      <c r="O22" s="122">
        <v>207</v>
      </c>
      <c r="P22" s="122">
        <v>208</v>
      </c>
      <c r="Q22" s="122">
        <v>208</v>
      </c>
      <c r="R22" s="122">
        <v>209</v>
      </c>
      <c r="S22" s="122">
        <v>209</v>
      </c>
      <c r="T22" s="123">
        <v>210</v>
      </c>
      <c r="U22" s="121">
        <v>0.41</v>
      </c>
      <c r="V22" s="122"/>
      <c r="W22" s="122"/>
      <c r="X22" s="122">
        <v>213</v>
      </c>
      <c r="Y22" s="122">
        <v>215</v>
      </c>
      <c r="Z22" s="122">
        <v>217</v>
      </c>
      <c r="AA22" s="122">
        <v>220</v>
      </c>
      <c r="AB22" s="122">
        <v>222</v>
      </c>
      <c r="AC22" s="122">
        <v>224</v>
      </c>
      <c r="AD22" s="123">
        <v>225</v>
      </c>
    </row>
    <row r="23" spans="1:30" ht="14.1" customHeight="1" thickBot="1">
      <c r="A23" s="124">
        <v>0.42</v>
      </c>
      <c r="B23" s="125"/>
      <c r="C23" s="125"/>
      <c r="D23" s="125"/>
      <c r="E23" s="125"/>
      <c r="F23" s="125"/>
      <c r="G23" s="125"/>
      <c r="H23" s="125"/>
      <c r="I23" s="125"/>
      <c r="J23" s="126">
        <v>211</v>
      </c>
      <c r="K23" s="124">
        <v>0.42</v>
      </c>
      <c r="L23" s="125"/>
      <c r="M23" s="125"/>
      <c r="N23" s="125">
        <v>211</v>
      </c>
      <c r="O23" s="125">
        <v>211</v>
      </c>
      <c r="P23" s="125">
        <v>212</v>
      </c>
      <c r="Q23" s="125">
        <v>212</v>
      </c>
      <c r="R23" s="125">
        <v>213</v>
      </c>
      <c r="S23" s="125">
        <v>213</v>
      </c>
      <c r="T23" s="126">
        <v>214</v>
      </c>
      <c r="U23" s="124">
        <v>0.42</v>
      </c>
      <c r="V23" s="125"/>
      <c r="W23" s="125"/>
      <c r="X23" s="125">
        <v>218</v>
      </c>
      <c r="Y23" s="125">
        <v>220</v>
      </c>
      <c r="Z23" s="125">
        <v>222</v>
      </c>
      <c r="AA23" s="125">
        <v>224</v>
      </c>
      <c r="AB23" s="125">
        <v>226</v>
      </c>
      <c r="AC23" s="125">
        <v>228</v>
      </c>
      <c r="AD23" s="126">
        <v>229</v>
      </c>
    </row>
    <row r="25" spans="1:30" ht="14.1" customHeight="1" thickBot="1">
      <c r="A25" s="117" t="s">
        <v>409</v>
      </c>
      <c r="N25" s="117" t="s">
        <v>410</v>
      </c>
    </row>
    <row r="26" spans="1:30" ht="14.1" customHeight="1">
      <c r="A26" s="119"/>
      <c r="B26" s="790" t="s">
        <v>19</v>
      </c>
      <c r="C26" s="790"/>
      <c r="D26" s="790"/>
      <c r="E26" s="790"/>
      <c r="F26" s="790"/>
      <c r="G26" s="790"/>
      <c r="H26" s="790"/>
      <c r="I26" s="790"/>
      <c r="J26" s="790"/>
      <c r="K26" s="790"/>
      <c r="L26" s="790"/>
      <c r="M26" s="128"/>
      <c r="N26" s="119"/>
      <c r="O26" s="789" t="s">
        <v>19</v>
      </c>
      <c r="P26" s="789"/>
      <c r="Q26" s="789"/>
      <c r="R26" s="789"/>
      <c r="S26" s="789"/>
      <c r="T26" s="789"/>
      <c r="U26" s="789"/>
      <c r="V26" s="789"/>
      <c r="W26" s="789"/>
      <c r="X26" s="789"/>
      <c r="Y26" s="789"/>
      <c r="Z26" s="789"/>
      <c r="AA26" s="789"/>
    </row>
    <row r="27" spans="1:30" ht="14.1" customHeight="1">
      <c r="A27" s="121" t="s">
        <v>342</v>
      </c>
      <c r="B27" s="122">
        <v>22</v>
      </c>
      <c r="C27" s="122">
        <v>23</v>
      </c>
      <c r="D27" s="122">
        <v>24</v>
      </c>
      <c r="E27" s="122">
        <v>25</v>
      </c>
      <c r="F27" s="122">
        <v>26</v>
      </c>
      <c r="G27" s="122">
        <v>27</v>
      </c>
      <c r="H27" s="122">
        <v>28</v>
      </c>
      <c r="I27" s="122">
        <v>29</v>
      </c>
      <c r="J27" s="122">
        <v>30</v>
      </c>
      <c r="K27" s="122">
        <v>31</v>
      </c>
      <c r="L27" s="122">
        <v>32</v>
      </c>
      <c r="M27" s="123">
        <v>33</v>
      </c>
      <c r="N27" s="121" t="s">
        <v>342</v>
      </c>
      <c r="O27" s="122">
        <v>27</v>
      </c>
      <c r="P27" s="122">
        <v>28</v>
      </c>
      <c r="Q27" s="122">
        <v>29</v>
      </c>
      <c r="R27" s="122">
        <v>30</v>
      </c>
      <c r="S27" s="122">
        <v>31</v>
      </c>
      <c r="T27" s="122">
        <v>32</v>
      </c>
      <c r="U27" s="122">
        <v>33</v>
      </c>
      <c r="V27" s="122">
        <v>34</v>
      </c>
      <c r="W27" s="122">
        <v>35</v>
      </c>
      <c r="X27" s="122">
        <v>36</v>
      </c>
      <c r="Y27" s="122">
        <v>37</v>
      </c>
      <c r="Z27" s="122">
        <v>38</v>
      </c>
      <c r="AA27" s="123">
        <v>39</v>
      </c>
    </row>
    <row r="28" spans="1:30" ht="14.1" customHeight="1">
      <c r="A28" s="121">
        <v>0.3</v>
      </c>
      <c r="B28" s="122">
        <v>152</v>
      </c>
      <c r="C28" s="122">
        <v>157</v>
      </c>
      <c r="D28" s="122">
        <v>163</v>
      </c>
      <c r="E28" s="122">
        <v>166</v>
      </c>
      <c r="F28" s="122">
        <v>170</v>
      </c>
      <c r="G28" s="122">
        <v>173</v>
      </c>
      <c r="H28" s="122">
        <v>175</v>
      </c>
      <c r="I28" s="122">
        <v>177</v>
      </c>
      <c r="J28" s="122">
        <v>179</v>
      </c>
      <c r="K28" s="122">
        <v>182</v>
      </c>
      <c r="L28" s="122">
        <v>184</v>
      </c>
      <c r="M28" s="123">
        <v>187</v>
      </c>
      <c r="N28" s="121">
        <v>0.4</v>
      </c>
      <c r="O28" s="122">
        <v>222</v>
      </c>
      <c r="P28" s="122">
        <v>226</v>
      </c>
      <c r="Q28" s="122">
        <v>229</v>
      </c>
      <c r="R28" s="122">
        <v>231</v>
      </c>
      <c r="S28" s="122">
        <v>234</v>
      </c>
      <c r="T28" s="122">
        <v>236</v>
      </c>
      <c r="U28" s="122">
        <v>239</v>
      </c>
      <c r="V28" s="122">
        <v>241</v>
      </c>
      <c r="W28" s="122">
        <v>244</v>
      </c>
      <c r="X28" s="122">
        <v>246</v>
      </c>
      <c r="Y28" s="122">
        <v>248</v>
      </c>
      <c r="Z28" s="122">
        <v>250</v>
      </c>
      <c r="AA28" s="123">
        <v>252</v>
      </c>
    </row>
    <row r="29" spans="1:30" ht="14.1" customHeight="1">
      <c r="A29" s="121">
        <v>0.32500000000000001</v>
      </c>
      <c r="B29" s="122">
        <v>163</v>
      </c>
      <c r="C29" s="122">
        <v>169</v>
      </c>
      <c r="D29" s="122">
        <v>174</v>
      </c>
      <c r="E29" s="122">
        <v>177</v>
      </c>
      <c r="F29" s="122">
        <v>181</v>
      </c>
      <c r="G29" s="122">
        <v>183</v>
      </c>
      <c r="H29" s="122">
        <v>186</v>
      </c>
      <c r="I29" s="122">
        <v>188</v>
      </c>
      <c r="J29" s="122">
        <v>190</v>
      </c>
      <c r="K29" s="122">
        <v>192</v>
      </c>
      <c r="L29" s="122">
        <v>195</v>
      </c>
      <c r="M29" s="123">
        <v>197</v>
      </c>
      <c r="N29" s="121">
        <v>0.42499999999999999</v>
      </c>
      <c r="O29" s="122">
        <v>233</v>
      </c>
      <c r="P29" s="122">
        <v>236</v>
      </c>
      <c r="Q29" s="122">
        <v>239</v>
      </c>
      <c r="R29" s="122">
        <v>242</v>
      </c>
      <c r="S29" s="122">
        <v>244</v>
      </c>
      <c r="T29" s="122">
        <v>246</v>
      </c>
      <c r="U29" s="122">
        <v>248</v>
      </c>
      <c r="V29" s="122">
        <v>251</v>
      </c>
      <c r="W29" s="122">
        <v>253</v>
      </c>
      <c r="X29" s="122">
        <v>256</v>
      </c>
      <c r="Y29" s="122">
        <v>258</v>
      </c>
      <c r="Z29" s="122">
        <v>260</v>
      </c>
      <c r="AA29" s="123">
        <v>262</v>
      </c>
    </row>
    <row r="30" spans="1:30" ht="14.1" customHeight="1">
      <c r="A30" s="121">
        <v>0.35</v>
      </c>
      <c r="B30" s="122">
        <v>175</v>
      </c>
      <c r="C30" s="122">
        <v>180</v>
      </c>
      <c r="D30" s="122">
        <v>185</v>
      </c>
      <c r="E30" s="122">
        <v>188</v>
      </c>
      <c r="F30" s="122">
        <v>191</v>
      </c>
      <c r="G30" s="122">
        <v>194</v>
      </c>
      <c r="H30" s="122">
        <v>196</v>
      </c>
      <c r="I30" s="122">
        <v>198</v>
      </c>
      <c r="J30" s="122">
        <v>200</v>
      </c>
      <c r="K30" s="122">
        <v>202</v>
      </c>
      <c r="L30" s="122">
        <v>205</v>
      </c>
      <c r="M30" s="123">
        <v>207</v>
      </c>
      <c r="N30" s="121">
        <v>0.45</v>
      </c>
      <c r="O30" s="122">
        <v>244</v>
      </c>
      <c r="P30" s="122">
        <v>247</v>
      </c>
      <c r="Q30" s="122">
        <v>249</v>
      </c>
      <c r="R30" s="122">
        <v>252</v>
      </c>
      <c r="S30" s="122">
        <v>254</v>
      </c>
      <c r="T30" s="122">
        <v>256</v>
      </c>
      <c r="U30" s="122">
        <v>258</v>
      </c>
      <c r="V30" s="122">
        <v>260</v>
      </c>
      <c r="W30" s="122">
        <v>263</v>
      </c>
      <c r="X30" s="122">
        <v>265</v>
      </c>
      <c r="Y30" s="122">
        <v>267</v>
      </c>
      <c r="Z30" s="122">
        <v>269</v>
      </c>
      <c r="AA30" s="123">
        <v>271</v>
      </c>
    </row>
    <row r="31" spans="1:30" ht="14.1" customHeight="1">
      <c r="A31" s="121">
        <v>0.375</v>
      </c>
      <c r="B31" s="122">
        <v>186</v>
      </c>
      <c r="C31" s="122">
        <v>191</v>
      </c>
      <c r="D31" s="122">
        <v>196</v>
      </c>
      <c r="E31" s="122">
        <v>199</v>
      </c>
      <c r="F31" s="122">
        <v>202</v>
      </c>
      <c r="G31" s="122">
        <v>205</v>
      </c>
      <c r="H31" s="122">
        <v>207</v>
      </c>
      <c r="I31" s="122">
        <v>209</v>
      </c>
      <c r="J31" s="122">
        <v>211</v>
      </c>
      <c r="K31" s="122">
        <v>213</v>
      </c>
      <c r="L31" s="122">
        <v>215</v>
      </c>
      <c r="M31" s="123">
        <v>218</v>
      </c>
      <c r="N31" s="121">
        <v>0.47499999999999998</v>
      </c>
      <c r="O31" s="122">
        <v>254</v>
      </c>
      <c r="P31" s="122">
        <v>257</v>
      </c>
      <c r="Q31" s="122">
        <v>260</v>
      </c>
      <c r="R31" s="122">
        <v>262</v>
      </c>
      <c r="S31" s="122">
        <v>264</v>
      </c>
      <c r="T31" s="122">
        <v>266</v>
      </c>
      <c r="U31" s="122">
        <v>268</v>
      </c>
      <c r="V31" s="122">
        <v>270</v>
      </c>
      <c r="W31" s="122">
        <v>273</v>
      </c>
      <c r="X31" s="122">
        <v>275</v>
      </c>
      <c r="Y31" s="122">
        <v>277</v>
      </c>
      <c r="Z31" s="122">
        <v>279</v>
      </c>
      <c r="AA31" s="123">
        <v>281</v>
      </c>
    </row>
    <row r="32" spans="1:30" ht="14.1" customHeight="1">
      <c r="A32" s="121">
        <v>0.4</v>
      </c>
      <c r="B32" s="122">
        <v>198</v>
      </c>
      <c r="C32" s="122">
        <v>203</v>
      </c>
      <c r="D32" s="122">
        <v>207</v>
      </c>
      <c r="E32" s="122">
        <v>210</v>
      </c>
      <c r="F32" s="122">
        <v>213</v>
      </c>
      <c r="G32" s="122">
        <v>215</v>
      </c>
      <c r="H32" s="122">
        <v>217</v>
      </c>
      <c r="I32" s="122">
        <v>219</v>
      </c>
      <c r="J32" s="122">
        <v>221</v>
      </c>
      <c r="K32" s="122">
        <v>223</v>
      </c>
      <c r="L32" s="122">
        <v>226</v>
      </c>
      <c r="M32" s="123">
        <v>228</v>
      </c>
      <c r="N32" s="121">
        <v>0.5</v>
      </c>
      <c r="O32" s="122">
        <v>265</v>
      </c>
      <c r="P32" s="122">
        <v>267</v>
      </c>
      <c r="Q32" s="122">
        <v>270</v>
      </c>
      <c r="R32" s="122">
        <v>272</v>
      </c>
      <c r="S32" s="122">
        <v>274</v>
      </c>
      <c r="T32" s="122">
        <v>276</v>
      </c>
      <c r="U32" s="122">
        <v>278</v>
      </c>
      <c r="V32" s="122">
        <v>280</v>
      </c>
      <c r="W32" s="122">
        <v>282</v>
      </c>
      <c r="X32" s="122">
        <v>284</v>
      </c>
      <c r="Y32" s="122">
        <v>286</v>
      </c>
      <c r="Z32" s="122">
        <v>288</v>
      </c>
      <c r="AA32" s="123">
        <v>290</v>
      </c>
    </row>
    <row r="33" spans="1:27" ht="14.1" customHeight="1">
      <c r="A33" s="121">
        <v>0.42499999999999999</v>
      </c>
      <c r="B33" s="122">
        <v>209</v>
      </c>
      <c r="C33" s="122">
        <v>214</v>
      </c>
      <c r="D33" s="122">
        <v>218</v>
      </c>
      <c r="E33" s="122">
        <v>221</v>
      </c>
      <c r="F33" s="122">
        <v>224</v>
      </c>
      <c r="G33" s="122">
        <v>226</v>
      </c>
      <c r="H33" s="122">
        <v>228</v>
      </c>
      <c r="I33" s="122">
        <v>230</v>
      </c>
      <c r="J33" s="122">
        <v>232</v>
      </c>
      <c r="K33" s="122">
        <v>234</v>
      </c>
      <c r="L33" s="122">
        <v>236</v>
      </c>
      <c r="M33" s="123">
        <v>238</v>
      </c>
      <c r="N33" s="121">
        <v>0.52500000000000002</v>
      </c>
      <c r="O33" s="122">
        <v>275</v>
      </c>
      <c r="P33" s="122">
        <v>278</v>
      </c>
      <c r="Q33" s="122">
        <v>280</v>
      </c>
      <c r="R33" s="122">
        <v>282</v>
      </c>
      <c r="S33" s="122">
        <v>284</v>
      </c>
      <c r="T33" s="122">
        <v>286</v>
      </c>
      <c r="U33" s="122">
        <v>288</v>
      </c>
      <c r="V33" s="122">
        <v>290</v>
      </c>
      <c r="W33" s="122">
        <v>292</v>
      </c>
      <c r="X33" s="122">
        <v>294</v>
      </c>
      <c r="Y33" s="122">
        <v>296</v>
      </c>
      <c r="Z33" s="122">
        <v>298</v>
      </c>
      <c r="AA33" s="123">
        <v>300</v>
      </c>
    </row>
    <row r="34" spans="1:27" ht="14.1" customHeight="1">
      <c r="A34" s="121">
        <v>0.45</v>
      </c>
      <c r="B34" s="122">
        <v>221</v>
      </c>
      <c r="C34" s="122">
        <v>226</v>
      </c>
      <c r="D34" s="122">
        <v>230</v>
      </c>
      <c r="E34" s="122">
        <v>232</v>
      </c>
      <c r="F34" s="122">
        <v>235</v>
      </c>
      <c r="G34" s="122">
        <v>237</v>
      </c>
      <c r="H34" s="122">
        <v>238</v>
      </c>
      <c r="I34" s="122">
        <v>240</v>
      </c>
      <c r="J34" s="122">
        <v>242</v>
      </c>
      <c r="K34" s="122">
        <v>244</v>
      </c>
      <c r="L34" s="122">
        <v>246</v>
      </c>
      <c r="M34" s="123">
        <v>248</v>
      </c>
      <c r="N34" s="121">
        <v>0.55000000000000004</v>
      </c>
      <c r="O34" s="122">
        <v>286</v>
      </c>
      <c r="P34" s="122">
        <v>288</v>
      </c>
      <c r="Q34" s="122">
        <v>290</v>
      </c>
      <c r="R34" s="122">
        <v>292</v>
      </c>
      <c r="S34" s="122">
        <v>294</v>
      </c>
      <c r="T34" s="122">
        <v>296</v>
      </c>
      <c r="U34" s="122">
        <v>298</v>
      </c>
      <c r="V34" s="122">
        <v>299</v>
      </c>
      <c r="W34" s="122">
        <v>301</v>
      </c>
      <c r="X34" s="122">
        <v>303</v>
      </c>
      <c r="Y34" s="122">
        <v>305</v>
      </c>
      <c r="Z34" s="122">
        <v>307</v>
      </c>
      <c r="AA34" s="123">
        <v>309</v>
      </c>
    </row>
    <row r="35" spans="1:27" ht="14.1" customHeight="1">
      <c r="A35" s="121">
        <v>0.47499999999999998</v>
      </c>
      <c r="B35" s="122">
        <v>233</v>
      </c>
      <c r="C35" s="122">
        <v>237</v>
      </c>
      <c r="D35" s="122">
        <v>241</v>
      </c>
      <c r="E35" s="122">
        <v>243</v>
      </c>
      <c r="F35" s="122">
        <v>245</v>
      </c>
      <c r="G35" s="122">
        <v>247</v>
      </c>
      <c r="H35" s="122">
        <v>249</v>
      </c>
      <c r="I35" s="122">
        <v>251</v>
      </c>
      <c r="J35" s="122">
        <v>253</v>
      </c>
      <c r="K35" s="122">
        <v>254</v>
      </c>
      <c r="L35" s="122">
        <v>256</v>
      </c>
      <c r="M35" s="123">
        <v>258</v>
      </c>
      <c r="N35" s="121">
        <v>0.57499999999999996</v>
      </c>
      <c r="O35" s="122">
        <v>296</v>
      </c>
      <c r="P35" s="122">
        <v>298</v>
      </c>
      <c r="Q35" s="122">
        <v>300</v>
      </c>
      <c r="R35" s="122">
        <v>302</v>
      </c>
      <c r="S35" s="122">
        <v>304</v>
      </c>
      <c r="T35" s="122">
        <v>305</v>
      </c>
      <c r="U35" s="122">
        <v>307</v>
      </c>
      <c r="V35" s="122">
        <v>309</v>
      </c>
      <c r="W35" s="122">
        <v>311</v>
      </c>
      <c r="X35" s="122">
        <v>313</v>
      </c>
      <c r="Y35" s="122">
        <v>315</v>
      </c>
      <c r="Z35" s="122">
        <v>317</v>
      </c>
      <c r="AA35" s="123">
        <v>318</v>
      </c>
    </row>
    <row r="36" spans="1:27" ht="14.1" customHeight="1">
      <c r="A36" s="121">
        <v>0.5</v>
      </c>
      <c r="B36" s="122">
        <v>244</v>
      </c>
      <c r="C36" s="122">
        <v>248</v>
      </c>
      <c r="D36" s="122">
        <v>252</v>
      </c>
      <c r="E36" s="122">
        <v>254</v>
      </c>
      <c r="F36" s="122">
        <v>256</v>
      </c>
      <c r="G36" s="122">
        <v>258</v>
      </c>
      <c r="H36" s="122">
        <v>260</v>
      </c>
      <c r="I36" s="122">
        <v>261</v>
      </c>
      <c r="J36" s="122">
        <v>263</v>
      </c>
      <c r="K36" s="122">
        <v>265</v>
      </c>
      <c r="L36" s="122">
        <v>267</v>
      </c>
      <c r="M36" s="123">
        <v>269</v>
      </c>
      <c r="N36" s="121">
        <v>0.6</v>
      </c>
      <c r="O36" s="122">
        <v>306</v>
      </c>
      <c r="P36" s="122">
        <v>308</v>
      </c>
      <c r="Q36" s="122">
        <v>310</v>
      </c>
      <c r="R36" s="122">
        <v>312</v>
      </c>
      <c r="S36" s="122">
        <v>313</v>
      </c>
      <c r="T36" s="122">
        <v>315</v>
      </c>
      <c r="U36" s="122">
        <v>317</v>
      </c>
      <c r="V36" s="122">
        <v>319</v>
      </c>
      <c r="W36" s="122">
        <v>320</v>
      </c>
      <c r="X36" s="122">
        <v>322</v>
      </c>
      <c r="Y36" s="122">
        <v>324</v>
      </c>
      <c r="Z36" s="122">
        <v>326</v>
      </c>
      <c r="AA36" s="123">
        <v>328</v>
      </c>
    </row>
    <row r="37" spans="1:27" ht="14.1" customHeight="1">
      <c r="A37" s="121">
        <v>0.52500000000000002</v>
      </c>
      <c r="B37" s="122">
        <v>256</v>
      </c>
      <c r="C37" s="122">
        <v>260</v>
      </c>
      <c r="D37" s="122">
        <v>263</v>
      </c>
      <c r="E37" s="122">
        <v>265</v>
      </c>
      <c r="F37" s="122">
        <v>267</v>
      </c>
      <c r="G37" s="122">
        <v>269</v>
      </c>
      <c r="H37" s="122">
        <v>270</v>
      </c>
      <c r="I37" s="122">
        <v>272</v>
      </c>
      <c r="J37" s="122">
        <v>273</v>
      </c>
      <c r="K37" s="122">
        <v>275</v>
      </c>
      <c r="L37" s="122">
        <v>277</v>
      </c>
      <c r="M37" s="123">
        <v>279</v>
      </c>
      <c r="N37" s="121">
        <v>0.625</v>
      </c>
      <c r="O37" s="122">
        <v>316</v>
      </c>
      <c r="P37" s="122">
        <v>318</v>
      </c>
      <c r="Q37" s="122">
        <v>320</v>
      </c>
      <c r="R37" s="122">
        <v>322</v>
      </c>
      <c r="S37" s="122">
        <v>323</v>
      </c>
      <c r="T37" s="122">
        <v>325</v>
      </c>
      <c r="U37" s="122">
        <v>326</v>
      </c>
      <c r="V37" s="122">
        <v>328</v>
      </c>
      <c r="W37" s="122">
        <v>330</v>
      </c>
      <c r="X37" s="122">
        <v>332</v>
      </c>
      <c r="Y37" s="122">
        <v>333</v>
      </c>
      <c r="Z37" s="122">
        <v>335</v>
      </c>
      <c r="AA37" s="123">
        <v>337</v>
      </c>
    </row>
    <row r="38" spans="1:27" ht="14.1" customHeight="1">
      <c r="A38" s="121">
        <v>0.55000000000000004</v>
      </c>
      <c r="B38" s="122">
        <v>267</v>
      </c>
      <c r="C38" s="122">
        <v>271</v>
      </c>
      <c r="D38" s="122">
        <v>274</v>
      </c>
      <c r="E38" s="122">
        <v>276</v>
      </c>
      <c r="F38" s="122">
        <v>278</v>
      </c>
      <c r="G38" s="122">
        <v>279</v>
      </c>
      <c r="H38" s="122">
        <v>281</v>
      </c>
      <c r="I38" s="122">
        <v>282</v>
      </c>
      <c r="J38" s="122">
        <v>284</v>
      </c>
      <c r="K38" s="122">
        <v>285</v>
      </c>
      <c r="L38" s="122">
        <v>287</v>
      </c>
      <c r="M38" s="123">
        <v>289</v>
      </c>
      <c r="N38" s="121">
        <v>0.65</v>
      </c>
      <c r="O38" s="122">
        <v>326</v>
      </c>
      <c r="P38" s="122">
        <v>328</v>
      </c>
      <c r="Q38" s="122">
        <v>330</v>
      </c>
      <c r="R38" s="122">
        <v>331</v>
      </c>
      <c r="S38" s="122">
        <v>333</v>
      </c>
      <c r="T38" s="122">
        <v>334</v>
      </c>
      <c r="U38" s="122">
        <v>336</v>
      </c>
      <c r="V38" s="122">
        <v>338</v>
      </c>
      <c r="W38" s="122">
        <v>339</v>
      </c>
      <c r="X38" s="122">
        <v>341</v>
      </c>
      <c r="Y38" s="122">
        <v>343</v>
      </c>
      <c r="Z38" s="122">
        <v>344</v>
      </c>
      <c r="AA38" s="123">
        <v>346</v>
      </c>
    </row>
    <row r="39" spans="1:27" ht="14.1" customHeight="1">
      <c r="A39" s="121">
        <v>0.57499999999999996</v>
      </c>
      <c r="B39" s="122">
        <v>279</v>
      </c>
      <c r="C39" s="122">
        <v>282</v>
      </c>
      <c r="D39" s="122">
        <v>285</v>
      </c>
      <c r="E39" s="122">
        <v>287</v>
      </c>
      <c r="F39" s="122">
        <v>288</v>
      </c>
      <c r="G39" s="122">
        <v>290</v>
      </c>
      <c r="H39" s="122">
        <v>291</v>
      </c>
      <c r="I39" s="122">
        <v>292</v>
      </c>
      <c r="J39" s="122">
        <v>294</v>
      </c>
      <c r="K39" s="122">
        <v>296</v>
      </c>
      <c r="L39" s="122">
        <v>297</v>
      </c>
      <c r="M39" s="123">
        <v>299</v>
      </c>
      <c r="N39" s="121">
        <v>0.67500000000000004</v>
      </c>
      <c r="O39" s="122">
        <v>336</v>
      </c>
      <c r="P39" s="122">
        <v>338</v>
      </c>
      <c r="Q39" s="122">
        <v>339</v>
      </c>
      <c r="R39" s="122">
        <v>341</v>
      </c>
      <c r="S39" s="122">
        <v>342</v>
      </c>
      <c r="T39" s="122">
        <v>344</v>
      </c>
      <c r="U39" s="122">
        <v>345</v>
      </c>
      <c r="V39" s="122">
        <v>347</v>
      </c>
      <c r="W39" s="122">
        <v>349</v>
      </c>
      <c r="X39" s="122">
        <v>350</v>
      </c>
      <c r="Y39" s="122">
        <v>352</v>
      </c>
      <c r="Z39" s="122">
        <v>354</v>
      </c>
      <c r="AA39" s="123">
        <v>355</v>
      </c>
    </row>
    <row r="40" spans="1:27" ht="14.1" customHeight="1">
      <c r="A40" s="121">
        <v>0.6</v>
      </c>
      <c r="B40" s="122">
        <v>290</v>
      </c>
      <c r="C40" s="122">
        <v>293</v>
      </c>
      <c r="D40" s="122">
        <v>296</v>
      </c>
      <c r="E40" s="122">
        <v>297</v>
      </c>
      <c r="F40" s="122">
        <v>299</v>
      </c>
      <c r="G40" s="122">
        <v>300</v>
      </c>
      <c r="H40" s="122">
        <v>301</v>
      </c>
      <c r="I40" s="122">
        <v>303</v>
      </c>
      <c r="J40" s="122">
        <v>304</v>
      </c>
      <c r="K40" s="122">
        <v>306</v>
      </c>
      <c r="L40" s="122">
        <v>308</v>
      </c>
      <c r="M40" s="123">
        <v>310</v>
      </c>
      <c r="N40" s="121">
        <v>0.7</v>
      </c>
      <c r="O40" s="122">
        <v>346</v>
      </c>
      <c r="P40" s="122">
        <v>348</v>
      </c>
      <c r="Q40" s="122">
        <v>349</v>
      </c>
      <c r="R40" s="122">
        <v>350</v>
      </c>
      <c r="S40" s="122">
        <v>352</v>
      </c>
      <c r="T40" s="122">
        <v>353</v>
      </c>
      <c r="U40" s="122">
        <v>355</v>
      </c>
      <c r="V40" s="122">
        <v>356</v>
      </c>
      <c r="W40" s="122">
        <v>358</v>
      </c>
      <c r="X40" s="122">
        <v>359</v>
      </c>
      <c r="Y40" s="122">
        <v>361</v>
      </c>
      <c r="Z40" s="122">
        <v>363</v>
      </c>
      <c r="AA40" s="123">
        <v>364</v>
      </c>
    </row>
    <row r="41" spans="1:27" ht="14.1" customHeight="1">
      <c r="A41" s="121">
        <v>0.625</v>
      </c>
      <c r="B41" s="122">
        <v>301</v>
      </c>
      <c r="C41" s="122">
        <v>304</v>
      </c>
      <c r="D41" s="122">
        <v>306</v>
      </c>
      <c r="E41" s="122">
        <v>308</v>
      </c>
      <c r="F41" s="122">
        <v>309</v>
      </c>
      <c r="G41" s="122">
        <v>310</v>
      </c>
      <c r="H41" s="122">
        <v>312</v>
      </c>
      <c r="I41" s="122">
        <v>313</v>
      </c>
      <c r="J41" s="122">
        <v>315</v>
      </c>
      <c r="K41" s="122">
        <v>316</v>
      </c>
      <c r="L41" s="122">
        <v>318</v>
      </c>
      <c r="M41" s="123">
        <v>320</v>
      </c>
      <c r="N41" s="121">
        <v>0.72499999999999998</v>
      </c>
      <c r="O41" s="122">
        <v>356</v>
      </c>
      <c r="P41" s="122">
        <v>357</v>
      </c>
      <c r="Q41" s="122">
        <v>358</v>
      </c>
      <c r="R41" s="122">
        <v>360</v>
      </c>
      <c r="S41" s="122">
        <v>361</v>
      </c>
      <c r="T41" s="122">
        <v>362</v>
      </c>
      <c r="U41" s="122">
        <v>364</v>
      </c>
      <c r="V41" s="122">
        <v>365</v>
      </c>
      <c r="W41" s="122">
        <v>367</v>
      </c>
      <c r="X41" s="122">
        <v>368</v>
      </c>
      <c r="Y41" s="122">
        <v>370</v>
      </c>
      <c r="Z41" s="122">
        <v>372</v>
      </c>
      <c r="AA41" s="123">
        <v>373</v>
      </c>
    </row>
    <row r="42" spans="1:27" ht="14.1" customHeight="1">
      <c r="A42" s="121">
        <v>0.65</v>
      </c>
      <c r="B42" s="122">
        <v>312</v>
      </c>
      <c r="C42" s="122">
        <v>314</v>
      </c>
      <c r="D42" s="122">
        <v>317</v>
      </c>
      <c r="E42" s="122">
        <v>318</v>
      </c>
      <c r="F42" s="122">
        <v>320</v>
      </c>
      <c r="G42" s="122">
        <v>321</v>
      </c>
      <c r="H42" s="122">
        <v>322</v>
      </c>
      <c r="I42" s="122">
        <v>323</v>
      </c>
      <c r="J42" s="122">
        <v>325</v>
      </c>
      <c r="K42" s="122">
        <v>326</v>
      </c>
      <c r="L42" s="122">
        <v>328</v>
      </c>
      <c r="M42" s="123">
        <v>330</v>
      </c>
      <c r="N42" s="121">
        <v>0.75</v>
      </c>
      <c r="O42" s="122">
        <v>365</v>
      </c>
      <c r="P42" s="122">
        <v>367</v>
      </c>
      <c r="Q42" s="122">
        <v>368</v>
      </c>
      <c r="R42" s="122">
        <v>369</v>
      </c>
      <c r="S42" s="122">
        <v>370</v>
      </c>
      <c r="T42" s="122">
        <v>372</v>
      </c>
      <c r="U42" s="122">
        <v>373</v>
      </c>
      <c r="V42" s="122">
        <v>375</v>
      </c>
      <c r="W42" s="122">
        <v>376</v>
      </c>
      <c r="X42" s="122">
        <v>378</v>
      </c>
      <c r="Y42" s="122">
        <v>379</v>
      </c>
      <c r="Z42" s="122">
        <v>381</v>
      </c>
      <c r="AA42" s="123">
        <v>382</v>
      </c>
    </row>
    <row r="43" spans="1:27" ht="14.1" customHeight="1">
      <c r="A43" s="121">
        <v>0.67500000000000004</v>
      </c>
      <c r="B43" s="122">
        <v>322</v>
      </c>
      <c r="C43" s="122">
        <v>325</v>
      </c>
      <c r="D43" s="122">
        <v>327</v>
      </c>
      <c r="E43" s="122">
        <v>328</v>
      </c>
      <c r="F43" s="122">
        <v>330</v>
      </c>
      <c r="G43" s="122">
        <v>331</v>
      </c>
      <c r="H43" s="122">
        <v>333</v>
      </c>
      <c r="I43" s="122">
        <v>333</v>
      </c>
      <c r="J43" s="122">
        <v>335</v>
      </c>
      <c r="K43" s="122">
        <v>336</v>
      </c>
      <c r="L43" s="122">
        <v>338</v>
      </c>
      <c r="M43" s="123">
        <v>340</v>
      </c>
      <c r="N43" s="121">
        <v>0.77500000000000002</v>
      </c>
      <c r="O43" s="122">
        <v>374</v>
      </c>
      <c r="P43" s="122">
        <v>376</v>
      </c>
      <c r="Q43" s="122">
        <v>377</v>
      </c>
      <c r="R43" s="122">
        <v>378</v>
      </c>
      <c r="S43" s="122">
        <v>379</v>
      </c>
      <c r="T43" s="122">
        <v>381</v>
      </c>
      <c r="U43" s="122">
        <v>382</v>
      </c>
      <c r="V43" s="122">
        <v>383</v>
      </c>
      <c r="W43" s="122">
        <v>385</v>
      </c>
      <c r="X43" s="122">
        <v>386</v>
      </c>
      <c r="Y43" s="122">
        <v>388</v>
      </c>
      <c r="Z43" s="122">
        <v>390</v>
      </c>
      <c r="AA43" s="123">
        <v>391</v>
      </c>
    </row>
    <row r="44" spans="1:27" ht="14.1" customHeight="1">
      <c r="A44" s="121">
        <v>0.7</v>
      </c>
      <c r="B44" s="122">
        <v>333</v>
      </c>
      <c r="C44" s="122">
        <v>335</v>
      </c>
      <c r="D44" s="122">
        <v>337</v>
      </c>
      <c r="E44" s="122">
        <v>339</v>
      </c>
      <c r="F44" s="122">
        <v>340</v>
      </c>
      <c r="G44" s="122">
        <v>341</v>
      </c>
      <c r="H44" s="122">
        <v>342</v>
      </c>
      <c r="I44" s="122">
        <v>343</v>
      </c>
      <c r="J44" s="122">
        <v>345</v>
      </c>
      <c r="K44" s="122">
        <v>346</v>
      </c>
      <c r="L44" s="122">
        <v>348</v>
      </c>
      <c r="M44" s="123">
        <v>350</v>
      </c>
      <c r="N44" s="121">
        <v>0.8</v>
      </c>
      <c r="O44" s="122">
        <v>384</v>
      </c>
      <c r="P44" s="122">
        <v>385</v>
      </c>
      <c r="Q44" s="122">
        <v>386</v>
      </c>
      <c r="R44" s="122">
        <v>387</v>
      </c>
      <c r="S44" s="122">
        <v>388</v>
      </c>
      <c r="T44" s="122">
        <v>390</v>
      </c>
      <c r="U44" s="122">
        <v>391</v>
      </c>
      <c r="V44" s="122">
        <v>392</v>
      </c>
      <c r="W44" s="122">
        <v>394</v>
      </c>
      <c r="X44" s="122">
        <v>395</v>
      </c>
      <c r="Y44" s="122">
        <v>397</v>
      </c>
      <c r="Z44" s="122">
        <v>398</v>
      </c>
      <c r="AA44" s="123">
        <v>400</v>
      </c>
    </row>
    <row r="45" spans="1:27" ht="14.1" customHeight="1">
      <c r="A45" s="121">
        <v>0.72499999999999998</v>
      </c>
      <c r="B45" s="122">
        <v>342</v>
      </c>
      <c r="C45" s="122">
        <v>345</v>
      </c>
      <c r="D45" s="122">
        <v>347</v>
      </c>
      <c r="E45" s="122">
        <v>348</v>
      </c>
      <c r="F45" s="122">
        <v>349</v>
      </c>
      <c r="G45" s="122">
        <v>351</v>
      </c>
      <c r="H45" s="122">
        <v>352</v>
      </c>
      <c r="I45" s="122">
        <v>353</v>
      </c>
      <c r="J45" s="122">
        <v>354</v>
      </c>
      <c r="K45" s="122">
        <v>356</v>
      </c>
      <c r="L45" s="122">
        <v>358</v>
      </c>
      <c r="M45" s="123">
        <v>360</v>
      </c>
      <c r="N45" s="121">
        <v>0.82499999999999996</v>
      </c>
      <c r="O45" s="122">
        <v>393</v>
      </c>
      <c r="P45" s="122">
        <v>394</v>
      </c>
      <c r="Q45" s="122">
        <v>395</v>
      </c>
      <c r="R45" s="122">
        <v>396</v>
      </c>
      <c r="S45" s="122">
        <v>397</v>
      </c>
      <c r="T45" s="122">
        <v>399</v>
      </c>
      <c r="U45" s="122">
        <v>400</v>
      </c>
      <c r="V45" s="122">
        <v>401</v>
      </c>
      <c r="W45" s="122">
        <v>403</v>
      </c>
      <c r="X45" s="122">
        <v>404</v>
      </c>
      <c r="Y45" s="122">
        <v>406</v>
      </c>
      <c r="Z45" s="122">
        <v>407</v>
      </c>
      <c r="AA45" s="123">
        <v>408</v>
      </c>
    </row>
    <row r="46" spans="1:27" ht="14.1" customHeight="1">
      <c r="A46" s="121">
        <v>0.75</v>
      </c>
      <c r="B46" s="122">
        <v>352</v>
      </c>
      <c r="C46" s="122">
        <v>355</v>
      </c>
      <c r="D46" s="122">
        <v>357</v>
      </c>
      <c r="E46" s="122">
        <v>358</v>
      </c>
      <c r="F46" s="122">
        <v>359</v>
      </c>
      <c r="G46" s="122">
        <v>360</v>
      </c>
      <c r="H46" s="122">
        <v>361</v>
      </c>
      <c r="I46" s="122">
        <v>363</v>
      </c>
      <c r="J46" s="122">
        <v>364</v>
      </c>
      <c r="K46" s="122">
        <v>366</v>
      </c>
      <c r="L46" s="122">
        <v>368</v>
      </c>
      <c r="M46" s="123">
        <v>369</v>
      </c>
      <c r="N46" s="121">
        <v>0.85</v>
      </c>
      <c r="O46" s="122">
        <v>402</v>
      </c>
      <c r="P46" s="122">
        <v>403</v>
      </c>
      <c r="Q46" s="122">
        <v>404</v>
      </c>
      <c r="R46" s="122">
        <v>405</v>
      </c>
      <c r="S46" s="122">
        <v>406</v>
      </c>
      <c r="T46" s="122">
        <v>407</v>
      </c>
      <c r="U46" s="122">
        <v>409</v>
      </c>
      <c r="V46" s="122">
        <v>410</v>
      </c>
      <c r="W46" s="122">
        <v>411</v>
      </c>
      <c r="X46" s="122">
        <v>413</v>
      </c>
      <c r="Y46" s="122">
        <v>414</v>
      </c>
      <c r="Z46" s="122">
        <v>416</v>
      </c>
      <c r="AA46" s="123">
        <v>417</v>
      </c>
    </row>
    <row r="47" spans="1:27" ht="14.1" customHeight="1">
      <c r="A47" s="121">
        <v>0.77500000000000002</v>
      </c>
      <c r="B47" s="122">
        <v>361</v>
      </c>
      <c r="C47" s="122">
        <v>365</v>
      </c>
      <c r="D47" s="122">
        <v>367</v>
      </c>
      <c r="E47" s="122">
        <v>368</v>
      </c>
      <c r="F47" s="122">
        <v>369</v>
      </c>
      <c r="G47" s="122">
        <v>370</v>
      </c>
      <c r="H47" s="122">
        <v>371</v>
      </c>
      <c r="I47" s="122">
        <v>372</v>
      </c>
      <c r="J47" s="122">
        <v>374</v>
      </c>
      <c r="K47" s="122">
        <v>375</v>
      </c>
      <c r="L47" s="122">
        <v>377</v>
      </c>
      <c r="M47" s="123">
        <v>379</v>
      </c>
      <c r="N47" s="121">
        <v>0.875</v>
      </c>
      <c r="O47" s="122">
        <v>410</v>
      </c>
      <c r="P47" s="122">
        <v>411</v>
      </c>
      <c r="Q47" s="122">
        <v>412</v>
      </c>
      <c r="R47" s="122">
        <v>413</v>
      </c>
      <c r="S47" s="122">
        <v>415</v>
      </c>
      <c r="T47" s="122">
        <v>416</v>
      </c>
      <c r="U47" s="122">
        <v>417</v>
      </c>
      <c r="V47" s="122">
        <v>418</v>
      </c>
      <c r="W47" s="122">
        <v>420</v>
      </c>
      <c r="X47" s="122">
        <v>421</v>
      </c>
      <c r="Y47" s="122">
        <v>423</v>
      </c>
      <c r="Z47" s="122">
        <v>424</v>
      </c>
      <c r="AA47" s="123">
        <v>425</v>
      </c>
    </row>
    <row r="48" spans="1:27" ht="14.1" customHeight="1" thickBot="1">
      <c r="A48" s="124">
        <v>0.8</v>
      </c>
      <c r="B48" s="125">
        <v>369</v>
      </c>
      <c r="C48" s="125">
        <v>374</v>
      </c>
      <c r="D48" s="125">
        <v>376</v>
      </c>
      <c r="E48" s="125">
        <v>377</v>
      </c>
      <c r="F48" s="125">
        <v>378</v>
      </c>
      <c r="G48" s="125">
        <v>379</v>
      </c>
      <c r="H48" s="125">
        <v>380</v>
      </c>
      <c r="I48" s="125">
        <v>382</v>
      </c>
      <c r="J48" s="125">
        <v>383</v>
      </c>
      <c r="K48" s="125">
        <v>385</v>
      </c>
      <c r="L48" s="125">
        <v>387</v>
      </c>
      <c r="M48" s="126">
        <v>389</v>
      </c>
      <c r="N48" s="124">
        <v>0.9</v>
      </c>
      <c r="O48" s="125">
        <v>419</v>
      </c>
      <c r="P48" s="125">
        <v>420</v>
      </c>
      <c r="Q48" s="125">
        <v>421</v>
      </c>
      <c r="R48" s="125">
        <v>422</v>
      </c>
      <c r="S48" s="125">
        <v>423</v>
      </c>
      <c r="T48" s="125">
        <v>424</v>
      </c>
      <c r="U48" s="125">
        <v>425</v>
      </c>
      <c r="V48" s="125">
        <v>427</v>
      </c>
      <c r="W48" s="125">
        <v>428</v>
      </c>
      <c r="X48" s="125">
        <v>429</v>
      </c>
      <c r="Y48" s="125">
        <v>431</v>
      </c>
      <c r="Z48" s="125">
        <v>432</v>
      </c>
      <c r="AA48" s="126">
        <v>434</v>
      </c>
    </row>
    <row r="50" spans="1:19" ht="14.1" customHeight="1">
      <c r="A50" s="117" t="s">
        <v>411</v>
      </c>
    </row>
    <row r="51" spans="1:19" ht="14.1" customHeight="1">
      <c r="B51" s="791" t="s">
        <v>412</v>
      </c>
      <c r="C51" s="791" t="s">
        <v>413</v>
      </c>
      <c r="D51" s="793" t="s">
        <v>414</v>
      </c>
      <c r="E51" s="794"/>
      <c r="F51" s="794"/>
      <c r="G51" s="794"/>
      <c r="H51" s="794"/>
      <c r="I51" s="794"/>
      <c r="J51" s="794"/>
      <c r="K51" s="795"/>
    </row>
    <row r="52" spans="1:19" ht="14.1" customHeight="1">
      <c r="B52" s="792"/>
      <c r="C52" s="792"/>
      <c r="D52" s="129">
        <v>0.25</v>
      </c>
      <c r="E52" s="129">
        <v>0.3</v>
      </c>
      <c r="F52" s="129">
        <v>0.35</v>
      </c>
      <c r="G52" s="129">
        <v>0.4</v>
      </c>
      <c r="H52" s="129">
        <v>0.45</v>
      </c>
      <c r="I52" s="129">
        <v>0.5</v>
      </c>
      <c r="J52" s="129">
        <v>0.55000000000000004</v>
      </c>
      <c r="K52" s="129">
        <v>0.6</v>
      </c>
      <c r="L52" s="130" t="s">
        <v>415</v>
      </c>
      <c r="M52" s="130" t="s">
        <v>416</v>
      </c>
      <c r="N52" s="130" t="s">
        <v>608</v>
      </c>
    </row>
    <row r="53" spans="1:19" ht="14.1" customHeight="1">
      <c r="A53" s="131" t="s">
        <v>417</v>
      </c>
      <c r="B53" s="122">
        <v>45</v>
      </c>
      <c r="C53" s="122">
        <v>53</v>
      </c>
      <c r="D53" s="122">
        <v>0.13</v>
      </c>
      <c r="E53" s="122">
        <v>0.155</v>
      </c>
      <c r="F53" s="122">
        <v>0.17699999999999999</v>
      </c>
      <c r="G53" s="122">
        <v>0.19800000000000001</v>
      </c>
      <c r="H53" s="122">
        <v>0.22</v>
      </c>
      <c r="I53" s="122">
        <v>0.245</v>
      </c>
      <c r="J53" s="122">
        <v>0.27200000000000002</v>
      </c>
      <c r="K53" s="122">
        <v>0.29499999999999998</v>
      </c>
      <c r="L53" s="132">
        <f>SLOPE(D53:K53,$D$52:$K$52)</f>
        <v>0.46809523809523801</v>
      </c>
      <c r="M53" s="132">
        <f>INTERCEPT(D53:K53,$D$52:$K$52)</f>
        <v>1.2559523809523854E-2</v>
      </c>
      <c r="N53" s="118">
        <f>RSQ(D53:K53,D52:K52)</f>
        <v>0.99882265140144821</v>
      </c>
    </row>
    <row r="54" spans="1:19" ht="14.1" customHeight="1">
      <c r="A54" s="131" t="s">
        <v>418</v>
      </c>
      <c r="B54" s="122">
        <v>45</v>
      </c>
      <c r="C54" s="122">
        <v>53</v>
      </c>
      <c r="D54" s="122"/>
      <c r="E54" s="122">
        <v>1.109</v>
      </c>
      <c r="F54" s="122">
        <v>1.105</v>
      </c>
      <c r="G54" s="122">
        <v>1.1020000000000001</v>
      </c>
      <c r="H54" s="122">
        <v>1.099</v>
      </c>
      <c r="I54" s="122">
        <v>1.0960000000000001</v>
      </c>
      <c r="J54" s="122">
        <v>1.091</v>
      </c>
      <c r="K54" s="122">
        <v>1.0880000000000001</v>
      </c>
      <c r="L54" s="132">
        <f>SLOPE(D54:K54,$D$52:$K$52)</f>
        <v>-6.928571428571409E-2</v>
      </c>
      <c r="M54" s="132">
        <f>INTERCEPT(D54:K54,$D$52:$K$52)</f>
        <v>1.1297499999999998</v>
      </c>
      <c r="N54" s="118">
        <f>RSQ(E54:K54,E52:K52)</f>
        <v>0.99502961082910224</v>
      </c>
    </row>
    <row r="55" spans="1:19" ht="14.1" customHeight="1">
      <c r="A55" s="131" t="s">
        <v>417</v>
      </c>
      <c r="B55" s="122">
        <v>50</v>
      </c>
      <c r="C55" s="122">
        <v>60</v>
      </c>
      <c r="D55" s="122">
        <v>0.112</v>
      </c>
      <c r="E55" s="122">
        <v>0.13500000000000001</v>
      </c>
      <c r="F55" s="122">
        <v>0.154</v>
      </c>
      <c r="G55" s="122">
        <v>0.17199999999999999</v>
      </c>
      <c r="H55" s="122">
        <v>0.192</v>
      </c>
      <c r="I55" s="122">
        <v>0.214</v>
      </c>
      <c r="J55" s="122">
        <v>0.23599999999999999</v>
      </c>
      <c r="K55" s="122">
        <v>0.26100000000000001</v>
      </c>
      <c r="L55" s="132">
        <f>SLOPE(D55:K55,$D$52:$K$52)</f>
        <v>0.41619047619047611</v>
      </c>
      <c r="M55" s="132">
        <f>INTERCEPT(D55:K55,$D$52:$K$52)</f>
        <v>7.6190476190476641E-3</v>
      </c>
      <c r="N55" s="118">
        <f>RSQ(D55:K55,D52:K52)</f>
        <v>0.99799845311258839</v>
      </c>
    </row>
    <row r="56" spans="1:19" ht="14.1" customHeight="1">
      <c r="A56" s="131" t="s">
        <v>418</v>
      </c>
      <c r="B56" s="122">
        <v>50</v>
      </c>
      <c r="C56" s="122">
        <v>60</v>
      </c>
      <c r="D56" s="122"/>
      <c r="E56" s="133">
        <v>1.1639999999999999</v>
      </c>
      <c r="F56" s="133">
        <v>1.1599999999999999</v>
      </c>
      <c r="G56" s="133">
        <v>1.151</v>
      </c>
      <c r="H56" s="133">
        <v>1.1499999999999999</v>
      </c>
      <c r="I56" s="133">
        <v>1.1439999999999999</v>
      </c>
      <c r="J56" s="133">
        <v>1.139</v>
      </c>
      <c r="K56" s="133">
        <v>1.1339999999999999</v>
      </c>
      <c r="L56" s="134">
        <f>SLOPE(D56:K56,$D$52:$K$52)</f>
        <v>-9.9285714285714269E-2</v>
      </c>
      <c r="M56" s="134">
        <f>INTERCEPT(D56:K56,$D$52:$K$52)</f>
        <v>1.1935357142857141</v>
      </c>
      <c r="N56" s="118">
        <f>RSQ(E56:K56,E52:K52)</f>
        <v>0.98455972278842285</v>
      </c>
    </row>
    <row r="57" spans="1:19" ht="14.1" customHeight="1">
      <c r="H57" s="135" t="s">
        <v>779</v>
      </c>
      <c r="I57" s="135" t="s">
        <v>780</v>
      </c>
      <c r="J57" s="135" t="s">
        <v>781</v>
      </c>
      <c r="K57" s="135" t="s">
        <v>462</v>
      </c>
    </row>
    <row r="58" spans="1:19" ht="14.1" customHeight="1">
      <c r="B58" s="122" t="s">
        <v>226</v>
      </c>
      <c r="C58" s="122" t="s">
        <v>251</v>
      </c>
      <c r="D58" s="122" t="s">
        <v>227</v>
      </c>
      <c r="G58" s="136" t="s">
        <v>595</v>
      </c>
      <c r="H58" s="135" t="e">
        <f>HVL*Sheet1!X262+M53</f>
        <v>#N/A</v>
      </c>
      <c r="I58" s="135" t="e">
        <f>HVL*L54+M54</f>
        <v>#N/A</v>
      </c>
      <c r="J58" s="135">
        <f>D59</f>
        <v>1.042</v>
      </c>
      <c r="K58" s="135" t="e">
        <f>ESE*PRODUCT(H58:J58)</f>
        <v>#N/A</v>
      </c>
    </row>
    <row r="59" spans="1:19" ht="14.1" customHeight="1">
      <c r="A59" s="131" t="s">
        <v>419</v>
      </c>
      <c r="B59" s="122">
        <v>1</v>
      </c>
      <c r="C59" s="122">
        <v>1.0169999999999999</v>
      </c>
      <c r="D59" s="122">
        <v>1.042</v>
      </c>
      <c r="F59" s="137"/>
      <c r="G59" s="136" t="s">
        <v>601</v>
      </c>
      <c r="H59" s="135" t="e">
        <f>COMBO2D_HVL*Tables!L53+Tables!M53</f>
        <v>#N/A</v>
      </c>
      <c r="I59" s="135" t="e">
        <f>COMBO2D_HVL*Tables!L54+Tables!M54</f>
        <v>#N/A</v>
      </c>
      <c r="J59" s="135">
        <f>D59</f>
        <v>1.042</v>
      </c>
      <c r="K59" s="135" t="e">
        <f>COMBO2D_ESE*PRODUCT(H59:J59)</f>
        <v>#VALUE!</v>
      </c>
    </row>
    <row r="60" spans="1:19" ht="14.1" customHeight="1">
      <c r="G60" s="136" t="s">
        <v>602</v>
      </c>
      <c r="H60" s="135" t="e">
        <f>COMBOTOMO_HVL*Tables!L53+Tables!M53</f>
        <v>#N/A</v>
      </c>
      <c r="I60" s="135" t="e">
        <f>COMBOTOMO_HVL*Tables!L54+Tables!M54</f>
        <v>#N/A</v>
      </c>
      <c r="J60" s="135">
        <f>D59</f>
        <v>1.042</v>
      </c>
      <c r="K60" s="135" t="e">
        <f>COMBOTOMO_ESE*PRODUCT(H60:J60)</f>
        <v>#VALUE!</v>
      </c>
    </row>
    <row r="61" spans="1:19" ht="14.1" customHeight="1">
      <c r="A61" s="117" t="s">
        <v>420</v>
      </c>
      <c r="C61" s="118" t="s">
        <v>762</v>
      </c>
    </row>
    <row r="62" spans="1:19" ht="14.1" customHeight="1">
      <c r="A62" s="138" t="s">
        <v>62</v>
      </c>
      <c r="B62" s="130" t="s">
        <v>258</v>
      </c>
      <c r="C62" s="130" t="s">
        <v>324</v>
      </c>
      <c r="D62" s="138" t="s">
        <v>62</v>
      </c>
      <c r="E62" s="130" t="s">
        <v>258</v>
      </c>
      <c r="F62" s="130" t="s">
        <v>324</v>
      </c>
      <c r="G62" s="138" t="s">
        <v>62</v>
      </c>
      <c r="H62" s="130" t="s">
        <v>258</v>
      </c>
      <c r="I62" s="130" t="s">
        <v>324</v>
      </c>
      <c r="K62" s="130"/>
      <c r="O62" s="753"/>
      <c r="P62" s="753"/>
      <c r="Q62" s="753"/>
      <c r="R62" s="753"/>
      <c r="S62" s="753"/>
    </row>
    <row r="63" spans="1:19" ht="14.1" customHeight="1">
      <c r="A63" s="130" t="str">
        <f>Sheet1!P371</f>
        <v>/</v>
      </c>
      <c r="B63" s="130">
        <f>Sheet1!Q371</f>
        <v>24</v>
      </c>
      <c r="C63" s="132" t="str">
        <f>Sheet1!V371</f>
        <v/>
      </c>
      <c r="D63" s="130" t="str">
        <f>Sheet1!P378</f>
        <v>/</v>
      </c>
      <c r="E63" s="130">
        <f>Sheet1!Q378</f>
        <v>28</v>
      </c>
      <c r="F63" s="132" t="str">
        <f>Sheet1!V378</f>
        <v/>
      </c>
      <c r="G63" s="139">
        <f>Sheet1!P384</f>
        <v>0</v>
      </c>
      <c r="H63" s="130">
        <f>Sheet1!Q384</f>
        <v>0</v>
      </c>
      <c r="I63" s="139">
        <f>Sheet1!V384</f>
        <v>0</v>
      </c>
      <c r="K63" s="130"/>
      <c r="O63" s="130"/>
      <c r="P63" s="130"/>
      <c r="Q63" s="130"/>
      <c r="R63" s="130"/>
      <c r="S63" s="130"/>
    </row>
    <row r="64" spans="1:19" ht="14.1" customHeight="1">
      <c r="A64" s="138"/>
      <c r="B64" s="130">
        <f>Sheet1!Q372</f>
        <v>25</v>
      </c>
      <c r="C64" s="132" t="str">
        <f>Sheet1!V372</f>
        <v/>
      </c>
      <c r="D64" s="138"/>
      <c r="E64" s="130">
        <f>Sheet1!Q379</f>
        <v>30</v>
      </c>
      <c r="F64" s="132" t="str">
        <f>Sheet1!V379</f>
        <v/>
      </c>
      <c r="G64" s="139"/>
      <c r="H64" s="130">
        <f>Sheet1!Q385</f>
        <v>0</v>
      </c>
      <c r="I64" s="139">
        <f>Sheet1!V385</f>
        <v>0</v>
      </c>
      <c r="K64" s="130"/>
      <c r="O64" s="140"/>
      <c r="P64" s="140"/>
      <c r="Q64" s="140"/>
      <c r="R64" s="140"/>
      <c r="S64" s="140"/>
    </row>
    <row r="65" spans="1:19" ht="14.1" customHeight="1">
      <c r="A65" s="130"/>
      <c r="B65" s="130">
        <f>Sheet1!Q373</f>
        <v>26</v>
      </c>
      <c r="C65" s="132" t="str">
        <f>Sheet1!V373</f>
        <v/>
      </c>
      <c r="D65" s="130"/>
      <c r="E65" s="130">
        <f>Sheet1!Q380</f>
        <v>32</v>
      </c>
      <c r="F65" s="132" t="str">
        <f>Sheet1!V380</f>
        <v/>
      </c>
      <c r="G65" s="139"/>
      <c r="H65" s="130">
        <f>Sheet1!Q386</f>
        <v>0</v>
      </c>
      <c r="I65" s="139">
        <f>Sheet1!V386</f>
        <v>0</v>
      </c>
      <c r="K65" s="130"/>
      <c r="O65" s="140"/>
      <c r="P65" s="140"/>
      <c r="Q65" s="140"/>
      <c r="R65" s="140"/>
      <c r="S65" s="140"/>
    </row>
    <row r="66" spans="1:19" ht="14.1" customHeight="1">
      <c r="A66" s="130"/>
      <c r="B66" s="130">
        <f>Sheet1!Q374</f>
        <v>28</v>
      </c>
      <c r="C66" s="132" t="str">
        <f>Sheet1!V374</f>
        <v/>
      </c>
      <c r="D66" s="130"/>
      <c r="E66" s="130">
        <f>Sheet1!Q381</f>
        <v>34</v>
      </c>
      <c r="F66" s="132" t="str">
        <f>Sheet1!V381</f>
        <v/>
      </c>
      <c r="G66" s="139"/>
      <c r="H66" s="130">
        <f>Sheet1!Q387</f>
        <v>0</v>
      </c>
      <c r="I66" s="139">
        <f>Sheet1!V387</f>
        <v>0</v>
      </c>
      <c r="K66" s="130"/>
      <c r="O66" s="140"/>
      <c r="P66" s="140"/>
      <c r="Q66" s="140"/>
      <c r="R66" s="140"/>
      <c r="S66" s="140"/>
    </row>
    <row r="67" spans="1:19" ht="14.1" customHeight="1">
      <c r="A67" s="130"/>
      <c r="B67" s="130">
        <f>Sheet1!Q375</f>
        <v>30</v>
      </c>
      <c r="C67" s="132" t="str">
        <f>Sheet1!V375</f>
        <v/>
      </c>
      <c r="D67" s="130"/>
      <c r="E67" s="130" t="str">
        <f>Sheet1!Q382</f>
        <v/>
      </c>
      <c r="F67" s="132" t="str">
        <f>Sheet1!V382</f>
        <v/>
      </c>
      <c r="G67" s="139"/>
      <c r="H67" s="130">
        <f>Sheet1!Q388</f>
        <v>0</v>
      </c>
      <c r="I67" s="139">
        <f>Sheet1!V388</f>
        <v>0</v>
      </c>
      <c r="K67" s="130"/>
      <c r="O67" s="140"/>
      <c r="P67" s="140"/>
      <c r="Q67" s="140"/>
      <c r="R67" s="140"/>
      <c r="S67" s="140"/>
    </row>
    <row r="68" spans="1:19" ht="14.1" customHeight="1">
      <c r="A68" s="130"/>
      <c r="B68" s="130">
        <f>Sheet1!Q376</f>
        <v>32</v>
      </c>
      <c r="C68" s="132" t="str">
        <f>Sheet1!V376</f>
        <v/>
      </c>
      <c r="D68" s="130"/>
      <c r="E68" s="130" t="str">
        <f>Sheet1!Q383</f>
        <v/>
      </c>
      <c r="F68" s="132" t="str">
        <f>Sheet1!V383</f>
        <v/>
      </c>
      <c r="G68" s="130"/>
      <c r="I68" s="140"/>
      <c r="O68" s="140"/>
      <c r="P68" s="140"/>
      <c r="Q68" s="140"/>
      <c r="R68" s="140"/>
      <c r="S68" s="140"/>
    </row>
    <row r="69" spans="1:19" ht="14.1" customHeight="1">
      <c r="A69" s="130"/>
      <c r="B69" s="130">
        <v>34</v>
      </c>
      <c r="C69" s="132" t="str">
        <f>Sheet1!V377</f>
        <v/>
      </c>
      <c r="E69" s="130"/>
      <c r="F69" s="130"/>
      <c r="G69" s="130"/>
      <c r="I69" s="140"/>
      <c r="O69" s="140"/>
      <c r="P69" s="140"/>
      <c r="Q69" s="140"/>
      <c r="R69" s="140"/>
      <c r="S69" s="140"/>
    </row>
    <row r="70" spans="1:19" ht="14.1" customHeight="1">
      <c r="A70" s="130"/>
      <c r="B70" s="130" t="str">
        <f>A63</f>
        <v>/</v>
      </c>
      <c r="C70" s="130" t="str">
        <f>D63</f>
        <v>/</v>
      </c>
      <c r="D70" s="139">
        <f>G63</f>
        <v>0</v>
      </c>
      <c r="O70" s="140"/>
      <c r="P70" s="140"/>
      <c r="Q70" s="140"/>
      <c r="R70" s="140"/>
      <c r="S70" s="140"/>
    </row>
    <row r="71" spans="1:19" ht="14.1" customHeight="1">
      <c r="A71" s="136" t="s">
        <v>424</v>
      </c>
      <c r="B71" s="118" t="e">
        <f>SLOPE(C63:C69,$B$63:$B$69)</f>
        <v>#DIV/0!</v>
      </c>
      <c r="C71" s="118" t="e">
        <f>SLOPE(F63:F68,$E$63:$E$68)</f>
        <v>#DIV/0!</v>
      </c>
      <c r="D71" s="118" t="e">
        <f>SLOPE(I63:I67,$H$63:$H$67)</f>
        <v>#DIV/0!</v>
      </c>
      <c r="G71" s="136"/>
      <c r="K71" s="136"/>
      <c r="O71" s="140"/>
      <c r="P71" s="140"/>
      <c r="Q71" s="140"/>
      <c r="R71" s="140"/>
      <c r="S71" s="140"/>
    </row>
    <row r="72" spans="1:19" ht="14.1" customHeight="1">
      <c r="A72" s="136" t="s">
        <v>425</v>
      </c>
      <c r="B72" s="118" t="e">
        <f>INTERCEPT(C63:C69,$B$63:$B$69)</f>
        <v>#DIV/0!</v>
      </c>
      <c r="C72" s="118" t="e">
        <f>INTERCEPT(F63:F68,$E$63:$E$68)</f>
        <v>#DIV/0!</v>
      </c>
      <c r="D72" s="118" t="e">
        <f>INTERCEPT(I63:I67,$H$63:$H$67)</f>
        <v>#DIV/0!</v>
      </c>
      <c r="G72" s="136"/>
      <c r="K72" s="136"/>
      <c r="O72" s="140"/>
      <c r="P72" s="140"/>
      <c r="Q72" s="140"/>
      <c r="R72" s="140"/>
      <c r="S72" s="140"/>
    </row>
    <row r="73" spans="1:19" ht="14.1" customHeight="1">
      <c r="A73" s="136" t="s">
        <v>518</v>
      </c>
      <c r="B73" s="118" t="e">
        <f>RSQ(C63:C69,B63:B69)</f>
        <v>#DIV/0!</v>
      </c>
      <c r="C73" s="118" t="e">
        <f>RSQ(F63:F68,E63:E68)</f>
        <v>#DIV/0!</v>
      </c>
      <c r="D73" s="118" t="e">
        <f>RSQ(I63:I67,H63:H67)</f>
        <v>#DIV/0!</v>
      </c>
      <c r="O73" s="140"/>
      <c r="P73" s="140"/>
      <c r="Q73" s="140"/>
      <c r="R73" s="140"/>
      <c r="S73" s="140"/>
    </row>
    <row r="74" spans="1:19" ht="14.1" customHeight="1">
      <c r="A74" s="117" t="s">
        <v>339</v>
      </c>
      <c r="C74" s="118" t="s">
        <v>600</v>
      </c>
      <c r="O74" s="140"/>
      <c r="P74" s="140"/>
      <c r="Q74" s="140"/>
      <c r="R74" s="140"/>
      <c r="S74" s="140"/>
    </row>
    <row r="75" spans="1:19" ht="14.1" customHeight="1">
      <c r="A75" s="138" t="s">
        <v>62</v>
      </c>
      <c r="B75" s="130" t="s">
        <v>258</v>
      </c>
      <c r="C75" s="130" t="s">
        <v>342</v>
      </c>
      <c r="D75" s="138" t="s">
        <v>62</v>
      </c>
      <c r="E75" s="130" t="s">
        <v>258</v>
      </c>
      <c r="F75" s="130" t="s">
        <v>342</v>
      </c>
      <c r="G75" s="138" t="s">
        <v>62</v>
      </c>
      <c r="H75" s="130" t="s">
        <v>258</v>
      </c>
      <c r="I75" s="130" t="s">
        <v>342</v>
      </c>
      <c r="K75" s="141" t="s">
        <v>17</v>
      </c>
      <c r="L75" s="141" t="s">
        <v>18</v>
      </c>
      <c r="M75" s="141" t="s">
        <v>426</v>
      </c>
      <c r="O75" s="140"/>
      <c r="P75" s="140"/>
      <c r="Q75" s="140"/>
      <c r="R75" s="140"/>
      <c r="S75" s="140"/>
    </row>
    <row r="76" spans="1:19" ht="14.1" customHeight="1">
      <c r="A76" s="130" t="str">
        <f>Sheet1!P371</f>
        <v>/</v>
      </c>
      <c r="B76" s="140" t="e">
        <f>AVERAGE(Sheet1!#REF!)</f>
        <v>#REF!</v>
      </c>
      <c r="C76" s="140" t="e">
        <f>AVERAGE(Sheet1!#REF!)</f>
        <v>#REF!</v>
      </c>
      <c r="D76" s="130" t="str">
        <f>Sheet1!P378</f>
        <v>/</v>
      </c>
      <c r="E76" s="140" t="e">
        <f>AVERAGE(Sheet1!#REF!)</f>
        <v>#REF!</v>
      </c>
      <c r="F76" s="140" t="e">
        <f>AVERAGE(Sheet1!#REF!)</f>
        <v>#REF!</v>
      </c>
      <c r="G76" s="130">
        <f>Sheet1!P384</f>
        <v>0</v>
      </c>
      <c r="H76" s="140" t="e">
        <f>AVERAGE(Sheet1!#REF!)</f>
        <v>#REF!</v>
      </c>
      <c r="I76" s="140" t="e">
        <f>AVERAGE(Sheet1!#REF!)</f>
        <v>#REF!</v>
      </c>
      <c r="K76" s="141" t="s">
        <v>24</v>
      </c>
      <c r="L76" s="141" t="s">
        <v>24</v>
      </c>
      <c r="M76" s="141">
        <v>0.12</v>
      </c>
      <c r="O76" s="140"/>
      <c r="P76" s="140"/>
      <c r="Q76" s="140"/>
      <c r="R76" s="140"/>
      <c r="S76" s="140"/>
    </row>
    <row r="77" spans="1:19" ht="14.1" customHeight="1">
      <c r="A77" s="138"/>
      <c r="B77" s="140" t="e">
        <f>AVERAGE(Sheet1!#REF!)</f>
        <v>#REF!</v>
      </c>
      <c r="C77" s="140" t="e">
        <f>AVERAGE(Sheet1!#REF!)</f>
        <v>#REF!</v>
      </c>
      <c r="D77" s="138"/>
      <c r="E77" s="140" t="e">
        <f>AVERAGE(Sheet1!#REF!)</f>
        <v>#REF!</v>
      </c>
      <c r="F77" s="140" t="e">
        <f>AVERAGE(Sheet1!#REF!)</f>
        <v>#REF!</v>
      </c>
      <c r="H77" s="140" t="e">
        <f>AVERAGE(Sheet1!#REF!)</f>
        <v>#REF!</v>
      </c>
      <c r="I77" s="140" t="e">
        <f>AVERAGE(Sheet1!#REF!)</f>
        <v>#REF!</v>
      </c>
      <c r="K77" s="141" t="s">
        <v>24</v>
      </c>
      <c r="L77" s="141" t="s">
        <v>46</v>
      </c>
      <c r="M77" s="141">
        <v>0.19</v>
      </c>
      <c r="O77" s="140"/>
      <c r="P77" s="140"/>
      <c r="Q77" s="140"/>
      <c r="R77" s="140"/>
      <c r="S77" s="140"/>
    </row>
    <row r="78" spans="1:19" ht="14.1" customHeight="1">
      <c r="A78" s="130"/>
      <c r="B78" s="140" t="e">
        <f>Sheet1!#REF!</f>
        <v>#REF!</v>
      </c>
      <c r="C78" s="140" t="e">
        <f>Sheet1!#REF!</f>
        <v>#REF!</v>
      </c>
      <c r="D78" s="130"/>
      <c r="E78" s="140" t="e">
        <f>AVERAGE(Sheet1!#REF!)</f>
        <v>#REF!</v>
      </c>
      <c r="F78" s="140" t="e">
        <f>AVERAGE(Sheet1!#REF!)</f>
        <v>#REF!</v>
      </c>
      <c r="H78" s="140" t="e">
        <f>AVERAGE(Sheet1!#REF!)</f>
        <v>#REF!</v>
      </c>
      <c r="I78" s="140" t="e">
        <f>AVERAGE(Sheet1!#REF!)</f>
        <v>#REF!</v>
      </c>
      <c r="K78" s="141" t="s">
        <v>46</v>
      </c>
      <c r="L78" s="141" t="s">
        <v>46</v>
      </c>
      <c r="M78" s="141">
        <v>0.22</v>
      </c>
      <c r="O78" s="140"/>
      <c r="P78" s="140"/>
      <c r="Q78" s="140"/>
      <c r="R78" s="140"/>
      <c r="S78" s="140"/>
    </row>
    <row r="79" spans="1:19" ht="14.1" customHeight="1">
      <c r="B79" s="140" t="e">
        <f>AVERAGE(Sheet1!#REF!)</f>
        <v>#REF!</v>
      </c>
      <c r="C79" s="140" t="e">
        <f>AVERAGE(Sheet1!#REF!)</f>
        <v>#REF!</v>
      </c>
      <c r="E79" s="140" t="e">
        <f>AVERAGE(Sheet1!#REF!)</f>
        <v>#REF!</v>
      </c>
      <c r="F79" s="140" t="e">
        <f>AVERAGE(Sheet1!#REF!)</f>
        <v>#REF!</v>
      </c>
      <c r="H79" s="140" t="e">
        <f>AVERAGE(Sheet1!#REF!)</f>
        <v>#REF!</v>
      </c>
      <c r="I79" s="140" t="e">
        <f>AVERAGE(Sheet1!#REF!)</f>
        <v>#REF!</v>
      </c>
      <c r="K79" s="142" t="s">
        <v>427</v>
      </c>
      <c r="L79" s="142" t="s">
        <v>428</v>
      </c>
      <c r="M79" s="142"/>
      <c r="O79" s="140"/>
      <c r="P79" s="140"/>
      <c r="Q79" s="140"/>
      <c r="R79" s="140"/>
      <c r="S79" s="140"/>
    </row>
    <row r="80" spans="1:19" ht="14.1" customHeight="1">
      <c r="B80" s="140" t="e">
        <f>Sheet1!#REF!</f>
        <v>#REF!</v>
      </c>
      <c r="C80" s="140" t="e">
        <f>Sheet1!#REF!</f>
        <v>#REF!</v>
      </c>
      <c r="E80" s="130">
        <f>AM41</f>
        <v>0</v>
      </c>
      <c r="F80" s="130">
        <f>AQ41</f>
        <v>0</v>
      </c>
      <c r="H80" s="130" t="e">
        <f>AVERAGE(Sheet1!#REF!)</f>
        <v>#REF!</v>
      </c>
      <c r="I80" s="118" t="e">
        <f>AVERAGE(Sheet1!#REF!)</f>
        <v>#REF!</v>
      </c>
      <c r="K80" s="142"/>
      <c r="L80" s="142" t="s">
        <v>429</v>
      </c>
      <c r="M80" s="142"/>
      <c r="O80" s="140"/>
      <c r="P80" s="140"/>
      <c r="Q80" s="140"/>
      <c r="R80" s="140"/>
      <c r="S80" s="140"/>
    </row>
    <row r="81" spans="1:19" ht="14.1" customHeight="1">
      <c r="B81" s="140" t="e">
        <f>AVERAGE(Sheet1!#REF!)</f>
        <v>#REF!</v>
      </c>
      <c r="C81" s="140" t="e">
        <f>AVERAGE(Sheet1!#REF!)</f>
        <v>#REF!</v>
      </c>
      <c r="E81" s="130">
        <f>AM42</f>
        <v>0</v>
      </c>
      <c r="F81" s="130">
        <f>AQ42</f>
        <v>0</v>
      </c>
      <c r="H81" s="136"/>
      <c r="K81" s="142"/>
      <c r="L81" s="142" t="s">
        <v>430</v>
      </c>
      <c r="M81" s="142"/>
      <c r="O81" s="140"/>
      <c r="P81" s="140"/>
      <c r="Q81" s="140"/>
      <c r="R81" s="140"/>
      <c r="S81" s="140"/>
    </row>
    <row r="82" spans="1:19" ht="14.1" customHeight="1">
      <c r="B82" s="140" t="e">
        <f>AVERAGE(Sheet1!#REF!)</f>
        <v>#REF!</v>
      </c>
      <c r="C82" s="140" t="e">
        <f>AVERAGE(Sheet1!#REF!)</f>
        <v>#REF!</v>
      </c>
      <c r="H82" s="136"/>
      <c r="K82" s="142"/>
      <c r="L82" s="142"/>
      <c r="M82" s="142"/>
      <c r="O82" s="140"/>
      <c r="P82" s="140"/>
      <c r="Q82" s="140"/>
      <c r="R82" s="140"/>
      <c r="S82" s="140"/>
    </row>
    <row r="83" spans="1:19" ht="14.1" customHeight="1">
      <c r="B83" s="130" t="str">
        <f>A76</f>
        <v>/</v>
      </c>
      <c r="C83" s="130" t="str">
        <f>D76</f>
        <v>/</v>
      </c>
      <c r="D83" s="130">
        <f>G76</f>
        <v>0</v>
      </c>
      <c r="K83" s="142"/>
      <c r="M83" s="142"/>
      <c r="O83" s="140"/>
      <c r="P83" s="140"/>
      <c r="Q83" s="140"/>
      <c r="R83" s="140"/>
      <c r="S83" s="140"/>
    </row>
    <row r="84" spans="1:19" ht="14.1" customHeight="1">
      <c r="A84" s="136" t="s">
        <v>424</v>
      </c>
      <c r="B84" s="130" t="e">
        <f>SLOPE(C76:C82,B76:B82)</f>
        <v>#REF!</v>
      </c>
      <c r="C84" s="130" t="e">
        <f>SLOPE(F76:F81,E76:E81)</f>
        <v>#REF!</v>
      </c>
      <c r="D84" s="130" t="e">
        <f>SLOPE(I76:I80,H76:H80)</f>
        <v>#REF!</v>
      </c>
      <c r="K84" s="142"/>
      <c r="L84" s="142"/>
      <c r="M84" s="142"/>
      <c r="O84" s="140"/>
      <c r="P84" s="140"/>
      <c r="Q84" s="140"/>
      <c r="R84" s="140"/>
      <c r="S84" s="140"/>
    </row>
    <row r="85" spans="1:19" ht="14.1" customHeight="1">
      <c r="A85" s="136" t="s">
        <v>425</v>
      </c>
      <c r="B85" s="130" t="e">
        <f>INTERCEPT(C76:C82,B76:B82)</f>
        <v>#REF!</v>
      </c>
      <c r="C85" s="130" t="e">
        <f>INTERCEPT(F76:F81,E76:E81)</f>
        <v>#REF!</v>
      </c>
      <c r="D85" s="130" t="e">
        <f>INTERCEPT(I76:I80,H76:H80)</f>
        <v>#REF!</v>
      </c>
      <c r="K85" s="142"/>
      <c r="L85" s="142"/>
      <c r="M85" s="142"/>
      <c r="O85" s="140"/>
      <c r="P85" s="140"/>
      <c r="Q85" s="140"/>
      <c r="R85" s="140"/>
      <c r="S85" s="140"/>
    </row>
    <row r="86" spans="1:19" ht="14.1" customHeight="1">
      <c r="A86" s="136" t="s">
        <v>518</v>
      </c>
      <c r="B86" s="118" t="e">
        <f>RSQ(C76:C82,B76:B82)</f>
        <v>#REF!</v>
      </c>
      <c r="C86" s="118" t="e">
        <f>RSQ(F76:F81,E76:E81)</f>
        <v>#REF!</v>
      </c>
      <c r="D86" s="118" t="e">
        <f>RSQ(I76:I80,H76:H80)</f>
        <v>#REF!</v>
      </c>
      <c r="O86" s="140"/>
      <c r="P86" s="140"/>
      <c r="Q86" s="140"/>
      <c r="R86" s="140"/>
      <c r="S86" s="140"/>
    </row>
    <row r="87" spans="1:19" ht="14.1" customHeight="1">
      <c r="A87" s="117" t="s">
        <v>431</v>
      </c>
      <c r="B87" s="118" t="e">
        <f>"DGN values (mrad/R) for "&amp;Sheet1!$T$259&amp;" kV and HVL="&amp;ROUND(Sheet1!$X$262,2)&amp;" mm Al"</f>
        <v>#N/A</v>
      </c>
      <c r="O87" s="140"/>
      <c r="P87" s="140"/>
      <c r="Q87" s="140"/>
      <c r="R87" s="140"/>
      <c r="S87" s="140"/>
    </row>
    <row r="88" spans="1:19" ht="14.1" customHeight="1">
      <c r="A88" s="143" t="s">
        <v>226</v>
      </c>
      <c r="B88" s="143" t="s">
        <v>251</v>
      </c>
      <c r="C88" s="143" t="s">
        <v>432</v>
      </c>
      <c r="D88" s="143" t="str">
        <f>Sheet1!R18</f>
        <v/>
      </c>
      <c r="E88" s="143" t="s">
        <v>422</v>
      </c>
      <c r="F88" s="143" t="s">
        <v>227</v>
      </c>
      <c r="O88" s="140"/>
      <c r="P88" s="140"/>
      <c r="Q88" s="140"/>
      <c r="R88" s="140"/>
      <c r="S88" s="140"/>
    </row>
    <row r="89" spans="1:19" ht="14.1" customHeight="1">
      <c r="A89" s="144" t="e">
        <f>IF(Sheet1!$X$262="","",VLOOKUP(Sheet1!X262,A3:J23,MATCH(Sheet1!T259,A3:J3,0)))</f>
        <v>#N/A</v>
      </c>
      <c r="B89" s="144" t="e">
        <f>IF(Sheet1!$X$262="","",VLOOKUP(Sheet1!X262,K3:T23,MATCH(Sheet1!T259,K3:T3,0)))</f>
        <v>#N/A</v>
      </c>
      <c r="C89" s="144" t="e">
        <f>IF(Sheet1!$X$262="","",VLOOKUP(Sheet1!X262,U3:AD23,MATCH(Sheet1!T259,U3:AD3,0)))</f>
        <v>#N/A</v>
      </c>
      <c r="D89" s="132" t="e">
        <f>IF(Sheet1!$X$262="","",(L53*Sheet1!$X$262+M53)*(L54*Sheet1!$X$262+M54)*HLOOKUP(Sheet1!$Q$260,B58:D59,2))</f>
        <v>#N/A</v>
      </c>
      <c r="E89" s="130" t="e">
        <f>IF(ISERR(Sheet1!$X$262),"TBD",VLOOKUP(Sheet1!X262,N27:AA48,MATCH(Sheet1!$T$259,N27:AA27,0)))</f>
        <v>#N/A</v>
      </c>
      <c r="F89" s="130" t="e">
        <f>IF(ISERR(Sheet1!$X$262),"TBD",VLOOKUP(Sheet1!X262,A27:M48,MATCH(Sheet1!T259,A27:M27,0)))</f>
        <v>#N/A</v>
      </c>
      <c r="O89" s="140"/>
      <c r="P89" s="140"/>
      <c r="Q89" s="140"/>
      <c r="R89" s="140"/>
      <c r="S89" s="140"/>
    </row>
    <row r="90" spans="1:19" ht="14.1" customHeight="1">
      <c r="O90" s="140"/>
      <c r="P90" s="140"/>
      <c r="Q90" s="140"/>
      <c r="R90" s="140"/>
      <c r="S90" s="140"/>
    </row>
    <row r="91" spans="1:19" ht="14.1" customHeight="1">
      <c r="A91" s="117" t="s">
        <v>433</v>
      </c>
      <c r="O91" s="140"/>
      <c r="P91" s="140"/>
      <c r="Q91" s="140"/>
      <c r="R91" s="140"/>
      <c r="S91" s="140"/>
    </row>
    <row r="92" spans="1:19" ht="14.1" customHeight="1">
      <c r="B92" s="130" t="s">
        <v>258</v>
      </c>
      <c r="D92" s="122" t="s">
        <v>434</v>
      </c>
      <c r="E92" s="122" t="s">
        <v>435</v>
      </c>
      <c r="F92" s="122" t="s">
        <v>421</v>
      </c>
      <c r="G92" s="122" t="s">
        <v>436</v>
      </c>
      <c r="H92" s="122" t="s">
        <v>437</v>
      </c>
      <c r="I92" s="122" t="s">
        <v>438</v>
      </c>
      <c r="J92" s="122" t="s">
        <v>439</v>
      </c>
      <c r="O92" s="140"/>
      <c r="P92" s="140"/>
      <c r="Q92" s="140"/>
      <c r="R92" s="140"/>
      <c r="S92" s="140"/>
    </row>
    <row r="93" spans="1:19" ht="14.1" customHeight="1">
      <c r="A93" s="118" t="s">
        <v>227</v>
      </c>
      <c r="B93" s="130" t="s">
        <v>440</v>
      </c>
      <c r="C93" s="122">
        <v>27.585999999999999</v>
      </c>
      <c r="D93" s="122">
        <v>-8375.0727645925508</v>
      </c>
      <c r="E93" s="122">
        <v>975.92543560432796</v>
      </c>
      <c r="F93" s="122">
        <v>-37.913729682039403</v>
      </c>
      <c r="G93" s="122">
        <v>0.49086583472609402</v>
      </c>
      <c r="H93" s="122">
        <v>0</v>
      </c>
      <c r="I93" s="122">
        <v>0</v>
      </c>
      <c r="J93" s="122">
        <v>0</v>
      </c>
      <c r="O93" s="140"/>
      <c r="P93" s="140"/>
      <c r="Q93" s="140"/>
      <c r="R93" s="140"/>
      <c r="S93" s="140"/>
    </row>
    <row r="94" spans="1:19" ht="14.1" customHeight="1">
      <c r="B94" s="130" t="s">
        <v>441</v>
      </c>
      <c r="C94" s="122">
        <v>27.585999999999999</v>
      </c>
      <c r="D94" s="122">
        <v>-9984.6167916494396</v>
      </c>
      <c r="E94" s="122">
        <v>1436.52454571413</v>
      </c>
      <c r="F94" s="122">
        <v>-82.505102185254898</v>
      </c>
      <c r="G94" s="122">
        <v>2.36559081763837</v>
      </c>
      <c r="H94" s="122">
        <v>-3.38672433779705E-2</v>
      </c>
      <c r="I94" s="122">
        <v>1.93686920423126E-4</v>
      </c>
      <c r="J94" s="122">
        <v>0</v>
      </c>
      <c r="O94" s="140"/>
      <c r="P94" s="140"/>
      <c r="Q94" s="140"/>
      <c r="R94" s="140"/>
      <c r="S94" s="140"/>
    </row>
    <row r="95" spans="1:19" ht="14.1" customHeight="1">
      <c r="C95" s="118" t="s">
        <v>442</v>
      </c>
      <c r="O95" s="140"/>
      <c r="P95" s="140"/>
      <c r="Q95" s="140"/>
      <c r="R95" s="140"/>
      <c r="S95" s="140"/>
    </row>
    <row r="96" spans="1:19" ht="14.1" customHeight="1">
      <c r="C96" s="118" t="s">
        <v>443</v>
      </c>
      <c r="O96" s="140"/>
      <c r="P96" s="140"/>
      <c r="Q96" s="140"/>
      <c r="R96" s="140"/>
      <c r="S96" s="140"/>
    </row>
    <row r="97" spans="1:19" ht="14.1" customHeight="1">
      <c r="B97" s="130" t="s">
        <v>258</v>
      </c>
      <c r="D97" s="122" t="s">
        <v>434</v>
      </c>
      <c r="E97" s="122" t="s">
        <v>435</v>
      </c>
      <c r="F97" s="122" t="s">
        <v>421</v>
      </c>
      <c r="G97" s="122" t="s">
        <v>436</v>
      </c>
      <c r="H97" s="122" t="s">
        <v>437</v>
      </c>
      <c r="I97" s="122" t="s">
        <v>438</v>
      </c>
      <c r="J97" s="122" t="s">
        <v>439</v>
      </c>
      <c r="O97" s="140"/>
      <c r="P97" s="140"/>
      <c r="Q97" s="140"/>
      <c r="R97" s="140"/>
      <c r="S97" s="140"/>
    </row>
    <row r="98" spans="1:19" ht="14.1" customHeight="1">
      <c r="A98" s="118" t="s">
        <v>422</v>
      </c>
      <c r="B98" s="130" t="s">
        <v>440</v>
      </c>
      <c r="C98" s="122">
        <v>30.1</v>
      </c>
      <c r="D98" s="122">
        <v>-540847.69550077303</v>
      </c>
      <c r="E98" s="122">
        <v>100186.23364273099</v>
      </c>
      <c r="F98" s="122">
        <v>-7418.4790179812599</v>
      </c>
      <c r="G98" s="122">
        <v>274.47660929577501</v>
      </c>
      <c r="H98" s="122">
        <v>-5.07436954359087</v>
      </c>
      <c r="I98" s="122">
        <v>3.7500574787580898E-2</v>
      </c>
      <c r="J98" s="122">
        <v>0</v>
      </c>
      <c r="O98" s="140"/>
      <c r="P98" s="140"/>
      <c r="Q98" s="140"/>
      <c r="R98" s="140"/>
      <c r="S98" s="140"/>
    </row>
    <row r="99" spans="1:19" ht="14.1" customHeight="1">
      <c r="B99" s="130" t="s">
        <v>441</v>
      </c>
      <c r="C99" s="122">
        <v>30.1</v>
      </c>
      <c r="D99" s="122">
        <v>-11057.773936199201</v>
      </c>
      <c r="E99" s="122">
        <v>1297.2285673766901</v>
      </c>
      <c r="F99" s="122">
        <v>-56.989188989725697</v>
      </c>
      <c r="G99" s="122">
        <v>1.1115828564217201</v>
      </c>
      <c r="H99" s="122">
        <v>-8.1233997365129599E-3</v>
      </c>
      <c r="I99" s="122">
        <v>0</v>
      </c>
      <c r="J99" s="122">
        <v>0</v>
      </c>
      <c r="O99" s="140"/>
      <c r="P99" s="140"/>
      <c r="Q99" s="140"/>
      <c r="R99" s="140"/>
      <c r="S99" s="140"/>
    </row>
    <row r="100" spans="1:19" ht="14.1" customHeight="1">
      <c r="C100" s="118" t="s">
        <v>444</v>
      </c>
      <c r="O100" s="140"/>
      <c r="P100" s="140"/>
      <c r="Q100" s="140"/>
      <c r="R100" s="140"/>
      <c r="S100" s="140"/>
    </row>
    <row r="101" spans="1:19" ht="14.1" customHeight="1">
      <c r="C101" s="118" t="s">
        <v>445</v>
      </c>
      <c r="O101" s="140"/>
      <c r="P101" s="140"/>
      <c r="Q101" s="140"/>
      <c r="R101" s="140"/>
      <c r="S101" s="140"/>
    </row>
    <row r="102" spans="1:19" ht="14.1" customHeight="1">
      <c r="O102" s="140"/>
      <c r="P102" s="140"/>
      <c r="Q102" s="140"/>
      <c r="R102" s="140"/>
      <c r="S102" s="140"/>
    </row>
    <row r="103" spans="1:19" ht="14.1" customHeight="1">
      <c r="A103" s="117" t="s">
        <v>446</v>
      </c>
      <c r="O103" s="140"/>
      <c r="P103" s="140"/>
      <c r="Q103" s="140"/>
      <c r="R103" s="140"/>
      <c r="S103" s="140"/>
    </row>
    <row r="104" spans="1:19" ht="14.1" customHeight="1">
      <c r="B104" s="130" t="s">
        <v>258</v>
      </c>
      <c r="D104" s="122" t="s">
        <v>434</v>
      </c>
      <c r="E104" s="122" t="s">
        <v>435</v>
      </c>
      <c r="F104" s="122" t="s">
        <v>421</v>
      </c>
      <c r="G104" s="122" t="s">
        <v>436</v>
      </c>
      <c r="H104" s="122" t="s">
        <v>437</v>
      </c>
      <c r="O104" s="140"/>
      <c r="P104" s="140"/>
      <c r="Q104" s="140"/>
      <c r="R104" s="140"/>
      <c r="S104" s="140"/>
    </row>
    <row r="105" spans="1:19" ht="14.1" customHeight="1">
      <c r="A105" s="118" t="s">
        <v>227</v>
      </c>
      <c r="B105" s="130" t="s">
        <v>440</v>
      </c>
      <c r="C105" s="122">
        <v>26.9</v>
      </c>
      <c r="D105" s="131">
        <v>138.88667000000001</v>
      </c>
      <c r="E105" s="131">
        <v>-10.72639</v>
      </c>
      <c r="F105" s="131">
        <v>0.26216</v>
      </c>
      <c r="G105" s="131">
        <v>-8.1999999999999998E-4</v>
      </c>
      <c r="H105" s="131"/>
      <c r="O105" s="140"/>
      <c r="P105" s="140"/>
      <c r="Q105" s="140"/>
      <c r="R105" s="140"/>
      <c r="S105" s="140"/>
    </row>
    <row r="106" spans="1:19" ht="14.1" customHeight="1">
      <c r="B106" s="130" t="s">
        <v>441</v>
      </c>
      <c r="C106" s="122">
        <v>26.9</v>
      </c>
      <c r="D106" s="131">
        <v>-5009.7751651999997</v>
      </c>
      <c r="E106" s="131">
        <v>605.73200599999996</v>
      </c>
      <c r="F106" s="131">
        <v>-27.3018617</v>
      </c>
      <c r="G106" s="131">
        <v>0.54671139999999996</v>
      </c>
      <c r="H106" s="131">
        <v>-4.0986E-3</v>
      </c>
      <c r="O106" s="140"/>
      <c r="P106" s="140"/>
      <c r="Q106" s="140"/>
      <c r="R106" s="140"/>
      <c r="S106" s="140"/>
    </row>
    <row r="107" spans="1:19" ht="14.1" customHeight="1">
      <c r="O107" s="140"/>
      <c r="P107" s="140"/>
      <c r="Q107" s="140"/>
      <c r="R107" s="140"/>
      <c r="S107" s="140"/>
    </row>
    <row r="108" spans="1:19" ht="14.1" customHeight="1">
      <c r="A108" s="118" t="s">
        <v>422</v>
      </c>
      <c r="B108" s="130" t="s">
        <v>258</v>
      </c>
      <c r="D108" s="122" t="s">
        <v>434</v>
      </c>
      <c r="E108" s="122" t="s">
        <v>435</v>
      </c>
      <c r="F108" s="122" t="s">
        <v>421</v>
      </c>
      <c r="G108" s="122" t="s">
        <v>436</v>
      </c>
      <c r="H108" s="122" t="s">
        <v>437</v>
      </c>
      <c r="O108" s="140"/>
      <c r="P108" s="140"/>
      <c r="Q108" s="140"/>
      <c r="R108" s="140"/>
      <c r="S108" s="140"/>
    </row>
    <row r="109" spans="1:19" ht="14.1" customHeight="1">
      <c r="B109" s="130" t="s">
        <v>440</v>
      </c>
      <c r="C109" s="122">
        <v>28.7</v>
      </c>
      <c r="D109" s="122">
        <v>296.34185000000002</v>
      </c>
      <c r="E109" s="122">
        <v>-31.629249999999999</v>
      </c>
      <c r="F109" s="122">
        <v>1.18025</v>
      </c>
      <c r="G109" s="122">
        <v>-1.417E-2</v>
      </c>
      <c r="H109" s="122"/>
      <c r="O109" s="140"/>
      <c r="P109" s="140"/>
      <c r="Q109" s="140"/>
      <c r="R109" s="140"/>
      <c r="S109" s="140"/>
    </row>
    <row r="110" spans="1:19" ht="14.1" customHeight="1">
      <c r="B110" s="130" t="s">
        <v>441</v>
      </c>
      <c r="C110" s="122">
        <v>28.7</v>
      </c>
      <c r="D110" s="122">
        <v>4.8344690000000003</v>
      </c>
      <c r="E110" s="122">
        <v>0.919242</v>
      </c>
      <c r="F110" s="122"/>
      <c r="G110" s="122"/>
      <c r="H110" s="122"/>
      <c r="O110" s="140"/>
      <c r="P110" s="140"/>
      <c r="Q110" s="140"/>
      <c r="R110" s="140"/>
      <c r="S110" s="140"/>
    </row>
    <row r="111" spans="1:19" ht="14.1" customHeight="1">
      <c r="O111" s="140"/>
      <c r="P111" s="140"/>
      <c r="Q111" s="140"/>
      <c r="R111" s="140"/>
      <c r="S111" s="140"/>
    </row>
    <row r="112" spans="1:19" ht="14.1" customHeight="1">
      <c r="A112" s="118" t="s">
        <v>423</v>
      </c>
      <c r="D112" s="122" t="s">
        <v>434</v>
      </c>
      <c r="E112" s="122" t="s">
        <v>435</v>
      </c>
      <c r="F112" s="122" t="s">
        <v>421</v>
      </c>
      <c r="G112" s="122" t="s">
        <v>436</v>
      </c>
      <c r="H112" s="122" t="s">
        <v>437</v>
      </c>
      <c r="O112" s="140"/>
      <c r="P112" s="140"/>
      <c r="Q112" s="140"/>
      <c r="R112" s="140"/>
      <c r="S112" s="140"/>
    </row>
    <row r="113" spans="1:19" ht="14.1" customHeight="1">
      <c r="B113" s="130" t="s">
        <v>440</v>
      </c>
      <c r="C113" s="122">
        <v>28.7</v>
      </c>
      <c r="D113" s="122">
        <v>49.311149999999998</v>
      </c>
      <c r="E113" s="122">
        <v>-2.9301699999999999</v>
      </c>
      <c r="F113" s="122">
        <v>7.3789999999999994E-2</v>
      </c>
      <c r="G113" s="122"/>
      <c r="H113" s="122"/>
      <c r="O113" s="140"/>
      <c r="P113" s="140"/>
      <c r="Q113" s="140"/>
      <c r="R113" s="140"/>
      <c r="S113" s="140"/>
    </row>
    <row r="114" spans="1:19" ht="14.1" customHeight="1">
      <c r="B114" s="130"/>
      <c r="C114" s="145" t="s">
        <v>447</v>
      </c>
      <c r="D114" s="122">
        <v>-24.875</v>
      </c>
      <c r="E114" s="122">
        <v>1.8031999999999999</v>
      </c>
      <c r="F114" s="122"/>
      <c r="G114" s="122"/>
      <c r="H114" s="122"/>
      <c r="O114" s="140"/>
      <c r="P114" s="140"/>
      <c r="Q114" s="140"/>
      <c r="R114" s="140"/>
      <c r="S114" s="140"/>
    </row>
    <row r="115" spans="1:19" ht="14.1" customHeight="1">
      <c r="B115" s="130" t="s">
        <v>441</v>
      </c>
      <c r="C115" s="122">
        <v>30.1</v>
      </c>
      <c r="D115" s="122">
        <v>-4.8346099999999996</v>
      </c>
      <c r="E115" s="122">
        <v>1.1571499999999999</v>
      </c>
      <c r="F115" s="122"/>
      <c r="G115" s="122"/>
      <c r="H115" s="122"/>
      <c r="O115" s="140"/>
      <c r="P115" s="140"/>
      <c r="Q115" s="140"/>
      <c r="R115" s="140"/>
      <c r="S115" s="140"/>
    </row>
    <row r="116" spans="1:19" ht="14.1" customHeight="1">
      <c r="O116" s="140"/>
      <c r="P116" s="140"/>
      <c r="Q116" s="140"/>
      <c r="R116" s="140"/>
      <c r="S116" s="140"/>
    </row>
    <row r="117" spans="1:19" ht="14.1" customHeight="1">
      <c r="O117" s="140"/>
      <c r="P117" s="140"/>
      <c r="Q117" s="140"/>
      <c r="R117" s="140"/>
      <c r="S117" s="140"/>
    </row>
    <row r="118" spans="1:19" ht="14.1" customHeight="1">
      <c r="A118" s="118" t="s">
        <v>448</v>
      </c>
      <c r="O118" s="140"/>
      <c r="P118" s="140"/>
      <c r="Q118" s="140"/>
      <c r="R118" s="140"/>
      <c r="S118" s="140"/>
    </row>
    <row r="119" spans="1:19" ht="14.1" customHeight="1">
      <c r="C119" s="130" t="s">
        <v>449</v>
      </c>
      <c r="D119" s="130" t="s">
        <v>450</v>
      </c>
      <c r="E119" s="130" t="s">
        <v>451</v>
      </c>
      <c r="F119" s="130" t="s">
        <v>452</v>
      </c>
      <c r="G119" s="130" t="s">
        <v>453</v>
      </c>
      <c r="O119" s="140"/>
      <c r="P119" s="140"/>
      <c r="Q119" s="140"/>
      <c r="R119" s="140"/>
      <c r="S119" s="140"/>
    </row>
    <row r="120" spans="1:19" ht="14.1" customHeight="1">
      <c r="B120" s="136" t="s">
        <v>390</v>
      </c>
      <c r="C120" s="130" t="s">
        <v>454</v>
      </c>
      <c r="D120" s="130" t="s">
        <v>455</v>
      </c>
      <c r="E120" s="130" t="s">
        <v>456</v>
      </c>
      <c r="F120" s="130" t="s">
        <v>455</v>
      </c>
      <c r="G120" s="130" t="s">
        <v>315</v>
      </c>
      <c r="O120" s="140"/>
      <c r="P120" s="140"/>
      <c r="Q120" s="140"/>
      <c r="R120" s="140"/>
      <c r="S120" s="140"/>
    </row>
    <row r="121" spans="1:19" ht="14.1" customHeight="1">
      <c r="B121" s="136" t="s">
        <v>393</v>
      </c>
      <c r="C121" s="130" t="s">
        <v>454</v>
      </c>
      <c r="D121" s="130" t="s">
        <v>455</v>
      </c>
      <c r="E121" s="130" t="s">
        <v>455</v>
      </c>
      <c r="F121" s="130" t="s">
        <v>455</v>
      </c>
      <c r="G121" s="130" t="s">
        <v>315</v>
      </c>
      <c r="O121" s="140"/>
      <c r="P121" s="140"/>
      <c r="Q121" s="140"/>
      <c r="R121" s="140"/>
      <c r="S121" s="140"/>
    </row>
    <row r="122" spans="1:19" ht="14.1" customHeight="1">
      <c r="B122" s="136" t="s">
        <v>457</v>
      </c>
      <c r="C122" s="130" t="s">
        <v>454</v>
      </c>
      <c r="D122" s="130" t="s">
        <v>455</v>
      </c>
      <c r="E122" s="130" t="s">
        <v>456</v>
      </c>
      <c r="F122" s="130" t="s">
        <v>455</v>
      </c>
      <c r="G122" s="130" t="s">
        <v>315</v>
      </c>
      <c r="O122" s="140"/>
      <c r="P122" s="140"/>
      <c r="Q122" s="140"/>
      <c r="R122" s="140"/>
      <c r="S122" s="140"/>
    </row>
    <row r="123" spans="1:19" ht="14.1" customHeight="1">
      <c r="B123" s="136" t="s">
        <v>458</v>
      </c>
      <c r="C123" s="130" t="s">
        <v>454</v>
      </c>
      <c r="D123" s="130" t="s">
        <v>455</v>
      </c>
      <c r="E123" s="130" t="s">
        <v>455</v>
      </c>
      <c r="F123" s="130" t="s">
        <v>455</v>
      </c>
      <c r="G123" s="130" t="s">
        <v>315</v>
      </c>
      <c r="O123" s="140"/>
      <c r="P123" s="140"/>
      <c r="Q123" s="140"/>
      <c r="R123" s="140"/>
      <c r="S123" s="140"/>
    </row>
    <row r="124" spans="1:19" ht="14.1" customHeight="1">
      <c r="B124" s="136" t="s">
        <v>459</v>
      </c>
      <c r="C124" s="130" t="s">
        <v>454</v>
      </c>
      <c r="D124" s="130" t="s">
        <v>455</v>
      </c>
      <c r="E124" s="130" t="s">
        <v>455</v>
      </c>
      <c r="F124" s="130" t="s">
        <v>455</v>
      </c>
      <c r="G124" s="130" t="s">
        <v>315</v>
      </c>
      <c r="O124" s="140"/>
      <c r="P124" s="140"/>
      <c r="Q124" s="140"/>
      <c r="R124" s="140"/>
      <c r="S124" s="140"/>
    </row>
    <row r="125" spans="1:19" ht="14.1" customHeight="1">
      <c r="B125" s="136" t="s">
        <v>460</v>
      </c>
      <c r="C125" s="130" t="s">
        <v>454</v>
      </c>
      <c r="D125" s="130" t="s">
        <v>455</v>
      </c>
      <c r="E125" s="130" t="s">
        <v>455</v>
      </c>
      <c r="F125" s="130" t="s">
        <v>455</v>
      </c>
      <c r="G125" s="130" t="s">
        <v>315</v>
      </c>
      <c r="O125" s="140"/>
      <c r="P125" s="140"/>
      <c r="Q125" s="140"/>
      <c r="R125" s="140"/>
      <c r="S125" s="140"/>
    </row>
    <row r="126" spans="1:19" ht="14.1" customHeight="1">
      <c r="B126" s="136" t="s">
        <v>284</v>
      </c>
      <c r="C126" s="130" t="s">
        <v>454</v>
      </c>
      <c r="D126" s="130" t="s">
        <v>455</v>
      </c>
      <c r="E126" s="130" t="s">
        <v>455</v>
      </c>
      <c r="F126" s="130" t="s">
        <v>455</v>
      </c>
      <c r="G126" s="130" t="s">
        <v>315</v>
      </c>
      <c r="O126" s="140"/>
      <c r="P126" s="140"/>
      <c r="Q126" s="140"/>
      <c r="R126" s="140"/>
      <c r="S126" s="140"/>
    </row>
    <row r="127" spans="1:19" ht="14.1" customHeight="1">
      <c r="B127" s="136" t="s">
        <v>461</v>
      </c>
      <c r="C127" s="130" t="s">
        <v>454</v>
      </c>
      <c r="D127" s="130" t="s">
        <v>455</v>
      </c>
      <c r="E127" s="130" t="s">
        <v>455</v>
      </c>
      <c r="F127" s="130" t="s">
        <v>455</v>
      </c>
      <c r="G127" s="130" t="s">
        <v>315</v>
      </c>
      <c r="O127" s="140"/>
      <c r="P127" s="140"/>
      <c r="Q127" s="140"/>
      <c r="R127" s="140"/>
      <c r="S127" s="140"/>
    </row>
    <row r="128" spans="1:19" ht="14.1" customHeight="1">
      <c r="B128" s="136" t="s">
        <v>462</v>
      </c>
      <c r="C128" s="130" t="s">
        <v>454</v>
      </c>
      <c r="D128" s="130" t="s">
        <v>455</v>
      </c>
      <c r="E128" s="130" t="s">
        <v>455</v>
      </c>
      <c r="F128" s="130" t="s">
        <v>455</v>
      </c>
      <c r="G128" s="130" t="s">
        <v>315</v>
      </c>
    </row>
    <row r="129" spans="1:7" ht="14.1" customHeight="1">
      <c r="B129" s="136" t="s">
        <v>342</v>
      </c>
      <c r="C129" s="130" t="s">
        <v>454</v>
      </c>
      <c r="D129" s="130" t="s">
        <v>455</v>
      </c>
      <c r="E129" s="130" t="s">
        <v>455</v>
      </c>
      <c r="F129" s="130" t="s">
        <v>455</v>
      </c>
      <c r="G129" s="130" t="s">
        <v>315</v>
      </c>
    </row>
    <row r="130" spans="1:7" ht="14.1" customHeight="1">
      <c r="B130" s="136" t="s">
        <v>258</v>
      </c>
      <c r="C130" s="130" t="s">
        <v>454</v>
      </c>
      <c r="D130" s="130" t="s">
        <v>455</v>
      </c>
      <c r="E130" s="130" t="s">
        <v>455</v>
      </c>
      <c r="F130" s="130" t="s">
        <v>455</v>
      </c>
      <c r="G130" s="130" t="s">
        <v>315</v>
      </c>
    </row>
    <row r="132" spans="1:7" ht="14.1" customHeight="1">
      <c r="A132" s="118" t="s">
        <v>788</v>
      </c>
    </row>
    <row r="133" spans="1:7" ht="14.1" customHeight="1">
      <c r="A133" s="118" t="s">
        <v>789</v>
      </c>
      <c r="B133" s="118" t="s">
        <v>792</v>
      </c>
      <c r="C133" s="118" t="s">
        <v>790</v>
      </c>
      <c r="D133" s="118" t="s">
        <v>791</v>
      </c>
    </row>
    <row r="134" spans="1:7" ht="14.1" customHeight="1">
      <c r="A134" s="118">
        <v>20</v>
      </c>
      <c r="B134" s="118">
        <v>1.1000000000000001</v>
      </c>
      <c r="C134" s="118">
        <v>1.1000000000000001</v>
      </c>
      <c r="D134" s="118">
        <v>1.2</v>
      </c>
    </row>
    <row r="135" spans="1:7" ht="14.1" customHeight="1">
      <c r="A135" s="118">
        <v>40</v>
      </c>
      <c r="B135" s="118">
        <v>2.2000000000000002</v>
      </c>
      <c r="C135" s="118">
        <v>2.2000000000000002</v>
      </c>
      <c r="D135" s="118">
        <v>2</v>
      </c>
    </row>
    <row r="136" spans="1:7" ht="14.1" customHeight="1">
      <c r="A136" s="118">
        <v>60</v>
      </c>
      <c r="B136" s="118">
        <v>4.7</v>
      </c>
      <c r="C136" s="118">
        <v>4.7</v>
      </c>
      <c r="D136" s="118">
        <v>4.5</v>
      </c>
    </row>
    <row r="138" spans="1:7" ht="14.1" customHeight="1">
      <c r="A138" s="118" t="s">
        <v>795</v>
      </c>
    </row>
    <row r="139" spans="1:7" ht="14.1" customHeight="1">
      <c r="A139" s="118" t="s">
        <v>792</v>
      </c>
      <c r="B139" s="118" t="s">
        <v>790</v>
      </c>
      <c r="C139" s="118" t="s">
        <v>791</v>
      </c>
    </row>
    <row r="140" spans="1:7" ht="14.1" customHeight="1">
      <c r="A140" s="118">
        <v>50</v>
      </c>
      <c r="B140" s="118">
        <v>50</v>
      </c>
      <c r="C140" s="118">
        <v>12</v>
      </c>
    </row>
  </sheetData>
  <customSheetViews>
    <customSheetView guid="{F38AF2A4-EC1D-460A-B405-E4A69D902BA6}" scale="75" topLeftCell="A64">
      <selection activeCell="E89" sqref="E89"/>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customSheetView>
  </customSheetViews>
  <mergeCells count="10">
    <mergeCell ref="O62:P62"/>
    <mergeCell ref="Q62:S62"/>
    <mergeCell ref="B2:J2"/>
    <mergeCell ref="L2:T2"/>
    <mergeCell ref="V2:AD2"/>
    <mergeCell ref="B26:L26"/>
    <mergeCell ref="O26:AA26"/>
    <mergeCell ref="B51:B52"/>
    <mergeCell ref="C51:C52"/>
    <mergeCell ref="D51:K51"/>
  </mergeCells>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0"/>
  <sheetViews>
    <sheetView workbookViewId="0"/>
  </sheetViews>
  <sheetFormatPr defaultRowHeight="13.8"/>
  <cols>
    <col min="1" max="16384" width="8.796875" style="112"/>
  </cols>
  <sheetData>
    <row r="1" spans="1:13">
      <c r="A1" s="111" t="s">
        <v>766</v>
      </c>
      <c r="M1" s="111" t="s">
        <v>766</v>
      </c>
    </row>
    <row r="3" spans="1:13">
      <c r="A3" s="113" t="s">
        <v>767</v>
      </c>
      <c r="B3" s="113" t="s">
        <v>768</v>
      </c>
      <c r="C3" s="113" t="s">
        <v>17</v>
      </c>
      <c r="D3" s="113" t="s">
        <v>18</v>
      </c>
      <c r="E3" s="113" t="s">
        <v>769</v>
      </c>
      <c r="F3" s="113" t="s">
        <v>770</v>
      </c>
      <c r="G3" s="113" t="s">
        <v>771</v>
      </c>
      <c r="H3" s="113" t="s">
        <v>772</v>
      </c>
      <c r="I3" s="113" t="s">
        <v>773</v>
      </c>
      <c r="J3" s="113" t="s">
        <v>774</v>
      </c>
      <c r="K3" s="113" t="s">
        <v>775</v>
      </c>
      <c r="M3" s="113" t="s">
        <v>776</v>
      </c>
    </row>
    <row r="4" spans="1:13">
      <c r="A4" s="112">
        <v>24</v>
      </c>
      <c r="B4" s="112">
        <v>50</v>
      </c>
      <c r="C4" s="112" t="s">
        <v>777</v>
      </c>
      <c r="D4" s="112" t="s">
        <v>46</v>
      </c>
      <c r="E4" s="112" t="s">
        <v>778</v>
      </c>
    </row>
    <row r="5" spans="1:13">
      <c r="A5" s="112">
        <v>25</v>
      </c>
      <c r="B5" s="112">
        <v>50</v>
      </c>
      <c r="C5" s="112" t="s">
        <v>777</v>
      </c>
      <c r="D5" s="112" t="s">
        <v>46</v>
      </c>
      <c r="E5" s="112" t="s">
        <v>778</v>
      </c>
    </row>
    <row r="6" spans="1:13">
      <c r="A6" s="112">
        <v>26</v>
      </c>
      <c r="B6" s="112">
        <v>50</v>
      </c>
      <c r="C6" s="112" t="s">
        <v>777</v>
      </c>
      <c r="D6" s="112" t="s">
        <v>46</v>
      </c>
      <c r="E6" s="112" t="s">
        <v>778</v>
      </c>
    </row>
    <row r="7" spans="1:13">
      <c r="A7" s="112">
        <v>28</v>
      </c>
      <c r="B7" s="112">
        <v>20</v>
      </c>
      <c r="C7" s="112" t="s">
        <v>777</v>
      </c>
      <c r="D7" s="112" t="s">
        <v>46</v>
      </c>
      <c r="E7" s="112" t="s">
        <v>778</v>
      </c>
    </row>
    <row r="8" spans="1:13">
      <c r="A8" s="112">
        <v>28</v>
      </c>
      <c r="B8" s="112">
        <v>50</v>
      </c>
      <c r="C8" s="112" t="s">
        <v>777</v>
      </c>
      <c r="D8" s="112" t="s">
        <v>46</v>
      </c>
      <c r="E8" s="112" t="s">
        <v>778</v>
      </c>
    </row>
    <row r="9" spans="1:13">
      <c r="A9" s="112">
        <v>28</v>
      </c>
      <c r="B9" s="112">
        <v>50</v>
      </c>
      <c r="C9" s="112" t="s">
        <v>777</v>
      </c>
      <c r="D9" s="112" t="s">
        <v>46</v>
      </c>
      <c r="E9" s="112" t="s">
        <v>778</v>
      </c>
    </row>
    <row r="10" spans="1:13">
      <c r="A10" s="112">
        <v>28</v>
      </c>
      <c r="B10" s="112">
        <v>50</v>
      </c>
      <c r="C10" s="112" t="s">
        <v>777</v>
      </c>
      <c r="D10" s="112" t="s">
        <v>46</v>
      </c>
      <c r="E10" s="112" t="s">
        <v>778</v>
      </c>
    </row>
    <row r="11" spans="1:13">
      <c r="A11" s="112">
        <v>28</v>
      </c>
      <c r="B11" s="112">
        <v>50</v>
      </c>
      <c r="C11" s="112" t="s">
        <v>777</v>
      </c>
      <c r="D11" s="112" t="s">
        <v>46</v>
      </c>
      <c r="E11" s="112" t="s">
        <v>778</v>
      </c>
    </row>
    <row r="12" spans="1:13">
      <c r="A12" s="112">
        <v>28</v>
      </c>
      <c r="B12" s="112">
        <v>100</v>
      </c>
      <c r="C12" s="112" t="s">
        <v>777</v>
      </c>
      <c r="D12" s="112" t="s">
        <v>46</v>
      </c>
      <c r="E12" s="112" t="s">
        <v>778</v>
      </c>
    </row>
    <row r="13" spans="1:13">
      <c r="A13" s="112">
        <v>28</v>
      </c>
      <c r="B13" s="112">
        <v>600</v>
      </c>
      <c r="C13" s="112" t="s">
        <v>777</v>
      </c>
      <c r="D13" s="112" t="s">
        <v>46</v>
      </c>
      <c r="E13" s="112" t="s">
        <v>778</v>
      </c>
    </row>
    <row r="14" spans="1:13">
      <c r="A14" s="112">
        <v>30</v>
      </c>
      <c r="B14" s="112">
        <v>50</v>
      </c>
      <c r="C14" s="112" t="s">
        <v>777</v>
      </c>
      <c r="D14" s="112" t="s">
        <v>46</v>
      </c>
      <c r="E14" s="112" t="s">
        <v>778</v>
      </c>
    </row>
    <row r="15" spans="1:13">
      <c r="A15" s="112">
        <v>32</v>
      </c>
      <c r="B15" s="112">
        <v>50</v>
      </c>
      <c r="C15" s="112" t="s">
        <v>777</v>
      </c>
      <c r="D15" s="112" t="s">
        <v>46</v>
      </c>
      <c r="E15" s="112" t="s">
        <v>778</v>
      </c>
    </row>
    <row r="16" spans="1:13">
      <c r="A16" s="112">
        <v>34</v>
      </c>
      <c r="B16" s="112">
        <v>50</v>
      </c>
      <c r="C16" s="112" t="s">
        <v>777</v>
      </c>
      <c r="D16" s="112" t="s">
        <v>46</v>
      </c>
      <c r="E16" s="112" t="s">
        <v>778</v>
      </c>
    </row>
    <row r="17" spans="1:5">
      <c r="A17" s="112">
        <v>28</v>
      </c>
      <c r="B17" s="112">
        <v>50</v>
      </c>
      <c r="C17" s="112" t="s">
        <v>777</v>
      </c>
      <c r="D17" s="112" t="s">
        <v>46</v>
      </c>
      <c r="E17" s="112" t="s">
        <v>778</v>
      </c>
    </row>
    <row r="18" spans="1:5">
      <c r="A18" s="112">
        <v>30</v>
      </c>
      <c r="B18" s="112">
        <v>50</v>
      </c>
      <c r="C18" s="112" t="s">
        <v>777</v>
      </c>
      <c r="D18" s="112" t="s">
        <v>46</v>
      </c>
      <c r="E18" s="112" t="s">
        <v>778</v>
      </c>
    </row>
    <row r="19" spans="1:5">
      <c r="A19" s="112">
        <v>32</v>
      </c>
      <c r="B19" s="112">
        <v>50</v>
      </c>
      <c r="C19" s="112" t="s">
        <v>777</v>
      </c>
      <c r="D19" s="112" t="s">
        <v>46</v>
      </c>
      <c r="E19" s="112" t="s">
        <v>778</v>
      </c>
    </row>
    <row r="20" spans="1:5">
      <c r="A20" s="112">
        <v>34</v>
      </c>
      <c r="B20" s="112">
        <v>50</v>
      </c>
      <c r="C20" s="112" t="s">
        <v>777</v>
      </c>
      <c r="D20" s="112" t="s">
        <v>46</v>
      </c>
      <c r="E20" s="112" t="s">
        <v>778</v>
      </c>
    </row>
  </sheetData>
  <customSheetViews>
    <customSheetView guid="{F38AF2A4-EC1D-460A-B405-E4A69D902BA6}">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2"/>
  <sheetViews>
    <sheetView workbookViewId="0">
      <selection activeCell="E4" sqref="E4"/>
    </sheetView>
  </sheetViews>
  <sheetFormatPr defaultRowHeight="13.8"/>
  <cols>
    <col min="1" max="16384" width="8.796875" style="271"/>
  </cols>
  <sheetData>
    <row r="1" spans="1:2">
      <c r="A1" s="271" t="s">
        <v>699</v>
      </c>
      <c r="B1" s="271" t="s">
        <v>700</v>
      </c>
    </row>
    <row r="2" spans="1:2">
      <c r="A2" s="647" t="s">
        <v>701</v>
      </c>
      <c r="B2" s="332" t="str">
        <f>Sheet1!F13</f>
        <v/>
      </c>
    </row>
  </sheetData>
  <customSheetViews>
    <customSheetView guid="{F38AF2A4-EC1D-460A-B405-E4A69D902BA6}">
      <selection activeCell="A2" sqref="A2:B2"/>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30"/>
  <sheetViews>
    <sheetView workbookViewId="0">
      <selection activeCell="A31" sqref="A31"/>
    </sheetView>
  </sheetViews>
  <sheetFormatPr defaultColWidth="9" defaultRowHeight="13.2"/>
  <cols>
    <col min="1" max="1" width="9.09765625" style="688" customWidth="1"/>
    <col min="2" max="16384" width="9" style="688"/>
  </cols>
  <sheetData>
    <row r="1" spans="1:1">
      <c r="A1" s="687" t="s">
        <v>473</v>
      </c>
    </row>
    <row r="2" spans="1:1">
      <c r="A2" s="688" t="s">
        <v>474</v>
      </c>
    </row>
    <row r="3" spans="1:1">
      <c r="A3" s="688" t="s">
        <v>475</v>
      </c>
    </row>
    <row r="5" spans="1:1">
      <c r="A5" s="687" t="s">
        <v>476</v>
      </c>
    </row>
    <row r="6" spans="1:1">
      <c r="A6" s="688" t="s">
        <v>474</v>
      </c>
    </row>
    <row r="7" spans="1:1">
      <c r="A7" s="688" t="s">
        <v>475</v>
      </c>
    </row>
    <row r="8" spans="1:1">
      <c r="A8" s="688" t="s">
        <v>477</v>
      </c>
    </row>
    <row r="10" spans="1:1">
      <c r="A10" s="689" t="s">
        <v>478</v>
      </c>
    </row>
    <row r="11" spans="1:1">
      <c r="A11" s="690">
        <v>6</v>
      </c>
    </row>
    <row r="12" spans="1:1">
      <c r="A12" s="690">
        <v>5.5</v>
      </c>
    </row>
    <row r="13" spans="1:1">
      <c r="A13" s="690">
        <v>5</v>
      </c>
    </row>
    <row r="14" spans="1:1">
      <c r="A14" s="690">
        <v>4.5</v>
      </c>
    </row>
    <row r="15" spans="1:1">
      <c r="A15" s="690">
        <v>4</v>
      </c>
    </row>
    <row r="16" spans="1:1">
      <c r="A16" s="690">
        <v>3.5</v>
      </c>
    </row>
    <row r="17" spans="1:1">
      <c r="A17" s="690">
        <v>3</v>
      </c>
    </row>
    <row r="18" spans="1:1">
      <c r="A18" s="690">
        <v>2.5</v>
      </c>
    </row>
    <row r="19" spans="1:1">
      <c r="A19" s="690">
        <v>2</v>
      </c>
    </row>
    <row r="20" spans="1:1">
      <c r="A20" s="690">
        <v>1.5</v>
      </c>
    </row>
    <row r="21" spans="1:1">
      <c r="A21" s="690">
        <v>1</v>
      </c>
    </row>
    <row r="22" spans="1:1">
      <c r="A22" s="690">
        <v>0.5</v>
      </c>
    </row>
    <row r="24" spans="1:1">
      <c r="A24" s="687" t="s">
        <v>371</v>
      </c>
    </row>
    <row r="25" spans="1:1">
      <c r="A25" s="688" t="s">
        <v>733</v>
      </c>
    </row>
    <row r="26" spans="1:1">
      <c r="A26" s="688" t="s">
        <v>734</v>
      </c>
    </row>
    <row r="27" spans="1:1">
      <c r="A27" s="688" t="s">
        <v>735</v>
      </c>
    </row>
    <row r="28" spans="1:1">
      <c r="A28" s="688" t="s">
        <v>736</v>
      </c>
    </row>
    <row r="29" spans="1:1">
      <c r="A29" s="688" t="s">
        <v>746</v>
      </c>
    </row>
    <row r="30" spans="1:1">
      <c r="A30" s="688" t="s">
        <v>793</v>
      </c>
    </row>
  </sheetData>
  <customSheetViews>
    <customSheetView guid="{F38AF2A4-EC1D-460A-B405-E4A69D902BA6}">
      <selection activeCell="A30" sqref="A30"/>
      <pageMargins left="0.75" right="0.75" top="1" bottom="1" header="0.5" footer="0.5"/>
      <pageSetup orientation="portrait" r:id="rId1"/>
      <headerFooter alignWithMargins="0"/>
    </customSheetView>
  </customSheetViews>
  <pageMargins left="0.75" right="0.75" top="1" bottom="1" header="0.5" footer="0.5"/>
  <pageSetup orientation="portrait"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9"/>
  <sheetViews>
    <sheetView topLeftCell="A19" workbookViewId="0">
      <selection activeCell="C21" sqref="C21"/>
    </sheetView>
  </sheetViews>
  <sheetFormatPr defaultRowHeight="13.8"/>
  <cols>
    <col min="1" max="1024" width="8.3984375" customWidth="1"/>
  </cols>
  <sheetData>
    <row r="1" spans="1:3">
      <c r="A1" s="2" t="s">
        <v>463</v>
      </c>
    </row>
    <row r="2" spans="1:3">
      <c r="B2" t="s">
        <v>464</v>
      </c>
    </row>
    <row r="3" spans="1:3">
      <c r="B3" t="s">
        <v>465</v>
      </c>
    </row>
    <row r="4" spans="1:3">
      <c r="B4" t="s">
        <v>466</v>
      </c>
    </row>
    <row r="5" spans="1:3">
      <c r="B5" t="s">
        <v>467</v>
      </c>
    </row>
    <row r="6" spans="1:3">
      <c r="B6" t="s">
        <v>468</v>
      </c>
    </row>
    <row r="8" spans="1:3">
      <c r="A8" s="2" t="s">
        <v>469</v>
      </c>
    </row>
    <row r="9" spans="1:3">
      <c r="A9" s="2"/>
      <c r="B9" t="s">
        <v>442</v>
      </c>
    </row>
    <row r="10" spans="1:3">
      <c r="A10" s="2"/>
      <c r="B10" t="s">
        <v>443</v>
      </c>
    </row>
    <row r="11" spans="1:3">
      <c r="B11" s="1" t="s">
        <v>470</v>
      </c>
      <c r="C11" s="1" t="s">
        <v>471</v>
      </c>
    </row>
    <row r="12" spans="1:3">
      <c r="B12" s="3">
        <v>25.03</v>
      </c>
      <c r="C12" s="4">
        <f>IF(B12&lt;A22,B12+B22+B12*C22+B12^2*D22+B12^3*E22+B12^4*F22+B12^5*G22+B12^6*H22,B12+B23+B12*C23+B12^2*D23+B12^3*E23+B12^4*F23+B12^5*G23+B12^6*H23)</f>
        <v>21.808137925164374</v>
      </c>
    </row>
    <row r="14" spans="1:3">
      <c r="A14" s="2" t="s">
        <v>472</v>
      </c>
    </row>
    <row r="15" spans="1:3">
      <c r="A15" s="2"/>
      <c r="B15" t="s">
        <v>444</v>
      </c>
    </row>
    <row r="16" spans="1:3">
      <c r="A16" s="2"/>
      <c r="B16" t="s">
        <v>445</v>
      </c>
    </row>
    <row r="17" spans="1:8">
      <c r="B17" s="1" t="s">
        <v>470</v>
      </c>
      <c r="C17" s="1" t="s">
        <v>471</v>
      </c>
    </row>
    <row r="18" spans="1:8">
      <c r="B18" s="3">
        <v>37.1</v>
      </c>
      <c r="C18" s="4">
        <f>IF(B18&gt;37.1,40,IF(B18&lt;A28,B18+B28+B18*C28+B18^2*D28+B18^3*E28+B18^4*F28+B18^5*G28+B18^6*H28,B18+B29+B18*C29+B18^2*D29+B18^3*E29+B18^4*F29+B18^5*G29+B18^6*H29))</f>
        <v>38.967510688751645</v>
      </c>
    </row>
    <row r="22" spans="1:8">
      <c r="A22">
        <v>27.585999999999999</v>
      </c>
      <c r="B22">
        <v>-8375.0727645925508</v>
      </c>
      <c r="C22">
        <v>975.92543560432796</v>
      </c>
      <c r="D22">
        <v>-37.913729682039403</v>
      </c>
      <c r="E22">
        <v>0.49086583472609402</v>
      </c>
      <c r="F22">
        <v>0</v>
      </c>
      <c r="G22">
        <v>0</v>
      </c>
      <c r="H22">
        <v>0</v>
      </c>
    </row>
    <row r="23" spans="1:8">
      <c r="B23">
        <v>-9984.6167916494396</v>
      </c>
      <c r="C23">
        <v>1436.52454571413</v>
      </c>
      <c r="D23">
        <v>-82.505102185254898</v>
      </c>
      <c r="E23">
        <v>2.36559081763837</v>
      </c>
      <c r="F23">
        <v>-3.38672433779705E-2</v>
      </c>
      <c r="G23">
        <v>1.93686920423126E-4</v>
      </c>
      <c r="H23">
        <v>0</v>
      </c>
    </row>
    <row r="28" spans="1:8">
      <c r="A28">
        <v>30.1</v>
      </c>
      <c r="B28">
        <v>-540847.69550077303</v>
      </c>
      <c r="C28">
        <v>100186.23364273099</v>
      </c>
      <c r="D28">
        <v>-7418.4790179812599</v>
      </c>
      <c r="E28">
        <v>274.47660929577501</v>
      </c>
      <c r="F28">
        <v>-5.07436954359087</v>
      </c>
      <c r="G28">
        <v>3.7500574787580898E-2</v>
      </c>
      <c r="H28">
        <v>0</v>
      </c>
    </row>
    <row r="29" spans="1:8">
      <c r="B29">
        <v>-11057.773936199201</v>
      </c>
      <c r="C29">
        <v>1297.2285673766901</v>
      </c>
      <c r="D29">
        <v>-56.989188989725697</v>
      </c>
      <c r="E29">
        <v>1.1115828564217201</v>
      </c>
      <c r="F29">
        <v>-8.1233997365129599E-3</v>
      </c>
      <c r="G29">
        <v>0</v>
      </c>
      <c r="H29">
        <v>0</v>
      </c>
    </row>
  </sheetData>
  <customSheetViews>
    <customSheetView guid="{F38AF2A4-EC1D-460A-B405-E4A69D902BA6}" topLeftCell="A19">
      <selection activeCell="C21" sqref="C21"/>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customSheetView>
  </customSheetViews>
  <conditionalFormatting sqref="C12">
    <cfRule type="cellIs" priority="21" stopIfTrue="1" operator="lessThan">
      <formula>21.8</formula>
    </cfRule>
    <cfRule type="cellIs" priority="22" stopIfTrue="1" operator="between">
      <formula>24</formula>
      <formula>27</formula>
    </cfRule>
    <cfRule type="cellIs" priority="23" stopIfTrue="1" operator="greaterThanOrEqual">
      <formula>40</formula>
    </cfRule>
  </conditionalFormatting>
  <conditionalFormatting sqref="C18">
    <cfRule type="cellIs" priority="24" stopIfTrue="1" operator="lessThan">
      <formula>21.8</formula>
    </cfRule>
    <cfRule type="cellIs" priority="25" stopIfTrue="1" operator="between">
      <formula>25.35</formula>
      <formula>31.55</formula>
    </cfRule>
    <cfRule type="cellIs" priority="26" stopIfTrue="1" operator="greaterThanOrEqual">
      <formula>40</formula>
    </cfRule>
  </conditionalFormatting>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3009</TotalTime>
  <Application>Microsoft Excel</Application>
  <DocSecurity>0</DocSecurity>
  <ScaleCrop>false</ScaleCrop>
  <HeadingPairs>
    <vt:vector size="4" baseType="variant">
      <vt:variant>
        <vt:lpstr>Worksheets</vt:lpstr>
      </vt:variant>
      <vt:variant>
        <vt:i4>9</vt:i4>
      </vt:variant>
      <vt:variant>
        <vt:lpstr>Named Ranges</vt:lpstr>
      </vt:variant>
      <vt:variant>
        <vt:i4>25</vt:i4>
      </vt:variant>
    </vt:vector>
  </HeadingPairs>
  <TitlesOfParts>
    <vt:vector size="34" baseType="lpstr">
      <vt:lpstr>QC Test Summary-Siemens</vt:lpstr>
      <vt:lpstr>Tech QC Eval-Siemens</vt:lpstr>
      <vt:lpstr>MQSA Requirements</vt:lpstr>
      <vt:lpstr>Sheet1</vt:lpstr>
      <vt:lpstr>Tables</vt:lpstr>
      <vt:lpstr>Sheet2</vt:lpstr>
      <vt:lpstr>DataPage</vt:lpstr>
      <vt:lpstr>dropdowns</vt:lpstr>
      <vt:lpstr>Corrected kV</vt:lpstr>
      <vt:lpstr>AECSNR</vt:lpstr>
      <vt:lpstr>CollimArtifact</vt:lpstr>
      <vt:lpstr>COMBO2D_ESE</vt:lpstr>
      <vt:lpstr>COMBO2D_HVL</vt:lpstr>
      <vt:lpstr>COMBOTOMO_ESE</vt:lpstr>
      <vt:lpstr>COMBOTOMO_HVL</vt:lpstr>
      <vt:lpstr>Compg1</vt:lpstr>
      <vt:lpstr>ESE</vt:lpstr>
      <vt:lpstr>ExpLinHVL</vt:lpstr>
      <vt:lpstr>FiberLst</vt:lpstr>
      <vt:lpstr>HVL</vt:lpstr>
      <vt:lpstr>kVRepro</vt:lpstr>
      <vt:lpstr>MGD</vt:lpstr>
      <vt:lpstr>Model</vt:lpstr>
      <vt:lpstr>NA</vt:lpstr>
      <vt:lpstr>Page1</vt:lpstr>
      <vt:lpstr>Page2</vt:lpstr>
      <vt:lpstr>PF</vt:lpstr>
      <vt:lpstr>'MQSA Requirements'!Print_Area</vt:lpstr>
      <vt:lpstr>'QC Test Summary-Siemens'!Print_Area</vt:lpstr>
      <vt:lpstr>Sheet1!Print_Area</vt:lpstr>
      <vt:lpstr>'Tech QC Eval-Siemens'!Print_Area</vt:lpstr>
      <vt:lpstr>'MQSA Requirements'!Print_Titles</vt:lpstr>
      <vt:lpstr>Siemens_Models</vt:lpstr>
      <vt:lpstr>SpeckMassLst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Mah, Eugene</cp:lastModifiedBy>
  <cp:revision>247</cp:revision>
  <cp:lastPrinted>2018-05-31T17:06:34Z</cp:lastPrinted>
  <dcterms:created xsi:type="dcterms:W3CDTF">2014-08-25T14:38:09Z</dcterms:created>
  <dcterms:modified xsi:type="dcterms:W3CDTF">2025-10-17T13:59:31Z</dcterms:modified>
</cp:coreProperties>
</file>