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75" windowWidth="9720" windowHeight="3270" tabRatio="549"/>
  </bookViews>
  <sheets>
    <sheet name="Table" sheetId="1" r:id="rId1"/>
    <sheet name="ShieldEvaluation" sheetId="2" r:id="rId2"/>
    <sheet name="FitParameters" sheetId="3" r:id="rId3"/>
    <sheet name="CT" sheetId="4" r:id="rId4"/>
  </sheets>
  <externalReferences>
    <externalReference r:id="rId5"/>
  </externalReferences>
  <definedNames>
    <definedName name="alpha">#REF!</definedName>
    <definedName name="beta">#REF!</definedName>
    <definedName name="FitParams">FitParameters!$A$5:$AF$30</definedName>
    <definedName name="gamma">#REF!</definedName>
    <definedName name="inch_value">Table!$AF$6:$AF$41</definedName>
    <definedName name="minimum_Pb" localSheetId="3">[1]ShieldForm!$AG$6:$AG$41</definedName>
    <definedName name="minimum_Pb">Table!$AG$6:$AG$41</definedName>
    <definedName name="mm_value" localSheetId="3">[1]ShieldForm!$AE$6:$AE$41</definedName>
    <definedName name="mm_value">Table!$AE$6:$AE$41</definedName>
    <definedName name="_xlnm.Print_Area" localSheetId="1">ShieldEvaluation!$A$1:$H$34</definedName>
    <definedName name="_xlnm.Print_Area" localSheetId="0">Table!$A$1:$N$112</definedName>
    <definedName name="RefDist" localSheetId="3">[1]ShieldEvaluation!$F$16</definedName>
    <definedName name="RefDist">ShieldEvaluation!$F$16</definedName>
    <definedName name="RefExp" localSheetId="3">[1]ShieldEvaluation!$G$16</definedName>
    <definedName name="RefExp">ShieldEvaluation!$G$16</definedName>
    <definedName name="RefkV" localSheetId="3">[1]ShieldEvaluation!$C$16</definedName>
    <definedName name="RefkV">ShieldEvaluation!$C$16</definedName>
    <definedName name="RefOutput" localSheetId="3">[1]ShieldEvaluation!$H$16</definedName>
    <definedName name="RefOutput">ShieldEvaluation!$H$16</definedName>
  </definedNames>
  <calcPr calcId="152511" iterateCount="1"/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3" i="2"/>
  <c r="D22" i="2"/>
  <c r="D21" i="2"/>
  <c r="J44" i="4" l="1"/>
  <c r="K44" i="4" s="1"/>
  <c r="E44" i="4"/>
  <c r="J43" i="4"/>
  <c r="K43" i="4" s="1"/>
  <c r="E43" i="4"/>
  <c r="J42" i="4"/>
  <c r="K42" i="4" s="1"/>
  <c r="E42" i="4"/>
  <c r="J41" i="4"/>
  <c r="K41" i="4" s="1"/>
  <c r="E41" i="4"/>
  <c r="J40" i="4"/>
  <c r="K40" i="4" s="1"/>
  <c r="E40" i="4"/>
  <c r="J39" i="4"/>
  <c r="K39" i="4" s="1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P27" i="4"/>
  <c r="V22" i="4"/>
  <c r="V27" i="4" s="1"/>
  <c r="U22" i="4"/>
  <c r="U27" i="4" s="1"/>
  <c r="T22" i="4"/>
  <c r="T27" i="4" s="1"/>
  <c r="S22" i="4"/>
  <c r="S27" i="4" s="1"/>
  <c r="R22" i="4"/>
  <c r="R27" i="4" s="1"/>
  <c r="Q22" i="4"/>
  <c r="Q27" i="4" s="1"/>
  <c r="F19" i="4"/>
  <c r="F20" i="4" s="1"/>
  <c r="F21" i="4" s="1"/>
  <c r="L44" i="4" l="1"/>
  <c r="L40" i="4"/>
  <c r="M40" i="4" s="1"/>
  <c r="O40" i="4" s="1"/>
  <c r="L36" i="4"/>
  <c r="L32" i="4"/>
  <c r="M32" i="4" s="1"/>
  <c r="O32" i="4" s="1"/>
  <c r="L30" i="4"/>
  <c r="M30" i="4" s="1"/>
  <c r="O30" i="4" s="1"/>
  <c r="L43" i="4"/>
  <c r="M43" i="4" s="1"/>
  <c r="O43" i="4" s="1"/>
  <c r="L39" i="4"/>
  <c r="M39" i="4" s="1"/>
  <c r="O39" i="4" s="1"/>
  <c r="L35" i="4"/>
  <c r="M35" i="4" s="1"/>
  <c r="O35" i="4" s="1"/>
  <c r="L31" i="4"/>
  <c r="M31" i="4" s="1"/>
  <c r="O31" i="4" s="1"/>
  <c r="L29" i="4"/>
  <c r="M29" i="4" s="1"/>
  <c r="O29" i="4" s="1"/>
  <c r="L42" i="4"/>
  <c r="M42" i="4" s="1"/>
  <c r="O42" i="4" s="1"/>
  <c r="L38" i="4"/>
  <c r="M38" i="4" s="1"/>
  <c r="O38" i="4" s="1"/>
  <c r="L34" i="4"/>
  <c r="M34" i="4" s="1"/>
  <c r="O34" i="4" s="1"/>
  <c r="L41" i="4"/>
  <c r="M41" i="4" s="1"/>
  <c r="O41" i="4" s="1"/>
  <c r="L37" i="4"/>
  <c r="M37" i="4" s="1"/>
  <c r="O37" i="4" s="1"/>
  <c r="L33" i="4"/>
  <c r="M33" i="4" s="1"/>
  <c r="O33" i="4" s="1"/>
  <c r="M44" i="4"/>
  <c r="O44" i="4" s="1"/>
  <c r="M36" i="4"/>
  <c r="O36" i="4" s="1"/>
  <c r="F22" i="4"/>
  <c r="H37" i="4" l="1"/>
  <c r="N37" i="4"/>
  <c r="P37" i="4"/>
  <c r="H33" i="4"/>
  <c r="N33" i="4"/>
  <c r="P33" i="4"/>
  <c r="P32" i="4"/>
  <c r="H32" i="4"/>
  <c r="N32" i="4"/>
  <c r="N42" i="4"/>
  <c r="P42" i="4"/>
  <c r="H42" i="4"/>
  <c r="P40" i="4"/>
  <c r="H40" i="4"/>
  <c r="N40" i="4"/>
  <c r="P29" i="4"/>
  <c r="H29" i="4"/>
  <c r="N29" i="4"/>
  <c r="P31" i="4"/>
  <c r="H31" i="4"/>
  <c r="N31" i="4"/>
  <c r="P30" i="4"/>
  <c r="H30" i="4"/>
  <c r="N30" i="4"/>
  <c r="P35" i="4"/>
  <c r="H35" i="4"/>
  <c r="N35" i="4"/>
  <c r="P44" i="4"/>
  <c r="H44" i="4"/>
  <c r="N44" i="4"/>
  <c r="H41" i="4"/>
  <c r="N41" i="4"/>
  <c r="P41" i="4"/>
  <c r="P36" i="4"/>
  <c r="H36" i="4"/>
  <c r="N36" i="4"/>
  <c r="P39" i="4"/>
  <c r="H39" i="4"/>
  <c r="N39" i="4"/>
  <c r="N38" i="4"/>
  <c r="P38" i="4"/>
  <c r="H38" i="4"/>
  <c r="N34" i="4"/>
  <c r="P34" i="4"/>
  <c r="H34" i="4"/>
  <c r="P43" i="4"/>
  <c r="H43" i="4"/>
  <c r="N43" i="4"/>
  <c r="K26" i="1" l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/>
  <c r="AM69" i="1"/>
  <c r="AN69" i="1"/>
  <c r="AM68" i="1"/>
  <c r="AN68" i="1"/>
  <c r="AM67" i="1"/>
  <c r="AN67" i="1"/>
  <c r="AM64" i="1"/>
  <c r="AN64" i="1"/>
  <c r="AM63" i="1"/>
  <c r="AN63" i="1"/>
  <c r="AM62" i="1"/>
  <c r="AN62" i="1"/>
  <c r="AM58" i="1"/>
  <c r="AN58" i="1"/>
  <c r="AM55" i="1"/>
  <c r="AN55" i="1"/>
  <c r="AM54" i="1"/>
  <c r="AN54" i="1"/>
  <c r="AM53" i="1"/>
  <c r="AN53" i="1"/>
  <c r="AM52" i="1"/>
  <c r="AN52" i="1"/>
  <c r="AN51" i="1"/>
  <c r="AM50" i="1"/>
  <c r="AN50" i="1" s="1"/>
  <c r="AM49" i="1"/>
  <c r="AN49" i="1" s="1"/>
  <c r="AN48" i="1"/>
  <c r="AH70" i="1"/>
  <c r="AI70" i="1"/>
  <c r="AH69" i="1"/>
  <c r="AI69" i="1"/>
  <c r="AH68" i="1"/>
  <c r="AI68" i="1"/>
  <c r="AH67" i="1"/>
  <c r="AI67" i="1"/>
  <c r="AH64" i="1"/>
  <c r="AI64" i="1"/>
  <c r="AH63" i="1"/>
  <c r="AI63" i="1"/>
  <c r="AH62" i="1"/>
  <c r="AI62" i="1"/>
  <c r="AH58" i="1"/>
  <c r="AI58" i="1"/>
  <c r="AH55" i="1"/>
  <c r="AI55" i="1"/>
  <c r="AH54" i="1"/>
  <c r="AI54" i="1"/>
  <c r="AH53" i="1"/>
  <c r="AI53" i="1"/>
  <c r="AH52" i="1"/>
  <c r="AI52" i="1"/>
  <c r="AH50" i="1"/>
  <c r="AI50" i="1"/>
  <c r="AH49" i="1"/>
  <c r="AI49" i="1"/>
  <c r="AC70" i="1"/>
  <c r="AD70" i="1"/>
  <c r="AC69" i="1"/>
  <c r="AD69" i="1"/>
  <c r="AC68" i="1"/>
  <c r="AD68" i="1"/>
  <c r="AC67" i="1"/>
  <c r="AD67" i="1"/>
  <c r="AC64" i="1"/>
  <c r="AD64" i="1"/>
  <c r="AC63" i="1"/>
  <c r="AD63" i="1"/>
  <c r="AC62" i="1"/>
  <c r="AD62" i="1"/>
  <c r="AC58" i="1"/>
  <c r="AD58" i="1"/>
  <c r="AC55" i="1"/>
  <c r="AD55" i="1"/>
  <c r="AC54" i="1"/>
  <c r="AD54" i="1"/>
  <c r="AC53" i="1"/>
  <c r="AD53" i="1"/>
  <c r="AC52" i="1"/>
  <c r="AD52" i="1"/>
  <c r="AC50" i="1"/>
  <c r="AD50" i="1"/>
  <c r="AC49" i="1"/>
  <c r="AD49" i="1"/>
  <c r="X70" i="1"/>
  <c r="Y70" i="1"/>
  <c r="X69" i="1"/>
  <c r="Y69" i="1"/>
  <c r="X68" i="1"/>
  <c r="Y68" i="1"/>
  <c r="X67" i="1"/>
  <c r="Y67" i="1"/>
  <c r="X64" i="1"/>
  <c r="Y64" i="1"/>
  <c r="X63" i="1"/>
  <c r="Y63" i="1"/>
  <c r="X57" i="1"/>
  <c r="Y57" i="1"/>
  <c r="X55" i="1"/>
  <c r="Y55" i="1"/>
  <c r="X54" i="1"/>
  <c r="Y54" i="1"/>
  <c r="X53" i="1"/>
  <c r="Y53" i="1"/>
  <c r="X52" i="1"/>
  <c r="Y52" i="1"/>
  <c r="X50" i="1"/>
  <c r="Y50" i="1"/>
  <c r="X49" i="1"/>
  <c r="Y49" i="1"/>
  <c r="T49" i="1"/>
  <c r="T50" i="1"/>
  <c r="T52" i="1"/>
  <c r="T53" i="1"/>
  <c r="T54" i="1"/>
  <c r="T55" i="1"/>
  <c r="S57" i="1"/>
  <c r="T57" i="1"/>
  <c r="S58" i="1"/>
  <c r="T58" i="1"/>
  <c r="S62" i="1"/>
  <c r="T62" i="1"/>
  <c r="S63" i="1"/>
  <c r="T63" i="1"/>
  <c r="S64" i="1"/>
  <c r="T64" i="1"/>
  <c r="S67" i="1"/>
  <c r="T67" i="1"/>
  <c r="S68" i="1"/>
  <c r="T68" i="1"/>
  <c r="S69" i="1"/>
  <c r="T69" i="1"/>
  <c r="S70" i="1"/>
  <c r="T70" i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F62" i="1"/>
  <c r="F98" i="1" s="1"/>
  <c r="B98" i="1"/>
  <c r="C44" i="1"/>
  <c r="C80" i="1"/>
  <c r="D44" i="1"/>
  <c r="D80" i="1"/>
  <c r="B44" i="1"/>
  <c r="E44" i="1"/>
  <c r="E80" i="1" s="1"/>
  <c r="F44" i="1"/>
  <c r="F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/>
  <c r="Y30" i="3"/>
  <c r="Z30" i="3"/>
  <c r="T30" i="3"/>
  <c r="U30" i="3"/>
  <c r="O30" i="3"/>
  <c r="P30" i="3"/>
  <c r="J30" i="3"/>
  <c r="K30" i="3"/>
  <c r="E30" i="3"/>
  <c r="F30" i="3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/>
  <c r="Y28" i="3"/>
  <c r="Z28" i="3"/>
  <c r="T28" i="3"/>
  <c r="U28" i="3"/>
  <c r="O28" i="3"/>
  <c r="P28" i="3"/>
  <c r="J28" i="3"/>
  <c r="K28" i="3"/>
  <c r="E28" i="3"/>
  <c r="F28" i="3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/>
  <c r="Y26" i="3"/>
  <c r="Z26" i="3"/>
  <c r="T26" i="3"/>
  <c r="U26" i="3"/>
  <c r="O26" i="3"/>
  <c r="P26" i="3"/>
  <c r="J26" i="3"/>
  <c r="K26" i="3"/>
  <c r="E26" i="3"/>
  <c r="F26" i="3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/>
  <c r="Y24" i="3"/>
  <c r="Z24" i="3"/>
  <c r="T24" i="3"/>
  <c r="U24" i="3"/>
  <c r="O24" i="3"/>
  <c r="P24" i="3"/>
  <c r="J24" i="3"/>
  <c r="K24" i="3"/>
  <c r="E24" i="3"/>
  <c r="F24" i="3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/>
  <c r="Y22" i="3"/>
  <c r="Z22" i="3"/>
  <c r="T22" i="3"/>
  <c r="U22" i="3"/>
  <c r="O22" i="3"/>
  <c r="P22" i="3"/>
  <c r="J22" i="3"/>
  <c r="K22" i="3"/>
  <c r="E22" i="3"/>
  <c r="F22" i="3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/>
  <c r="Y20" i="3"/>
  <c r="Z20" i="3"/>
  <c r="T20" i="3"/>
  <c r="U20" i="3"/>
  <c r="O20" i="3"/>
  <c r="P20" i="3"/>
  <c r="J20" i="3"/>
  <c r="K20" i="3"/>
  <c r="E20" i="3"/>
  <c r="F20" i="3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/>
  <c r="Y18" i="3"/>
  <c r="Z18" i="3"/>
  <c r="T18" i="3"/>
  <c r="U18" i="3"/>
  <c r="O18" i="3"/>
  <c r="P18" i="3"/>
  <c r="J18" i="3"/>
  <c r="K18" i="3"/>
  <c r="E18" i="3"/>
  <c r="F18" i="3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/>
  <c r="Y16" i="3"/>
  <c r="Z16" i="3"/>
  <c r="T16" i="3"/>
  <c r="U16" i="3"/>
  <c r="O16" i="3"/>
  <c r="P16" i="3"/>
  <c r="J16" i="3"/>
  <c r="K16" i="3"/>
  <c r="E16" i="3"/>
  <c r="F16" i="3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/>
  <c r="Y14" i="3"/>
  <c r="Z14" i="3"/>
  <c r="T14" i="3"/>
  <c r="U14" i="3"/>
  <c r="O14" i="3"/>
  <c r="P14" i="3"/>
  <c r="J14" i="3"/>
  <c r="K14" i="3"/>
  <c r="E14" i="3"/>
  <c r="F14" i="3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/>
  <c r="Y12" i="3"/>
  <c r="Z12" i="3"/>
  <c r="T12" i="3"/>
  <c r="U12" i="3"/>
  <c r="O12" i="3"/>
  <c r="P12" i="3"/>
  <c r="J12" i="3"/>
  <c r="K12" i="3"/>
  <c r="E12" i="3"/>
  <c r="F12" i="3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/>
  <c r="Y10" i="3"/>
  <c r="Z10" i="3"/>
  <c r="T10" i="3"/>
  <c r="U10" i="3"/>
  <c r="O10" i="3"/>
  <c r="P10" i="3"/>
  <c r="J10" i="3"/>
  <c r="K10" i="3"/>
  <c r="E10" i="3"/>
  <c r="F10" i="3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/>
  <c r="Y8" i="3"/>
  <c r="Z8" i="3"/>
  <c r="T8" i="3"/>
  <c r="U8" i="3"/>
  <c r="O8" i="3"/>
  <c r="P8" i="3"/>
  <c r="J8" i="3"/>
  <c r="K8" i="3"/>
  <c r="E8" i="3"/>
  <c r="F8" i="3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/>
  <c r="Y6" i="3"/>
  <c r="Z6" i="3"/>
  <c r="T6" i="3"/>
  <c r="U6" i="3"/>
  <c r="O6" i="3"/>
  <c r="P6" i="3"/>
  <c r="J6" i="3"/>
  <c r="K6" i="3"/>
  <c r="E6" i="3"/>
  <c r="F6" i="3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N30" i="2"/>
  <c r="B28" i="2"/>
  <c r="B27" i="2"/>
  <c r="L73" i="1"/>
  <c r="L109" i="1" s="1"/>
  <c r="I80" i="1"/>
  <c r="K71" i="1" l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I45" i="1"/>
  <c r="I81" i="1" s="1"/>
  <c r="J45" i="1"/>
  <c r="J81" i="1" s="1"/>
  <c r="H75" i="1"/>
  <c r="H111" i="1" s="1"/>
  <c r="J63" i="1"/>
  <c r="J99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5" i="1" l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M45" i="1"/>
  <c r="M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sharedStrings.xml><?xml version="1.0" encoding="utf-8"?>
<sst xmlns="http://schemas.openxmlformats.org/spreadsheetml/2006/main" count="372" uniqueCount="185">
  <si>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</si>
  <si>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</si>
  <si>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</si>
  <si>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</si>
  <si>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</si>
  <si>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</si>
  <si>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</si>
  <si>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</si>
  <si>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</si>
  <si>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</si>
  <si>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</si>
  <si>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</si>
  <si>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</si>
  <si>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</si>
  <si>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</si>
  <si>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</si>
  <si>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</si>
  <si>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</si>
  <si>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</si>
  <si>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</si>
  <si>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</si>
  <si>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</si>
  <si>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</si>
  <si>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</si>
  <si>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</si>
  <si>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</si>
  <si>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</si>
  <si>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</si>
  <si>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</si>
  <si>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</si>
  <si>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</si>
  <si>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</si>
  <si>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</si>
  <si>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</si>
  <si>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</si>
  <si>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</si>
  <si>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</si>
  <si>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</si>
  <si>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</si>
  <si>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</si>
  <si>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</si>
  <si>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</si>
  <si>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</si>
  <si>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</si>
  <si>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</si>
  <si>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</si>
  <si>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</si>
  <si>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</si>
  <si>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</si>
  <si>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</si>
  <si>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</si>
  <si>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</si>
  <si>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</si>
  <si>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</si>
  <si>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</si>
  <si>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</si>
  <si>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</si>
  <si>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</si>
  <si>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</si>
  <si>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</si>
  <si>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</si>
  <si>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</si>
  <si>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</si>
  <si>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</si>
  <si>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</si>
  <si>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</si>
  <si>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</si>
  <si>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</si>
  <si>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</si>
  <si>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</si>
  <si>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</si>
  <si>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</si>
  <si>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</si>
  <si>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</si>
  <si>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</si>
  <si>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</si>
  <si>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</si>
  <si>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</si>
  <si>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</si>
  <si>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</si>
  <si>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</si>
  <si>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</si>
  <si>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</si>
  <si>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</si>
  <si>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</si>
  <si>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</si>
  <si>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</si>
  <si>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</si>
  <si>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</si>
  <si>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</si>
  <si>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</si>
  <si>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</si>
  <si>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</si>
  <si>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</si>
  <si>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</si>
  <si>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</si>
  <si>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</si>
  <si>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</si>
  <si>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</si>
  <si>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</si>
  <si>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</si>
  <si>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</si>
  <si>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</si>
  <si>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Hospital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</si>
  <si>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</si>
  <si>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</si>
  <si>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</si>
  <si>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</si>
  <si>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</si>
  <si>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</si>
  <si>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</si>
  <si>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</si>
  <si>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</si>
  <si>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</si>
  <si>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</si>
  <si>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</si>
  <si>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</si>
  <si>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</si>
  <si>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</si>
  <si>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</si>
  <si>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</si>
  <si>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</si>
  <si>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</si>
  <si>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</si>
  <si>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</si>
  <si>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</si>
  <si>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</si>
  <si>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</si>
  <si>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Medical University of South Carolina</t>
  </si>
  <si>
    <t>169  Ashley Ave</t>
  </si>
  <si>
    <t>Charleston, SC 29425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</si>
  <si>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</si>
  <si>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</si>
  <si>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</si>
  <si>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</si>
  <si>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</si>
  <si>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</si>
  <si>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</si>
  <si>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</si>
  <si>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</si>
  <si>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</si>
  <si>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</si>
  <si>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</si>
  <si>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Siemens template (attached) gives the exposure at various distances per 1000 mAs rotation.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</si>
  <si>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</si>
  <si>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</si>
  <si>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</si>
  <si>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</si>
  <si>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</si>
  <si>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</si>
  <si>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</si>
  <si>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</si>
  <si>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</si>
  <si>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</si>
  <si>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</si>
  <si>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</si>
  <si>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</si>
  <si>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</si>
  <si>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</si>
  <si>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</si>
  <si>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</si>
  <si>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</si>
  <si>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</si>
  <si>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</si>
  <si>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</si>
  <si>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</si>
  <si>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</si>
  <si>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</si>
  <si>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</si>
  <si>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mGy/100 mAs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</si>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</sst>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</numFmts>
  <fonts count="23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</borders>
  <cellStyleXfs count="4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</cellStyleXfs>
  <cellXfs count="299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4">
    <cellStyle name="Normal" xfId="0" builtinId="0"/>
    <cellStyle name="Normal 2" xfId="2"/>
    <cellStyle name="Normal_Shield_form" xfId="3"/>
    <cellStyle name="Normal_shieldevaluatio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iff"/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2</xdr:col>
      <xdr:colOff>41275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95250</xdr:rowOff>
    </xdr:from>
    <xdr:to>
      <xdr:col>4</xdr:col>
      <xdr:colOff>0</xdr:colOff>
      <xdr:row>98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genem/Documents/ShieldingDesigns/NM/MUH306/SymbiaT6_MUH306Shield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eldForm"/>
      <sheetName val="ShieldEvaluation"/>
      <sheetName val="FitParameters"/>
      <sheetName val="CT"/>
    </sheetNames>
    <sheetDataSet>
      <sheetData sheetId="0">
        <row r="6">
          <cell r="AE6">
            <v>-25.4</v>
          </cell>
          <cell r="AG6" t="str">
            <v>0"</v>
          </cell>
        </row>
        <row r="7">
          <cell r="AE7">
            <v>0</v>
          </cell>
          <cell r="AG7" t="str">
            <v>&lt;=1/256"</v>
          </cell>
        </row>
        <row r="8">
          <cell r="AE8">
            <v>9.9218750999999994E-2</v>
          </cell>
          <cell r="AG8">
            <v>7.8125E-3</v>
          </cell>
        </row>
        <row r="9">
          <cell r="AE9">
            <v>0.19843750099999999</v>
          </cell>
          <cell r="AG9">
            <v>1.5625E-2</v>
          </cell>
        </row>
        <row r="10">
          <cell r="AE10">
            <v>0.39687500100000001</v>
          </cell>
          <cell r="AG10">
            <v>3.125E-2</v>
          </cell>
        </row>
        <row r="11">
          <cell r="AE11">
            <v>0.59531250099999988</v>
          </cell>
          <cell r="AG11">
            <v>3.125E-2</v>
          </cell>
        </row>
        <row r="12">
          <cell r="AE12">
            <v>0.79375000099999993</v>
          </cell>
          <cell r="AG12">
            <v>3.125E-2</v>
          </cell>
        </row>
        <row r="13">
          <cell r="AE13">
            <v>0.99218750099999997</v>
          </cell>
          <cell r="AG13">
            <v>6.25E-2</v>
          </cell>
        </row>
        <row r="14">
          <cell r="AE14">
            <v>1.1906250009999999</v>
          </cell>
          <cell r="AG14">
            <v>6.25E-2</v>
          </cell>
        </row>
        <row r="15">
          <cell r="AE15">
            <v>1.3890625009999999</v>
          </cell>
          <cell r="AG15">
            <v>6.25E-2</v>
          </cell>
        </row>
        <row r="16">
          <cell r="AE16">
            <v>1.587500001</v>
          </cell>
          <cell r="AG16">
            <v>6.25E-2</v>
          </cell>
        </row>
        <row r="17">
          <cell r="AE17">
            <v>1.785937501</v>
          </cell>
          <cell r="AG17">
            <v>9.375E-2</v>
          </cell>
        </row>
        <row r="18">
          <cell r="AE18">
            <v>1.9843750010000001</v>
          </cell>
          <cell r="AG18">
            <v>9.375E-2</v>
          </cell>
        </row>
        <row r="19">
          <cell r="AE19">
            <v>2.1828125009999999</v>
          </cell>
          <cell r="AG19">
            <v>9.375E-2</v>
          </cell>
        </row>
        <row r="20">
          <cell r="AE20">
            <v>2.3812500009999997</v>
          </cell>
          <cell r="AG20">
            <v>9.375E-2</v>
          </cell>
        </row>
        <row r="21">
          <cell r="AE21">
            <v>2.579687501</v>
          </cell>
          <cell r="AG21">
            <v>0.125</v>
          </cell>
        </row>
        <row r="22">
          <cell r="AE22">
            <v>2.7781250009999998</v>
          </cell>
          <cell r="AG22">
            <v>0.125</v>
          </cell>
        </row>
        <row r="23">
          <cell r="AE23">
            <v>2.9765625010000001</v>
          </cell>
          <cell r="AG23">
            <v>0.125</v>
          </cell>
        </row>
        <row r="24">
          <cell r="AE24">
            <v>3.1750000009999999</v>
          </cell>
          <cell r="AG24">
            <v>0.125</v>
          </cell>
        </row>
        <row r="25">
          <cell r="AE25">
            <v>3.3734375009999997</v>
          </cell>
          <cell r="AG25">
            <v>0.15625</v>
          </cell>
        </row>
        <row r="26">
          <cell r="AE26">
            <v>3.571875001</v>
          </cell>
          <cell r="AG26">
            <v>0.15625</v>
          </cell>
        </row>
        <row r="27">
          <cell r="AE27">
            <v>3.7703125009999998</v>
          </cell>
          <cell r="AG27">
            <v>0.15625</v>
          </cell>
        </row>
        <row r="28">
          <cell r="AE28">
            <v>3.9687500010000001</v>
          </cell>
          <cell r="AG28">
            <v>0.15625</v>
          </cell>
        </row>
        <row r="29">
          <cell r="AE29">
            <v>4.1671875009999999</v>
          </cell>
          <cell r="AG29">
            <v>0.1875</v>
          </cell>
        </row>
        <row r="30">
          <cell r="AE30">
            <v>4.3656250009999997</v>
          </cell>
          <cell r="AG30">
            <v>0.1875</v>
          </cell>
        </row>
        <row r="31">
          <cell r="AE31">
            <v>4.5640625009999995</v>
          </cell>
          <cell r="AG31">
            <v>0.1875</v>
          </cell>
        </row>
        <row r="32">
          <cell r="AE32">
            <v>4.7625000009999994</v>
          </cell>
          <cell r="AG32">
            <v>0.1875</v>
          </cell>
        </row>
        <row r="33">
          <cell r="AE33">
            <v>4.9609375010000001</v>
          </cell>
          <cell r="AG33">
            <v>0.21875</v>
          </cell>
        </row>
        <row r="34">
          <cell r="AE34">
            <v>5.1593750009999999</v>
          </cell>
          <cell r="AG34">
            <v>0.21875</v>
          </cell>
        </row>
        <row r="35">
          <cell r="AE35">
            <v>5.3578125009999997</v>
          </cell>
          <cell r="AG35">
            <v>0.21875</v>
          </cell>
        </row>
        <row r="36">
          <cell r="AE36">
            <v>5.5562500009999995</v>
          </cell>
          <cell r="AG36">
            <v>0.21875</v>
          </cell>
        </row>
        <row r="37">
          <cell r="AE37">
            <v>5.7546875009999994</v>
          </cell>
          <cell r="AG37">
            <v>0.25</v>
          </cell>
        </row>
        <row r="38">
          <cell r="AE38">
            <v>5.9531250010000001</v>
          </cell>
          <cell r="AG38">
            <v>0.25</v>
          </cell>
        </row>
        <row r="39">
          <cell r="AE39">
            <v>6.1515625009999999</v>
          </cell>
          <cell r="AG39">
            <v>0.25</v>
          </cell>
        </row>
        <row r="40">
          <cell r="AE40">
            <v>6.3500000009999997</v>
          </cell>
          <cell r="AG40" t="str">
            <v>&gt;=1/4"</v>
          </cell>
        </row>
        <row r="41">
          <cell r="AE41">
            <v>25.400000000999999</v>
          </cell>
        </row>
      </sheetData>
      <sheetData sheetId="1">
        <row r="16">
          <cell r="H16" t="str">
            <v/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tabSelected="1" topLeftCell="A16" zoomScale="90" zoomScaleNormal="90" workbookViewId="0">
      <selection activeCell="A26" sqref="A26:I32"/>
    </sheetView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4"/>
      <c r="E1" s="1"/>
      <c r="F1" s="1"/>
      <c r="G1" s="142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6"/>
      <c r="C3" s="4"/>
      <c r="D3" s="18"/>
      <c r="E3" s="18"/>
      <c r="F3" s="18"/>
      <c r="G3" s="18"/>
      <c r="H3" s="18"/>
      <c r="I3" s="18"/>
      <c r="J3" s="21"/>
      <c r="O3" s="143" t="s">
        <v>3</v>
      </c>
      <c r="P3" s="78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3" t="s">
        <v>5</v>
      </c>
      <c r="P4" s="78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7"/>
      <c r="C5" s="62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3" t="s">
        <v>10</v>
      </c>
      <c r="P5" s="78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1" t="s">
        <v>12</v>
      </c>
      <c r="AF5" s="51" t="s">
        <v>13</v>
      </c>
      <c r="AG5" s="51" t="s">
        <v>14</v>
      </c>
    </row>
    <row r="6" spans="1:36" x14ac:dyDescent="0.2">
      <c r="A6" s="8"/>
      <c r="B6" s="45"/>
      <c r="C6" s="45"/>
      <c r="D6" s="46"/>
      <c r="E6" s="46"/>
      <c r="F6" s="47"/>
      <c r="G6" s="48"/>
      <c r="H6" s="49"/>
      <c r="I6" s="41"/>
      <c r="J6" s="42"/>
      <c r="K6" s="7"/>
      <c r="L6" s="7"/>
      <c r="O6" s="143" t="s">
        <v>15</v>
      </c>
      <c r="P6" s="78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1" t="s">
        <v>17</v>
      </c>
    </row>
    <row r="7" spans="1:36" x14ac:dyDescent="0.2">
      <c r="A7" s="7"/>
      <c r="B7" s="50"/>
      <c r="C7" s="50"/>
      <c r="D7" s="50"/>
      <c r="E7" s="50"/>
      <c r="F7" s="50"/>
      <c r="G7" s="50"/>
      <c r="H7" s="50"/>
      <c r="I7" s="7"/>
      <c r="J7" s="7"/>
      <c r="K7" s="7"/>
      <c r="L7" s="7"/>
      <c r="O7" s="143" t="s">
        <v>18</v>
      </c>
      <c r="P7" s="78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60"/>
      <c r="AE7">
        <v>0</v>
      </c>
      <c r="AF7">
        <v>0</v>
      </c>
      <c r="AG7" s="57" t="s">
        <v>20</v>
      </c>
      <c r="AJ7" s="60"/>
    </row>
    <row r="8" spans="1:36" x14ac:dyDescent="0.2">
      <c r="C8" s="2" t="s">
        <v>21</v>
      </c>
      <c r="D8" s="289"/>
      <c r="O8" s="143" t="s">
        <v>22</v>
      </c>
      <c r="P8" s="78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60"/>
      <c r="AE8" s="60">
        <v>9.9218750999999994E-2</v>
      </c>
      <c r="AF8" s="56">
        <v>3.90625E-3</v>
      </c>
      <c r="AG8" s="57">
        <v>7.8125E-3</v>
      </c>
      <c r="AH8" s="58"/>
      <c r="AI8" s="60"/>
      <c r="AJ8" s="60"/>
    </row>
    <row r="9" spans="1:36" x14ac:dyDescent="0.2">
      <c r="C9" s="2" t="s">
        <v>24</v>
      </c>
      <c r="D9" s="289"/>
      <c r="G9" s="2" t="s">
        <v>25</v>
      </c>
      <c r="H9" s="288"/>
      <c r="I9" s="5"/>
      <c r="O9" s="143" t="s">
        <v>26</v>
      </c>
      <c r="P9" s="78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60"/>
      <c r="AE9" s="60">
        <v>0.19843750099999999</v>
      </c>
      <c r="AF9" s="56">
        <v>7.8125E-3</v>
      </c>
      <c r="AG9" s="57">
        <v>1.5625E-2</v>
      </c>
      <c r="AH9" s="58"/>
      <c r="AI9" s="60"/>
      <c r="AJ9" s="60"/>
    </row>
    <row r="10" spans="1:36" x14ac:dyDescent="0.2">
      <c r="C10" s="2" t="s">
        <v>28</v>
      </c>
      <c r="D10" s="289"/>
      <c r="G10" s="2" t="s">
        <v>29</v>
      </c>
      <c r="H10" s="288"/>
      <c r="I10" s="5"/>
      <c r="O10" s="143" t="s">
        <v>30</v>
      </c>
      <c r="P10" s="78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0"/>
      <c r="AE10" s="60">
        <v>0.39687500100000001</v>
      </c>
      <c r="AF10" s="56">
        <v>1.5625E-2</v>
      </c>
      <c r="AG10" s="57">
        <v>3.125E-2</v>
      </c>
      <c r="AH10" s="58"/>
      <c r="AI10" s="60"/>
      <c r="AJ10" s="60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60"/>
      <c r="AE11" s="60">
        <v>0.59531250099999988</v>
      </c>
      <c r="AF11" s="56">
        <v>2.34375E-2</v>
      </c>
      <c r="AG11" s="57">
        <v>3.125E-2</v>
      </c>
      <c r="AH11" s="58"/>
      <c r="AI11" s="60"/>
      <c r="AJ11" s="60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5"/>
      <c r="W12" s="106"/>
      <c r="X12" s="107" t="s">
        <v>33</v>
      </c>
      <c r="Y12" s="108"/>
      <c r="Z12" s="108"/>
      <c r="AA12" s="108"/>
      <c r="AB12" s="109"/>
      <c r="AC12"/>
      <c r="AD12" s="60"/>
      <c r="AE12" s="60">
        <v>0.79375000099999993</v>
      </c>
      <c r="AF12" s="56">
        <v>3.125E-2</v>
      </c>
      <c r="AG12" s="57">
        <v>3.125E-2</v>
      </c>
      <c r="AH12" s="58"/>
      <c r="AI12" s="60"/>
      <c r="AJ12" s="60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10"/>
      <c r="W13" s="111"/>
      <c r="X13" s="112" t="s">
        <v>36</v>
      </c>
      <c r="Y13" s="112"/>
      <c r="Z13" s="112"/>
      <c r="AA13" s="112"/>
      <c r="AB13" s="113"/>
      <c r="AC13"/>
      <c r="AD13" s="60"/>
      <c r="AE13" s="60">
        <v>0.99218750099999997</v>
      </c>
      <c r="AF13" s="56">
        <v>3.90625E-2</v>
      </c>
      <c r="AG13" s="57">
        <v>6.25E-2</v>
      </c>
      <c r="AH13" s="58"/>
      <c r="AI13" s="60"/>
      <c r="AJ13" s="60"/>
    </row>
    <row r="14" spans="1:36" x14ac:dyDescent="0.2">
      <c r="C14" s="13"/>
      <c r="D14" s="44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4" t="s">
        <v>37</v>
      </c>
      <c r="W14" s="115">
        <v>30</v>
      </c>
      <c r="X14" s="115">
        <v>45</v>
      </c>
      <c r="Y14" s="115">
        <v>60</v>
      </c>
      <c r="Z14" s="115">
        <v>90</v>
      </c>
      <c r="AA14" s="115">
        <v>120</v>
      </c>
      <c r="AB14" s="116">
        <v>135</v>
      </c>
      <c r="AC14"/>
      <c r="AD14" s="60"/>
      <c r="AE14" s="60">
        <v>1.1906250009999999</v>
      </c>
      <c r="AF14" s="56">
        <v>4.6875E-2</v>
      </c>
      <c r="AG14" s="57">
        <v>6.25E-2</v>
      </c>
      <c r="AH14" s="58"/>
      <c r="AI14" s="60"/>
      <c r="AJ14" s="60"/>
    </row>
    <row r="15" spans="1:36" x14ac:dyDescent="0.2">
      <c r="A15" s="20" t="s">
        <v>38</v>
      </c>
      <c r="P15"/>
      <c r="Q15"/>
      <c r="R15"/>
      <c r="S15"/>
      <c r="T15"/>
      <c r="U15"/>
      <c r="V15" s="110"/>
      <c r="W15" s="117"/>
      <c r="X15" s="117"/>
      <c r="Y15" s="117"/>
      <c r="Z15" s="117"/>
      <c r="AA15" s="117"/>
      <c r="AB15" s="118"/>
      <c r="AC15"/>
      <c r="AD15" s="60"/>
      <c r="AE15" s="60">
        <v>1.3890625009999999</v>
      </c>
      <c r="AF15" s="56">
        <v>5.46875E-2</v>
      </c>
      <c r="AG15" s="57">
        <v>6.25E-2</v>
      </c>
      <c r="AH15" s="58"/>
      <c r="AI15" s="60"/>
      <c r="AJ15" s="60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10">
        <v>30</v>
      </c>
      <c r="W16" s="117"/>
      <c r="X16" s="117"/>
      <c r="Y16" s="117"/>
      <c r="Z16" s="117"/>
      <c r="AA16" s="117"/>
      <c r="AB16" s="118"/>
      <c r="AC16"/>
      <c r="AD16" s="60"/>
      <c r="AE16" s="60">
        <v>1.587500001</v>
      </c>
      <c r="AF16" s="56">
        <v>6.25E-2</v>
      </c>
      <c r="AG16" s="57">
        <v>6.25E-2</v>
      </c>
      <c r="AH16" s="58"/>
      <c r="AI16" s="60"/>
      <c r="AJ16" s="60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10">
        <v>35</v>
      </c>
      <c r="W17" s="117"/>
      <c r="X17" s="117"/>
      <c r="Y17" s="117"/>
      <c r="Z17" s="117"/>
      <c r="AA17" s="117"/>
      <c r="AB17" s="118"/>
      <c r="AC17"/>
      <c r="AD17" s="60"/>
      <c r="AE17" s="60">
        <v>1.785937501</v>
      </c>
      <c r="AF17" s="56">
        <v>7.03125E-2</v>
      </c>
      <c r="AG17" s="57">
        <v>9.375E-2</v>
      </c>
      <c r="AH17" s="58"/>
      <c r="AI17" s="60"/>
      <c r="AJ17" s="60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10">
        <v>50</v>
      </c>
      <c r="W18" s="119">
        <v>5.0000000000000001E-4</v>
      </c>
      <c r="X18" s="119">
        <v>2.0000000000000001E-4</v>
      </c>
      <c r="Y18" s="119">
        <v>2.5000000000000001E-4</v>
      </c>
      <c r="Z18" s="119">
        <v>3.5E-4</v>
      </c>
      <c r="AA18" s="119">
        <v>8.0000000000000004E-4</v>
      </c>
      <c r="AB18" s="120">
        <v>1E-3</v>
      </c>
      <c r="AC18"/>
      <c r="AD18" s="60"/>
      <c r="AE18" s="60">
        <v>1.9843750010000001</v>
      </c>
      <c r="AF18" s="56">
        <v>7.8125E-2</v>
      </c>
      <c r="AG18" s="57">
        <v>9.375E-2</v>
      </c>
      <c r="AH18" s="58"/>
      <c r="AI18" s="60"/>
      <c r="AJ18" s="60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4" t="s">
        <v>53</v>
      </c>
      <c r="P19"/>
      <c r="Q19"/>
      <c r="R19"/>
      <c r="S19"/>
      <c r="T19"/>
      <c r="U19"/>
      <c r="V19" s="110">
        <v>55</v>
      </c>
      <c r="W19" s="121">
        <f t="shared" ref="W19:AB21" si="1">((($V19-$V$18)/($V$22-$V$18))*(W$22-W$18))+W$18</f>
        <v>5.375E-4</v>
      </c>
      <c r="X19" s="121">
        <f t="shared" si="1"/>
        <v>2.375E-4</v>
      </c>
      <c r="Y19" s="121">
        <f t="shared" si="1"/>
        <v>2.7500000000000002E-4</v>
      </c>
      <c r="Z19" s="121">
        <f t="shared" si="1"/>
        <v>3.8749999999999999E-4</v>
      </c>
      <c r="AA19" s="121">
        <f t="shared" si="1"/>
        <v>8.5000000000000006E-4</v>
      </c>
      <c r="AB19" s="122">
        <f t="shared" si="1"/>
        <v>1.075E-3</v>
      </c>
      <c r="AC19"/>
      <c r="AD19" s="60"/>
      <c r="AE19" s="60">
        <v>2.1828125009999999</v>
      </c>
      <c r="AF19" s="56">
        <v>8.59375E-2</v>
      </c>
      <c r="AG19" s="57">
        <v>9.375E-2</v>
      </c>
      <c r="AH19" s="58"/>
      <c r="AI19" s="59"/>
      <c r="AJ19" s="60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1" t="s">
        <v>55</v>
      </c>
      <c r="J20" s="51" t="s">
        <v>56</v>
      </c>
      <c r="K20" s="51" t="s">
        <v>56</v>
      </c>
      <c r="L20" s="51" t="s">
        <v>55</v>
      </c>
      <c r="P20"/>
      <c r="Q20"/>
      <c r="R20"/>
      <c r="S20"/>
      <c r="T20"/>
      <c r="U20"/>
      <c r="V20" s="110">
        <v>60</v>
      </c>
      <c r="W20" s="121">
        <f t="shared" si="1"/>
        <v>5.7499999999999999E-4</v>
      </c>
      <c r="X20" s="121">
        <f t="shared" si="1"/>
        <v>2.7500000000000002E-4</v>
      </c>
      <c r="Y20" s="121">
        <f t="shared" si="1"/>
        <v>3.0000000000000003E-4</v>
      </c>
      <c r="Z20" s="121">
        <f t="shared" si="1"/>
        <v>4.2500000000000003E-4</v>
      </c>
      <c r="AA20" s="121">
        <f t="shared" si="1"/>
        <v>8.9999999999999998E-4</v>
      </c>
      <c r="AB20" s="122">
        <f t="shared" si="1"/>
        <v>1.15E-3</v>
      </c>
      <c r="AC20"/>
      <c r="AD20" s="60"/>
      <c r="AE20" s="60">
        <v>2.3812500009999997</v>
      </c>
      <c r="AF20" s="56">
        <v>9.375E-2</v>
      </c>
      <c r="AG20" s="57">
        <v>9.375E-2</v>
      </c>
      <c r="AH20" s="58"/>
      <c r="AI20" s="59"/>
      <c r="AJ20" s="60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3"/>
      <c r="J21" s="208">
        <f>I21*12*0.0254</f>
        <v>0</v>
      </c>
      <c r="K21" s="53"/>
      <c r="L21" s="208">
        <f>K21*100/2.54/12</f>
        <v>0</v>
      </c>
      <c r="P21"/>
      <c r="Q21"/>
      <c r="R21"/>
      <c r="S21"/>
      <c r="T21"/>
      <c r="U21"/>
      <c r="V21" s="110">
        <v>65</v>
      </c>
      <c r="W21" s="121">
        <f t="shared" si="1"/>
        <v>6.1249999999999998E-4</v>
      </c>
      <c r="X21" s="121">
        <f t="shared" si="1"/>
        <v>3.1250000000000001E-4</v>
      </c>
      <c r="Y21" s="121">
        <f t="shared" si="1"/>
        <v>3.2499999999999999E-4</v>
      </c>
      <c r="Z21" s="121">
        <f t="shared" si="1"/>
        <v>4.6250000000000002E-4</v>
      </c>
      <c r="AA21" s="121">
        <f t="shared" si="1"/>
        <v>9.5E-4</v>
      </c>
      <c r="AB21" s="122">
        <f t="shared" si="1"/>
        <v>1.225E-3</v>
      </c>
      <c r="AC21"/>
      <c r="AD21" s="60"/>
      <c r="AE21" s="60">
        <v>2.579687501</v>
      </c>
      <c r="AF21" s="56">
        <v>0.1015625</v>
      </c>
      <c r="AG21" s="57">
        <v>0.125</v>
      </c>
      <c r="AH21" s="58"/>
      <c r="AI21" s="59"/>
      <c r="AJ21" s="60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1" t="s">
        <v>13</v>
      </c>
      <c r="J22" s="51" t="s">
        <v>12</v>
      </c>
      <c r="K22" s="55" t="s">
        <v>12</v>
      </c>
      <c r="L22" s="55" t="s">
        <v>13</v>
      </c>
      <c r="M22" s="30"/>
      <c r="P22"/>
      <c r="Q22"/>
      <c r="R22"/>
      <c r="S22"/>
      <c r="T22"/>
      <c r="U22"/>
      <c r="V22" s="110">
        <v>70</v>
      </c>
      <c r="W22" s="119">
        <v>6.4999999999999997E-4</v>
      </c>
      <c r="X22" s="119">
        <v>3.5E-4</v>
      </c>
      <c r="Y22" s="119">
        <v>3.5E-4</v>
      </c>
      <c r="Z22" s="119">
        <v>5.0000000000000001E-4</v>
      </c>
      <c r="AA22" s="119">
        <v>1E-3</v>
      </c>
      <c r="AB22" s="120">
        <v>1.2999999999999999E-3</v>
      </c>
      <c r="AC22"/>
      <c r="AD22" s="60"/>
      <c r="AE22" s="60">
        <v>2.7781250009999998</v>
      </c>
      <c r="AF22" s="56">
        <v>0.109375</v>
      </c>
      <c r="AG22" s="57">
        <v>0.125</v>
      </c>
      <c r="AH22" s="58"/>
      <c r="AI22" s="59"/>
      <c r="AJ22" s="60"/>
    </row>
    <row r="23" spans="1:36" x14ac:dyDescent="0.2">
      <c r="I23" s="52"/>
      <c r="J23" s="208">
        <f>I23*25.4</f>
        <v>0</v>
      </c>
      <c r="K23" s="52"/>
      <c r="L23" s="208">
        <f>K23/25.4</f>
        <v>0</v>
      </c>
      <c r="P23" s="12" t="s">
        <v>59</v>
      </c>
      <c r="Q23"/>
      <c r="R23"/>
      <c r="S23"/>
      <c r="T23"/>
      <c r="U23"/>
      <c r="V23" s="110">
        <v>75</v>
      </c>
      <c r="W23" s="121">
        <f t="shared" ref="W23:AB27" si="2">((($V23-$V$22)/($V$28-$V$22))*(W$28-W$22))+W$22</f>
        <v>7.9166666666666665E-4</v>
      </c>
      <c r="X23" s="121">
        <f t="shared" si="2"/>
        <v>4.9166666666666662E-4</v>
      </c>
      <c r="Y23" s="121">
        <f t="shared" si="2"/>
        <v>4.9166666666666662E-4</v>
      </c>
      <c r="Z23" s="121">
        <f t="shared" si="2"/>
        <v>6.333333333333333E-4</v>
      </c>
      <c r="AA23" s="121">
        <f t="shared" si="2"/>
        <v>1.1666666666666668E-3</v>
      </c>
      <c r="AB23" s="122">
        <f t="shared" si="2"/>
        <v>1.4499999999999999E-3</v>
      </c>
      <c r="AC23"/>
      <c r="AD23" s="60"/>
      <c r="AE23" s="60">
        <v>2.9765625010000001</v>
      </c>
      <c r="AF23" s="56">
        <v>0.1171875</v>
      </c>
      <c r="AG23" s="57">
        <v>0.125</v>
      </c>
      <c r="AH23" s="58"/>
      <c r="AI23" s="59"/>
      <c r="AJ23" s="60"/>
    </row>
    <row r="24" spans="1:36" x14ac:dyDescent="0.2">
      <c r="A24" s="7"/>
      <c r="B24" s="42" t="s">
        <v>60</v>
      </c>
      <c r="C24" s="42"/>
      <c r="D24" s="42"/>
      <c r="E24" s="64"/>
      <c r="F24" s="65"/>
      <c r="G24" s="65"/>
      <c r="H24" s="65"/>
      <c r="I24" s="66" t="s">
        <v>61</v>
      </c>
      <c r="J24" s="7"/>
      <c r="K24" s="66" t="s">
        <v>62</v>
      </c>
      <c r="L24" s="66" t="s">
        <v>63</v>
      </c>
      <c r="M24" s="66" t="s">
        <v>64</v>
      </c>
      <c r="N24" s="66"/>
      <c r="O24" s="66" t="s">
        <v>65</v>
      </c>
      <c r="P24" s="66" t="s">
        <v>65</v>
      </c>
      <c r="Q24" s="66" t="s">
        <v>66</v>
      </c>
      <c r="R24"/>
      <c r="S24"/>
      <c r="T24"/>
      <c r="U24"/>
      <c r="V24" s="110">
        <v>80</v>
      </c>
      <c r="W24" s="121">
        <f t="shared" si="2"/>
        <v>9.3333333333333332E-4</v>
      </c>
      <c r="X24" s="121">
        <f t="shared" si="2"/>
        <v>6.3333333333333319E-4</v>
      </c>
      <c r="Y24" s="121">
        <f t="shared" si="2"/>
        <v>6.3333333333333319E-4</v>
      </c>
      <c r="Z24" s="121">
        <f t="shared" si="2"/>
        <v>7.6666666666666658E-4</v>
      </c>
      <c r="AA24" s="121">
        <f t="shared" si="2"/>
        <v>1.3333333333333333E-3</v>
      </c>
      <c r="AB24" s="122">
        <f t="shared" si="2"/>
        <v>1.5999999999999999E-3</v>
      </c>
      <c r="AC24"/>
      <c r="AD24" s="60"/>
      <c r="AE24" s="60">
        <v>3.1750000009999999</v>
      </c>
      <c r="AF24" s="56">
        <v>0.125</v>
      </c>
      <c r="AG24" s="57">
        <v>0.125</v>
      </c>
      <c r="AH24" s="58"/>
      <c r="AI24" s="59"/>
      <c r="AJ24" s="60"/>
    </row>
    <row r="25" spans="1:36" x14ac:dyDescent="0.2">
      <c r="A25" s="67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8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9" t="s">
        <v>82</v>
      </c>
      <c r="R25"/>
      <c r="S25"/>
      <c r="T25"/>
      <c r="U25"/>
      <c r="V25" s="110">
        <v>85</v>
      </c>
      <c r="W25" s="121">
        <f t="shared" si="2"/>
        <v>1.075E-3</v>
      </c>
      <c r="X25" s="121">
        <f t="shared" si="2"/>
        <v>7.7499999999999986E-4</v>
      </c>
      <c r="Y25" s="121">
        <f t="shared" si="2"/>
        <v>7.7499999999999986E-4</v>
      </c>
      <c r="Z25" s="121">
        <f t="shared" si="2"/>
        <v>8.9999999999999998E-4</v>
      </c>
      <c r="AA25" s="121">
        <f t="shared" si="2"/>
        <v>1.5E-3</v>
      </c>
      <c r="AB25" s="122">
        <f t="shared" si="2"/>
        <v>1.75E-3</v>
      </c>
      <c r="AC25"/>
      <c r="AD25" s="60"/>
      <c r="AE25" s="60">
        <v>3.3734375009999997</v>
      </c>
      <c r="AF25" s="56">
        <v>0.1328125</v>
      </c>
      <c r="AG25" s="57">
        <v>0.15625</v>
      </c>
      <c r="AH25" s="58"/>
      <c r="AI25" s="59"/>
      <c r="AJ25" s="60"/>
    </row>
    <row r="26" spans="1:36" x14ac:dyDescent="0.2">
      <c r="A26" s="207"/>
      <c r="B26" s="63"/>
      <c r="C26" s="63"/>
      <c r="D26" s="63"/>
      <c r="E26" s="63"/>
      <c r="F26" s="63"/>
      <c r="G26" s="63"/>
      <c r="H26" s="290"/>
      <c r="I26" s="63"/>
      <c r="J26" s="71" t="str">
        <f t="shared" ref="J26:J39" si="3">IF(Q26="","",IF($D$13&lt;40,0.00022,VLOOKUP($D$13,$V$16:$AB$38,Q26,FALSE)))</f>
        <v/>
      </c>
      <c r="K26" s="72" t="str">
        <f>IF(C26="","",IF(H26="U",0.02,0.1))</f>
        <v/>
      </c>
      <c r="L26" s="73" t="str">
        <f t="shared" ref="L26:L39" si="4">IF(OR(B26="",F26=""),"",(K26*(B26^2))/($D$11*F26*G26))</f>
        <v/>
      </c>
      <c r="M26" s="73" t="str">
        <f>IF(C26="","",(K26/(J26*$D$11*G26))*(D26^2)*(C26^2)*(400/$H$10))</f>
        <v/>
      </c>
      <c r="N26" s="73" t="str">
        <f t="shared" ref="N26:N39" si="5">IF(E26="","",(K26*E26^2*60*$H$9)/($D$11*G26))</f>
        <v/>
      </c>
      <c r="O26" s="74" t="str">
        <f t="shared" ref="O26:O39" si="6">IF(N26="","",IF((-LN(N26)/LN(2))&lt;0,0,-LN(N26)/LN(2)))</f>
        <v/>
      </c>
      <c r="P26" s="75" t="str">
        <f t="shared" ref="P26:P39" si="7">IF(L26="","",IF((-LN(L26)/LN(2))&lt;0,0,-LN(L26)/LN(2)))</f>
        <v/>
      </c>
      <c r="Q26" s="76" t="str">
        <f t="shared" ref="Q26:Q39" si="8">IF(I26="","",IF(I26=30,2,IF(I26=45,3,IF(I26=4,11,IF(I26=90,5,IF(I26=120,6,7))))))</f>
        <v/>
      </c>
      <c r="R26"/>
      <c r="S26"/>
      <c r="T26"/>
      <c r="U26"/>
      <c r="V26" s="110">
        <v>90</v>
      </c>
      <c r="W26" s="121">
        <f t="shared" si="2"/>
        <v>1.2166666666666667E-3</v>
      </c>
      <c r="X26" s="121">
        <f t="shared" si="2"/>
        <v>9.1666666666666654E-4</v>
      </c>
      <c r="Y26" s="121">
        <f t="shared" si="2"/>
        <v>9.1666666666666654E-4</v>
      </c>
      <c r="Z26" s="121">
        <f t="shared" si="2"/>
        <v>1.0333333333333332E-3</v>
      </c>
      <c r="AA26" s="121">
        <f t="shared" si="2"/>
        <v>1.6666666666666666E-3</v>
      </c>
      <c r="AB26" s="122">
        <f t="shared" si="2"/>
        <v>1.9E-3</v>
      </c>
      <c r="AC26"/>
      <c r="AD26" s="60"/>
      <c r="AE26" s="60">
        <v>3.571875001</v>
      </c>
      <c r="AF26" s="56">
        <v>0.140625</v>
      </c>
      <c r="AG26" s="57">
        <v>0.15625</v>
      </c>
      <c r="AH26" s="58"/>
      <c r="AI26" s="59"/>
      <c r="AJ26" s="60"/>
    </row>
    <row r="27" spans="1:36" x14ac:dyDescent="0.2">
      <c r="A27" s="207"/>
      <c r="B27" s="63"/>
      <c r="C27" s="63"/>
      <c r="D27" s="63"/>
      <c r="E27" s="63"/>
      <c r="F27" s="63"/>
      <c r="G27" s="63"/>
      <c r="H27" s="290"/>
      <c r="I27" s="63"/>
      <c r="J27" s="71" t="str">
        <f t="shared" si="3"/>
        <v/>
      </c>
      <c r="K27" s="72" t="str">
        <f t="shared" ref="K27:K39" si="9">IF(C27="","",IF(H27="U",0.02,0.1))</f>
        <v/>
      </c>
      <c r="L27" s="73" t="str">
        <f t="shared" si="4"/>
        <v/>
      </c>
      <c r="M27" s="73" t="str">
        <f>IF(C27="","",(K27/(J27*$D$11*G27))*(D27^2)*(C27^2)*(400/$H$10))</f>
        <v/>
      </c>
      <c r="N27" s="73" t="str">
        <f t="shared" si="5"/>
        <v/>
      </c>
      <c r="O27" s="74" t="str">
        <f t="shared" si="6"/>
        <v/>
      </c>
      <c r="P27" s="75" t="str">
        <f t="shared" si="7"/>
        <v/>
      </c>
      <c r="Q27" s="76" t="str">
        <f t="shared" si="8"/>
        <v/>
      </c>
      <c r="R27"/>
      <c r="S27"/>
      <c r="T27"/>
      <c r="U27"/>
      <c r="V27" s="110">
        <v>95</v>
      </c>
      <c r="W27" s="121">
        <f t="shared" si="2"/>
        <v>1.3583333333333334E-3</v>
      </c>
      <c r="X27" s="121">
        <f t="shared" si="2"/>
        <v>1.0583333333333332E-3</v>
      </c>
      <c r="Y27" s="121">
        <f t="shared" si="2"/>
        <v>1.0583333333333332E-3</v>
      </c>
      <c r="Z27" s="121">
        <f t="shared" si="2"/>
        <v>1.1666666666666665E-3</v>
      </c>
      <c r="AA27" s="121">
        <f t="shared" si="2"/>
        <v>1.8333333333333335E-3</v>
      </c>
      <c r="AB27" s="122">
        <f t="shared" si="2"/>
        <v>2.0500000000000002E-3</v>
      </c>
      <c r="AC27"/>
      <c r="AD27" s="60"/>
      <c r="AE27" s="60">
        <v>3.7703125009999998</v>
      </c>
      <c r="AF27" s="56">
        <v>0.1484375</v>
      </c>
      <c r="AG27" s="57">
        <v>0.15625</v>
      </c>
      <c r="AH27" s="58"/>
      <c r="AI27" s="59"/>
      <c r="AJ27" s="60"/>
    </row>
    <row r="28" spans="1:36" x14ac:dyDescent="0.2">
      <c r="A28" s="207"/>
      <c r="B28" s="63"/>
      <c r="C28" s="63"/>
      <c r="D28" s="63"/>
      <c r="E28" s="63"/>
      <c r="F28" s="63"/>
      <c r="G28" s="63"/>
      <c r="H28" s="290"/>
      <c r="I28" s="63"/>
      <c r="J28" s="71" t="str">
        <f t="shared" si="3"/>
        <v/>
      </c>
      <c r="K28" s="72" t="str">
        <f t="shared" si="9"/>
        <v/>
      </c>
      <c r="L28" s="73" t="str">
        <f t="shared" si="4"/>
        <v/>
      </c>
      <c r="M28" s="73" t="str">
        <f t="shared" ref="M28:M39" si="10">IF(C28="","",(K28/(J28*$D$11*G28))*(D28^2)*(C28^2)*(400/$H$10))</f>
        <v/>
      </c>
      <c r="N28" s="73" t="str">
        <f t="shared" si="5"/>
        <v/>
      </c>
      <c r="O28" s="74" t="str">
        <f t="shared" si="6"/>
        <v/>
      </c>
      <c r="P28" s="75" t="str">
        <f t="shared" si="7"/>
        <v/>
      </c>
      <c r="Q28" s="76" t="str">
        <f t="shared" si="8"/>
        <v/>
      </c>
      <c r="R28"/>
      <c r="S28"/>
      <c r="T28"/>
      <c r="U28"/>
      <c r="V28" s="110">
        <v>100</v>
      </c>
      <c r="W28" s="119">
        <v>1.5E-3</v>
      </c>
      <c r="X28" s="119">
        <v>1.1999999999999999E-3</v>
      </c>
      <c r="Y28" s="119">
        <v>1.1999999999999999E-3</v>
      </c>
      <c r="Z28" s="119">
        <v>1.2999999999999999E-3</v>
      </c>
      <c r="AA28" s="119">
        <v>2E-3</v>
      </c>
      <c r="AB28" s="120">
        <v>2.2000000000000001E-3</v>
      </c>
      <c r="AC28"/>
      <c r="AD28" s="60"/>
      <c r="AE28" s="60">
        <v>3.9687500010000001</v>
      </c>
      <c r="AF28" s="56">
        <v>0.15625</v>
      </c>
      <c r="AG28" s="57">
        <v>0.15625</v>
      </c>
      <c r="AH28" s="58"/>
      <c r="AI28" s="59"/>
      <c r="AJ28" s="60"/>
    </row>
    <row r="29" spans="1:36" x14ac:dyDescent="0.2">
      <c r="A29" s="207"/>
      <c r="B29" s="63"/>
      <c r="C29" s="63"/>
      <c r="D29" s="63"/>
      <c r="E29" s="63"/>
      <c r="F29" s="63"/>
      <c r="G29" s="63"/>
      <c r="H29" s="290"/>
      <c r="I29" s="63"/>
      <c r="J29" s="71" t="str">
        <f t="shared" si="3"/>
        <v/>
      </c>
      <c r="K29" s="72" t="str">
        <f t="shared" si="9"/>
        <v/>
      </c>
      <c r="L29" s="73" t="str">
        <f t="shared" si="4"/>
        <v/>
      </c>
      <c r="M29" s="73" t="str">
        <f t="shared" si="10"/>
        <v/>
      </c>
      <c r="N29" s="73" t="str">
        <f t="shared" si="5"/>
        <v/>
      </c>
      <c r="O29" s="74" t="str">
        <f t="shared" si="6"/>
        <v/>
      </c>
      <c r="P29" s="75" t="str">
        <f t="shared" si="7"/>
        <v/>
      </c>
      <c r="Q29" s="76" t="str">
        <f t="shared" si="8"/>
        <v/>
      </c>
      <c r="R29"/>
      <c r="S29"/>
      <c r="T29"/>
      <c r="U29"/>
      <c r="V29" s="110">
        <v>105</v>
      </c>
      <c r="W29" s="121">
        <f t="shared" ref="W29:AB32" si="11">((($V29-$V$28)/($V$33-$V$28))*(W$33-W$28))+W$28</f>
        <v>1.56E-3</v>
      </c>
      <c r="X29" s="121">
        <f t="shared" si="11"/>
        <v>1.2599999999999998E-3</v>
      </c>
      <c r="Y29" s="121">
        <f t="shared" si="11"/>
        <v>1.2599999999999998E-3</v>
      </c>
      <c r="Z29" s="121">
        <f t="shared" si="11"/>
        <v>1.34E-3</v>
      </c>
      <c r="AA29" s="121">
        <f t="shared" si="11"/>
        <v>2.0600000000000002E-3</v>
      </c>
      <c r="AB29" s="122">
        <f t="shared" si="11"/>
        <v>2.2600000000000003E-3</v>
      </c>
      <c r="AC29"/>
      <c r="AD29" s="60"/>
      <c r="AE29" s="60">
        <v>4.1671875009999999</v>
      </c>
      <c r="AF29" s="56">
        <v>0.1640625</v>
      </c>
      <c r="AG29" s="57">
        <v>0.1875</v>
      </c>
      <c r="AH29" s="58"/>
      <c r="AI29" s="59"/>
      <c r="AJ29" s="60"/>
    </row>
    <row r="30" spans="1:36" x14ac:dyDescent="0.2">
      <c r="A30" s="207"/>
      <c r="B30" s="63"/>
      <c r="C30" s="63"/>
      <c r="D30" s="63"/>
      <c r="E30" s="63"/>
      <c r="F30" s="63"/>
      <c r="G30" s="63"/>
      <c r="H30" s="290"/>
      <c r="I30" s="63"/>
      <c r="J30" s="71" t="str">
        <f t="shared" si="3"/>
        <v/>
      </c>
      <c r="K30" s="72" t="str">
        <f t="shared" si="9"/>
        <v/>
      </c>
      <c r="L30" s="73" t="str">
        <f t="shared" si="4"/>
        <v/>
      </c>
      <c r="M30" s="73" t="str">
        <f t="shared" si="10"/>
        <v/>
      </c>
      <c r="N30" s="73" t="str">
        <f t="shared" si="5"/>
        <v/>
      </c>
      <c r="O30" s="74" t="str">
        <f t="shared" si="6"/>
        <v/>
      </c>
      <c r="P30" s="75" t="str">
        <f t="shared" si="7"/>
        <v/>
      </c>
      <c r="Q30" s="76" t="str">
        <f t="shared" si="8"/>
        <v/>
      </c>
      <c r="R30"/>
      <c r="S30"/>
      <c r="T30"/>
      <c r="U30"/>
      <c r="V30" s="110">
        <v>110</v>
      </c>
      <c r="W30" s="121">
        <f t="shared" si="11"/>
        <v>1.6199999999999999E-3</v>
      </c>
      <c r="X30" s="121">
        <f t="shared" si="11"/>
        <v>1.32E-3</v>
      </c>
      <c r="Y30" s="121">
        <f t="shared" si="11"/>
        <v>1.32E-3</v>
      </c>
      <c r="Z30" s="121">
        <f t="shared" si="11"/>
        <v>1.3799999999999999E-3</v>
      </c>
      <c r="AA30" s="121">
        <f t="shared" si="11"/>
        <v>2.1199999999999999E-3</v>
      </c>
      <c r="AB30" s="122">
        <f t="shared" si="11"/>
        <v>2.32E-3</v>
      </c>
      <c r="AC30"/>
      <c r="AD30" s="60"/>
      <c r="AE30" s="60">
        <v>4.3656250009999997</v>
      </c>
      <c r="AF30" s="56">
        <v>0.171875</v>
      </c>
      <c r="AG30" s="57">
        <v>0.1875</v>
      </c>
      <c r="AH30" s="58"/>
      <c r="AI30" s="59"/>
      <c r="AJ30" s="60"/>
    </row>
    <row r="31" spans="1:36" x14ac:dyDescent="0.2">
      <c r="A31" s="207"/>
      <c r="B31" s="63"/>
      <c r="C31" s="63"/>
      <c r="D31" s="63"/>
      <c r="E31" s="63"/>
      <c r="F31" s="63"/>
      <c r="G31" s="63"/>
      <c r="H31" s="290"/>
      <c r="I31" s="63"/>
      <c r="J31" s="71" t="str">
        <f t="shared" si="3"/>
        <v/>
      </c>
      <c r="K31" s="72" t="str">
        <f t="shared" si="9"/>
        <v/>
      </c>
      <c r="L31" s="73" t="str">
        <f t="shared" si="4"/>
        <v/>
      </c>
      <c r="M31" s="73" t="str">
        <f t="shared" si="10"/>
        <v/>
      </c>
      <c r="N31" s="73" t="str">
        <f t="shared" si="5"/>
        <v/>
      </c>
      <c r="O31" s="74" t="str">
        <f t="shared" si="6"/>
        <v/>
      </c>
      <c r="P31" s="75" t="str">
        <f t="shared" si="7"/>
        <v/>
      </c>
      <c r="Q31" s="76" t="str">
        <f t="shared" si="8"/>
        <v/>
      </c>
      <c r="R31"/>
      <c r="S31"/>
      <c r="T31"/>
      <c r="U31"/>
      <c r="V31" s="110">
        <v>115</v>
      </c>
      <c r="W31" s="121">
        <f t="shared" si="11"/>
        <v>1.6800000000000001E-3</v>
      </c>
      <c r="X31" s="121">
        <f t="shared" si="11"/>
        <v>1.3799999999999999E-3</v>
      </c>
      <c r="Y31" s="121">
        <f t="shared" si="11"/>
        <v>1.3799999999999999E-3</v>
      </c>
      <c r="Z31" s="121">
        <f t="shared" si="11"/>
        <v>1.42E-3</v>
      </c>
      <c r="AA31" s="121">
        <f t="shared" si="11"/>
        <v>2.1800000000000001E-3</v>
      </c>
      <c r="AB31" s="122">
        <f t="shared" si="11"/>
        <v>2.3800000000000002E-3</v>
      </c>
      <c r="AC31"/>
      <c r="AD31" s="60"/>
      <c r="AE31" s="60">
        <v>4.5640625009999995</v>
      </c>
      <c r="AF31" s="56">
        <v>0.1796875</v>
      </c>
      <c r="AG31" s="57">
        <v>0.1875</v>
      </c>
      <c r="AH31" s="58"/>
      <c r="AI31" s="59"/>
      <c r="AJ31" s="60"/>
    </row>
    <row r="32" spans="1:36" x14ac:dyDescent="0.2">
      <c r="A32" s="207"/>
      <c r="B32" s="63"/>
      <c r="C32" s="63"/>
      <c r="D32" s="63"/>
      <c r="E32" s="63"/>
      <c r="F32" s="63"/>
      <c r="G32" s="63"/>
      <c r="H32" s="290"/>
      <c r="I32" s="63"/>
      <c r="J32" s="71" t="str">
        <f t="shared" si="3"/>
        <v/>
      </c>
      <c r="K32" s="72" t="str">
        <f t="shared" si="9"/>
        <v/>
      </c>
      <c r="L32" s="73" t="str">
        <f t="shared" si="4"/>
        <v/>
      </c>
      <c r="M32" s="73" t="str">
        <f t="shared" si="10"/>
        <v/>
      </c>
      <c r="N32" s="73" t="str">
        <f t="shared" si="5"/>
        <v/>
      </c>
      <c r="O32" s="74" t="str">
        <f t="shared" si="6"/>
        <v/>
      </c>
      <c r="P32" s="75" t="str">
        <f t="shared" si="7"/>
        <v/>
      </c>
      <c r="Q32" s="76" t="str">
        <f t="shared" si="8"/>
        <v/>
      </c>
      <c r="R32"/>
      <c r="S32"/>
      <c r="T32"/>
      <c r="U32"/>
      <c r="V32" s="110">
        <v>120</v>
      </c>
      <c r="W32" s="121">
        <f t="shared" si="11"/>
        <v>1.74E-3</v>
      </c>
      <c r="X32" s="121">
        <f t="shared" si="11"/>
        <v>1.4400000000000001E-3</v>
      </c>
      <c r="Y32" s="121">
        <f t="shared" si="11"/>
        <v>1.4400000000000001E-3</v>
      </c>
      <c r="Z32" s="121">
        <f t="shared" si="11"/>
        <v>1.4599999999999999E-3</v>
      </c>
      <c r="AA32" s="121">
        <f t="shared" si="11"/>
        <v>2.2399999999999998E-3</v>
      </c>
      <c r="AB32" s="122">
        <f t="shared" si="11"/>
        <v>2.4399999999999999E-3</v>
      </c>
      <c r="AC32"/>
      <c r="AD32" s="60"/>
      <c r="AE32" s="60">
        <v>4.7625000009999994</v>
      </c>
      <c r="AF32" s="56">
        <v>0.1875</v>
      </c>
      <c r="AG32" s="57">
        <v>0.1875</v>
      </c>
      <c r="AH32" s="58"/>
      <c r="AI32" s="59"/>
      <c r="AJ32" s="60"/>
    </row>
    <row r="33" spans="1:46" x14ac:dyDescent="0.2">
      <c r="A33" s="207"/>
      <c r="B33" s="63"/>
      <c r="C33" s="63"/>
      <c r="D33" s="63"/>
      <c r="E33" s="63"/>
      <c r="F33" s="63"/>
      <c r="G33" s="63"/>
      <c r="H33" s="63"/>
      <c r="I33" s="63"/>
      <c r="J33" s="71" t="str">
        <f t="shared" si="3"/>
        <v/>
      </c>
      <c r="K33" s="72" t="str">
        <f t="shared" si="9"/>
        <v/>
      </c>
      <c r="L33" s="73" t="str">
        <f t="shared" si="4"/>
        <v/>
      </c>
      <c r="M33" s="73" t="str">
        <f t="shared" si="10"/>
        <v/>
      </c>
      <c r="N33" s="73" t="str">
        <f t="shared" si="5"/>
        <v/>
      </c>
      <c r="O33" s="74" t="str">
        <f t="shared" si="6"/>
        <v/>
      </c>
      <c r="P33" s="75" t="str">
        <f t="shared" si="7"/>
        <v/>
      </c>
      <c r="Q33" s="76" t="str">
        <f t="shared" si="8"/>
        <v/>
      </c>
      <c r="R33"/>
      <c r="S33"/>
      <c r="T33"/>
      <c r="U33"/>
      <c r="V33" s="110">
        <v>125</v>
      </c>
      <c r="W33" s="119">
        <v>1.8E-3</v>
      </c>
      <c r="X33" s="119">
        <v>1.5E-3</v>
      </c>
      <c r="Y33" s="119">
        <v>1.5E-3</v>
      </c>
      <c r="Z33" s="119">
        <v>1.5E-3</v>
      </c>
      <c r="AA33" s="119">
        <v>2.3E-3</v>
      </c>
      <c r="AB33" s="120">
        <v>2.5000000000000001E-3</v>
      </c>
      <c r="AC33"/>
      <c r="AD33" s="60"/>
      <c r="AE33" s="60">
        <v>4.9609375010000001</v>
      </c>
      <c r="AF33" s="56">
        <v>0.1953125</v>
      </c>
      <c r="AG33" s="57">
        <v>0.21875</v>
      </c>
      <c r="AH33" s="58"/>
      <c r="AI33" s="59"/>
      <c r="AJ33" s="60"/>
    </row>
    <row r="34" spans="1:46" x14ac:dyDescent="0.2">
      <c r="A34" s="207"/>
      <c r="B34" s="63"/>
      <c r="C34" s="63"/>
      <c r="D34" s="63"/>
      <c r="E34" s="63"/>
      <c r="F34" s="63"/>
      <c r="G34" s="63"/>
      <c r="H34" s="63"/>
      <c r="I34" s="63"/>
      <c r="J34" s="71" t="str">
        <f t="shared" si="3"/>
        <v/>
      </c>
      <c r="K34" s="72" t="str">
        <f t="shared" si="9"/>
        <v/>
      </c>
      <c r="L34" s="73" t="str">
        <f t="shared" si="4"/>
        <v/>
      </c>
      <c r="M34" s="73" t="str">
        <f t="shared" si="10"/>
        <v/>
      </c>
      <c r="N34" s="73" t="str">
        <f t="shared" si="5"/>
        <v/>
      </c>
      <c r="O34" s="74" t="str">
        <f t="shared" si="6"/>
        <v/>
      </c>
      <c r="P34" s="75" t="str">
        <f t="shared" si="7"/>
        <v/>
      </c>
      <c r="Q34" s="76" t="str">
        <f t="shared" si="8"/>
        <v/>
      </c>
      <c r="R34"/>
      <c r="S34"/>
      <c r="T34"/>
      <c r="U34"/>
      <c r="V34" s="123">
        <v>130</v>
      </c>
      <c r="W34" s="121">
        <f t="shared" ref="W34:AB37" si="12">((($V34-$V$33)/($V$38-$V$33))*(W$38-W$33))+W$33</f>
        <v>1.8400000000000001E-3</v>
      </c>
      <c r="X34" s="121">
        <f t="shared" si="12"/>
        <v>1.5200000000000001E-3</v>
      </c>
      <c r="Y34" s="121">
        <f t="shared" si="12"/>
        <v>1.5200000000000001E-3</v>
      </c>
      <c r="Z34" s="121">
        <f t="shared" si="12"/>
        <v>1.5200000000000001E-3</v>
      </c>
      <c r="AA34" s="121">
        <f t="shared" si="12"/>
        <v>2.32E-3</v>
      </c>
      <c r="AB34" s="122">
        <f t="shared" si="12"/>
        <v>2.5200000000000001E-3</v>
      </c>
      <c r="AC34"/>
      <c r="AD34" s="60"/>
      <c r="AE34" s="60">
        <v>5.1593750009999999</v>
      </c>
      <c r="AF34" s="56">
        <v>0.203125</v>
      </c>
      <c r="AG34" s="57">
        <v>0.21875</v>
      </c>
      <c r="AH34" s="58"/>
      <c r="AI34" s="59"/>
      <c r="AJ34" s="60"/>
    </row>
    <row r="35" spans="1:46" x14ac:dyDescent="0.2">
      <c r="A35" s="207"/>
      <c r="B35" s="63"/>
      <c r="C35" s="63"/>
      <c r="D35" s="63"/>
      <c r="E35" s="63"/>
      <c r="F35" s="63"/>
      <c r="G35" s="63"/>
      <c r="H35" s="63"/>
      <c r="I35" s="63"/>
      <c r="J35" s="71" t="str">
        <f t="shared" si="3"/>
        <v/>
      </c>
      <c r="K35" s="72" t="str">
        <f t="shared" si="9"/>
        <v/>
      </c>
      <c r="L35" s="73" t="str">
        <f t="shared" si="4"/>
        <v/>
      </c>
      <c r="M35" s="73" t="str">
        <f t="shared" si="10"/>
        <v/>
      </c>
      <c r="N35" s="73" t="str">
        <f t="shared" si="5"/>
        <v/>
      </c>
      <c r="O35" s="74" t="str">
        <f t="shared" si="6"/>
        <v/>
      </c>
      <c r="P35" s="75" t="str">
        <f t="shared" si="7"/>
        <v/>
      </c>
      <c r="Q35" s="76" t="str">
        <f t="shared" si="8"/>
        <v/>
      </c>
      <c r="R35"/>
      <c r="S35"/>
      <c r="T35"/>
      <c r="U35"/>
      <c r="V35" s="123">
        <v>135</v>
      </c>
      <c r="W35" s="121">
        <f t="shared" si="12"/>
        <v>1.8799999999999999E-3</v>
      </c>
      <c r="X35" s="121">
        <f t="shared" si="12"/>
        <v>1.5400000000000001E-3</v>
      </c>
      <c r="Y35" s="121">
        <f t="shared" si="12"/>
        <v>1.5400000000000001E-3</v>
      </c>
      <c r="Z35" s="121">
        <f t="shared" si="12"/>
        <v>1.5400000000000001E-3</v>
      </c>
      <c r="AA35" s="121">
        <f t="shared" si="12"/>
        <v>2.3400000000000001E-3</v>
      </c>
      <c r="AB35" s="122">
        <f t="shared" si="12"/>
        <v>2.5400000000000002E-3</v>
      </c>
      <c r="AC35"/>
      <c r="AD35" s="60"/>
      <c r="AE35" s="60">
        <v>5.3578125009999997</v>
      </c>
      <c r="AF35" s="56">
        <v>0.2109375</v>
      </c>
      <c r="AG35" s="57">
        <v>0.21875</v>
      </c>
      <c r="AH35" s="58"/>
      <c r="AI35" s="59"/>
      <c r="AJ35" s="60"/>
    </row>
    <row r="36" spans="1:46" x14ac:dyDescent="0.2">
      <c r="A36" s="70"/>
      <c r="B36" s="63"/>
      <c r="C36" s="63"/>
      <c r="D36" s="63"/>
      <c r="E36" s="63"/>
      <c r="F36" s="63"/>
      <c r="G36" s="63"/>
      <c r="H36" s="63"/>
      <c r="I36" s="63"/>
      <c r="J36" s="71" t="str">
        <f t="shared" si="3"/>
        <v/>
      </c>
      <c r="K36" s="72" t="str">
        <f t="shared" si="9"/>
        <v/>
      </c>
      <c r="L36" s="73" t="str">
        <f t="shared" si="4"/>
        <v/>
      </c>
      <c r="M36" s="73" t="str">
        <f t="shared" si="10"/>
        <v/>
      </c>
      <c r="N36" s="73" t="str">
        <f t="shared" si="5"/>
        <v/>
      </c>
      <c r="O36" s="74" t="str">
        <f t="shared" si="6"/>
        <v/>
      </c>
      <c r="P36" s="75" t="str">
        <f t="shared" si="7"/>
        <v/>
      </c>
      <c r="Q36" s="76" t="str">
        <f t="shared" si="8"/>
        <v/>
      </c>
      <c r="R36"/>
      <c r="S36"/>
      <c r="T36"/>
      <c r="U36"/>
      <c r="V36" s="123">
        <v>140</v>
      </c>
      <c r="W36" s="121">
        <f t="shared" si="12"/>
        <v>1.92E-3</v>
      </c>
      <c r="X36" s="121">
        <f t="shared" si="12"/>
        <v>1.56E-3</v>
      </c>
      <c r="Y36" s="121">
        <f t="shared" si="12"/>
        <v>1.56E-3</v>
      </c>
      <c r="Z36" s="121">
        <f t="shared" si="12"/>
        <v>1.56E-3</v>
      </c>
      <c r="AA36" s="121">
        <f t="shared" si="12"/>
        <v>2.3599999999999997E-3</v>
      </c>
      <c r="AB36" s="122">
        <f t="shared" si="12"/>
        <v>2.5599999999999998E-3</v>
      </c>
      <c r="AC36"/>
      <c r="AD36" s="60"/>
      <c r="AE36" s="60">
        <v>5.5562500009999995</v>
      </c>
      <c r="AF36" s="56">
        <v>0.21875</v>
      </c>
      <c r="AG36" s="57">
        <v>0.21875</v>
      </c>
      <c r="AH36" s="58"/>
      <c r="AI36" s="59"/>
      <c r="AJ36" s="60"/>
    </row>
    <row r="37" spans="1:46" x14ac:dyDescent="0.2">
      <c r="A37" s="70"/>
      <c r="B37" s="63"/>
      <c r="C37" s="63"/>
      <c r="D37" s="63"/>
      <c r="E37" s="63"/>
      <c r="F37" s="63"/>
      <c r="G37" s="63"/>
      <c r="H37" s="63"/>
      <c r="I37" s="63"/>
      <c r="J37" s="71" t="str">
        <f t="shared" si="3"/>
        <v/>
      </c>
      <c r="K37" s="72" t="str">
        <f t="shared" si="9"/>
        <v/>
      </c>
      <c r="L37" s="73" t="str">
        <f t="shared" si="4"/>
        <v/>
      </c>
      <c r="M37" s="73" t="str">
        <f t="shared" si="10"/>
        <v/>
      </c>
      <c r="N37" s="73" t="str">
        <f t="shared" si="5"/>
        <v/>
      </c>
      <c r="O37" s="74" t="str">
        <f t="shared" si="6"/>
        <v/>
      </c>
      <c r="P37" s="75" t="str">
        <f t="shared" si="7"/>
        <v/>
      </c>
      <c r="Q37" s="76" t="str">
        <f t="shared" si="8"/>
        <v/>
      </c>
      <c r="R37"/>
      <c r="S37"/>
      <c r="T37"/>
      <c r="U37"/>
      <c r="V37" s="123">
        <v>145</v>
      </c>
      <c r="W37" s="121">
        <f t="shared" si="12"/>
        <v>1.9599999999999999E-3</v>
      </c>
      <c r="X37" s="121">
        <f t="shared" si="12"/>
        <v>1.58E-3</v>
      </c>
      <c r="Y37" s="121">
        <f t="shared" si="12"/>
        <v>1.58E-3</v>
      </c>
      <c r="Z37" s="121">
        <f t="shared" si="12"/>
        <v>1.58E-3</v>
      </c>
      <c r="AA37" s="121">
        <f t="shared" si="12"/>
        <v>2.3799999999999997E-3</v>
      </c>
      <c r="AB37" s="122">
        <f t="shared" si="12"/>
        <v>2.5799999999999998E-3</v>
      </c>
      <c r="AC37"/>
      <c r="AD37" s="60"/>
      <c r="AE37" s="60">
        <v>5.7546875009999994</v>
      </c>
      <c r="AF37" s="56">
        <v>0.2265625</v>
      </c>
      <c r="AG37" s="57">
        <v>0.25</v>
      </c>
      <c r="AH37" s="58"/>
      <c r="AI37" s="59"/>
      <c r="AJ37" s="60"/>
    </row>
    <row r="38" spans="1:46" ht="13.5" thickBot="1" x14ac:dyDescent="0.25">
      <c r="A38" s="70"/>
      <c r="B38" s="63"/>
      <c r="C38" s="63"/>
      <c r="D38" s="63"/>
      <c r="E38" s="63"/>
      <c r="F38" s="63"/>
      <c r="G38" s="63"/>
      <c r="H38" s="63"/>
      <c r="I38" s="63"/>
      <c r="J38" s="71" t="str">
        <f t="shared" si="3"/>
        <v/>
      </c>
      <c r="K38" s="72" t="str">
        <f t="shared" si="9"/>
        <v/>
      </c>
      <c r="L38" s="73" t="str">
        <f t="shared" si="4"/>
        <v/>
      </c>
      <c r="M38" s="73" t="str">
        <f t="shared" si="10"/>
        <v/>
      </c>
      <c r="N38" s="73" t="str">
        <f t="shared" si="5"/>
        <v/>
      </c>
      <c r="O38" s="74" t="str">
        <f t="shared" si="6"/>
        <v/>
      </c>
      <c r="P38" s="75" t="str">
        <f t="shared" si="7"/>
        <v/>
      </c>
      <c r="Q38" s="76" t="str">
        <f t="shared" si="8"/>
        <v/>
      </c>
      <c r="R38"/>
      <c r="S38"/>
      <c r="T38"/>
      <c r="U38"/>
      <c r="V38" s="124">
        <v>150</v>
      </c>
      <c r="W38" s="125">
        <v>2E-3</v>
      </c>
      <c r="X38" s="125">
        <v>1.6000000000000001E-3</v>
      </c>
      <c r="Y38" s="125">
        <v>1.6000000000000001E-3</v>
      </c>
      <c r="Z38" s="125">
        <v>1.6000000000000001E-3</v>
      </c>
      <c r="AA38" s="125">
        <v>2.3999999999999998E-3</v>
      </c>
      <c r="AB38" s="126">
        <v>2.5999999999999999E-3</v>
      </c>
      <c r="AC38"/>
      <c r="AD38" s="60"/>
      <c r="AE38" s="60">
        <v>5.9531250010000001</v>
      </c>
      <c r="AF38" s="56">
        <v>0.234375</v>
      </c>
      <c r="AG38" s="57">
        <v>0.25</v>
      </c>
      <c r="AH38" s="58"/>
      <c r="AI38" s="59"/>
      <c r="AJ38" s="60"/>
    </row>
    <row r="39" spans="1:46" ht="13.5" thickTop="1" x14ac:dyDescent="0.2">
      <c r="A39" s="70"/>
      <c r="B39" s="63"/>
      <c r="C39" s="63"/>
      <c r="D39" s="63"/>
      <c r="E39" s="63"/>
      <c r="F39" s="77"/>
      <c r="G39" s="63"/>
      <c r="H39" s="63"/>
      <c r="I39" s="63"/>
      <c r="J39" s="71" t="str">
        <f t="shared" si="3"/>
        <v/>
      </c>
      <c r="K39" s="72" t="str">
        <f t="shared" si="9"/>
        <v/>
      </c>
      <c r="L39" s="73" t="str">
        <f t="shared" si="4"/>
        <v/>
      </c>
      <c r="M39" s="73" t="str">
        <f t="shared" si="10"/>
        <v/>
      </c>
      <c r="N39" s="73" t="str">
        <f t="shared" si="5"/>
        <v/>
      </c>
      <c r="O39" s="74" t="str">
        <f t="shared" si="6"/>
        <v/>
      </c>
      <c r="P39" s="75" t="str">
        <f t="shared" si="7"/>
        <v/>
      </c>
      <c r="Q39" s="76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60"/>
      <c r="AE39" s="60">
        <v>6.1515625009999999</v>
      </c>
      <c r="AF39" s="56">
        <v>0.2421875</v>
      </c>
      <c r="AG39" s="57">
        <v>0.25</v>
      </c>
      <c r="AH39" s="58"/>
      <c r="AI39" s="59"/>
      <c r="AJ39" s="60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60"/>
      <c r="AE40">
        <v>6.3500000009999997</v>
      </c>
      <c r="AF40" s="56">
        <v>0.25</v>
      </c>
      <c r="AG40" s="57" t="s">
        <v>86</v>
      </c>
      <c r="AH40" s="58"/>
      <c r="AI40" s="59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60"/>
      <c r="AE41" s="60">
        <v>25.400000000999999</v>
      </c>
    </row>
    <row r="42" spans="1:46" ht="12.75" customHeight="1" thickTop="1" x14ac:dyDescent="0.2">
      <c r="A42" s="78" t="s">
        <v>87</v>
      </c>
      <c r="B42" s="7"/>
      <c r="C42" s="7"/>
      <c r="D42" s="78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9" t="str">
        <f>IF($B$5="","",$B$5)</f>
        <v/>
      </c>
      <c r="N42" s="80" t="s">
        <v>88</v>
      </c>
      <c r="O42" s="127" t="s">
        <v>89</v>
      </c>
      <c r="P42" s="108"/>
      <c r="Q42" s="108"/>
      <c r="R42" s="108"/>
      <c r="S42" s="108"/>
      <c r="T42" s="108"/>
      <c r="U42" s="108"/>
      <c r="V42" s="108"/>
      <c r="W42" s="108"/>
      <c r="X42" s="108"/>
      <c r="Y42" s="128"/>
      <c r="Z42" s="108"/>
      <c r="AA42" s="108"/>
      <c r="AB42" s="108"/>
      <c r="AC42" s="108"/>
      <c r="AD42" s="108"/>
      <c r="AE42" s="127" t="s">
        <v>89</v>
      </c>
      <c r="AF42" s="108"/>
      <c r="AG42" s="108"/>
      <c r="AH42" s="108"/>
      <c r="AI42" s="108"/>
      <c r="AJ42" s="108"/>
      <c r="AK42" s="108"/>
      <c r="AL42" s="108"/>
      <c r="AM42" s="108"/>
      <c r="AN42" s="108"/>
      <c r="AO42" s="128"/>
      <c r="AP42" s="108"/>
      <c r="AQ42" s="108"/>
      <c r="AR42" s="108"/>
      <c r="AS42" s="108"/>
      <c r="AT42" s="128"/>
    </row>
    <row r="43" spans="1:46" x14ac:dyDescent="0.2">
      <c r="A43" s="78"/>
      <c r="B43" s="81" t="s">
        <v>59</v>
      </c>
      <c r="C43" s="82"/>
      <c r="D43" s="82"/>
      <c r="E43" s="81" t="s">
        <v>61</v>
      </c>
      <c r="F43" s="82"/>
      <c r="G43" s="83"/>
      <c r="H43" s="81" t="s">
        <v>90</v>
      </c>
      <c r="I43" s="82"/>
      <c r="J43" s="82"/>
      <c r="K43" s="84" t="s">
        <v>91</v>
      </c>
      <c r="L43" s="7"/>
      <c r="M43" s="85"/>
      <c r="N43" s="80" t="s">
        <v>92</v>
      </c>
      <c r="O43" s="129"/>
      <c r="P43" s="112"/>
      <c r="Q43" s="112"/>
      <c r="R43" s="112"/>
      <c r="S43" s="130"/>
      <c r="T43" s="111"/>
      <c r="U43" s="112"/>
      <c r="V43" s="112"/>
      <c r="W43" s="112"/>
      <c r="X43" s="130"/>
      <c r="Y43" s="111"/>
      <c r="Z43" s="130"/>
      <c r="AA43" s="130"/>
      <c r="AB43" s="130"/>
      <c r="AC43" s="130"/>
      <c r="AD43" s="111"/>
      <c r="AE43" s="110"/>
      <c r="AF43" s="130"/>
      <c r="AG43" s="130"/>
      <c r="AH43" s="130"/>
      <c r="AI43" s="111"/>
      <c r="AJ43" s="130"/>
      <c r="AK43" s="130"/>
      <c r="AL43" s="130"/>
      <c r="AM43" s="130"/>
      <c r="AN43" s="111"/>
      <c r="AO43" s="130"/>
      <c r="AP43" s="130"/>
      <c r="AQ43" s="130"/>
      <c r="AR43" s="130"/>
      <c r="AS43" s="111"/>
      <c r="AT43" s="113"/>
    </row>
    <row r="44" spans="1:46" x14ac:dyDescent="0.2">
      <c r="A44" s="67" t="s">
        <v>67</v>
      </c>
      <c r="B44" s="86" t="str">
        <f>$A$17</f>
        <v>Lead</v>
      </c>
      <c r="C44" s="29" t="str">
        <f>$A$18</f>
        <v>Concrete</v>
      </c>
      <c r="D44" s="87" t="str">
        <f>$A$19</f>
        <v>Gypsum</v>
      </c>
      <c r="E44" s="86" t="str">
        <f>B44</f>
        <v>Lead</v>
      </c>
      <c r="F44" s="29" t="str">
        <f>C44</f>
        <v>Concrete</v>
      </c>
      <c r="G44" s="88" t="str">
        <f>D44</f>
        <v>Gypsum</v>
      </c>
      <c r="H44" s="86" t="str">
        <f>B44</f>
        <v>Lead</v>
      </c>
      <c r="I44" s="29" t="str">
        <f>C44</f>
        <v>Concrete</v>
      </c>
      <c r="J44" s="87" t="str">
        <f>D44</f>
        <v>Gypsum</v>
      </c>
      <c r="K44" s="86" t="str">
        <f>H44</f>
        <v>Lead</v>
      </c>
      <c r="L44" s="29" t="str">
        <f>I44</f>
        <v>Concrete</v>
      </c>
      <c r="M44" s="87" t="str">
        <f>J44</f>
        <v>Gypsum</v>
      </c>
      <c r="N44" s="86" t="s">
        <v>93</v>
      </c>
      <c r="O44" s="110"/>
      <c r="P44" s="131" t="s">
        <v>94</v>
      </c>
      <c r="Q44" s="112"/>
      <c r="R44" s="112"/>
      <c r="S44" s="111"/>
      <c r="T44" s="111"/>
      <c r="U44" s="131" t="s">
        <v>95</v>
      </c>
      <c r="V44" s="112"/>
      <c r="W44" s="112"/>
      <c r="X44" s="111"/>
      <c r="Y44" s="111"/>
      <c r="Z44" s="131" t="s">
        <v>52</v>
      </c>
      <c r="AA44" s="112"/>
      <c r="AB44" s="112"/>
      <c r="AC44" s="111"/>
      <c r="AD44" s="111"/>
      <c r="AE44" s="132" t="s">
        <v>54</v>
      </c>
      <c r="AF44" s="112"/>
      <c r="AG44" s="112"/>
      <c r="AH44" s="111"/>
      <c r="AI44" s="111"/>
      <c r="AJ44" s="131" t="s">
        <v>96</v>
      </c>
      <c r="AK44" s="112"/>
      <c r="AL44" s="112"/>
      <c r="AM44" s="111"/>
      <c r="AN44" s="111"/>
      <c r="AO44" s="131" t="s">
        <v>58</v>
      </c>
      <c r="AP44" s="112"/>
      <c r="AQ44" s="112"/>
      <c r="AR44" s="111"/>
      <c r="AS44" s="111"/>
      <c r="AT44" s="118"/>
    </row>
    <row r="45" spans="1:46" x14ac:dyDescent="0.2">
      <c r="A45" s="89" t="str">
        <f t="shared" ref="A45:A58" si="13">IF($A26="","",$A26)</f>
        <v/>
      </c>
      <c r="B45" s="90" t="str">
        <f>IF(OR($B26=0,$F26=""),"",(1/($B$17*$D$17))*LN(((($L26/$E$17)^-$D$17)+($C$17/$B$17))/(1+($C$17/$B$17))))</f>
        <v/>
      </c>
      <c r="C45" s="91" t="str">
        <f t="shared" ref="C45:C58" si="14">IF(OR($B26=0,$F26=""),"",(1/($B$18*$D$18))*LN(((($L26/$E$18)^-$D$18)+($C$18/$B$18))/(1+($C$18/$B$18))))</f>
        <v/>
      </c>
      <c r="D45" s="91" t="str">
        <f t="shared" ref="D45:D58" si="15">IF(OR($B26=0,$F26=""),"",(1/($B$19*$D$19))*LN(((($L26/$E$19)^-$D$19)+($C$19/$B$19))/(1+($C$19/$B$19))))</f>
        <v/>
      </c>
      <c r="E45" s="90" t="str">
        <f>IF($C26="","",IF((1/($B$17*$D$17))*LN(((($M26/$E$17)^-$D$17)+($C$17/$B$17))/(1+($C$17/$B$17)))&lt;0,0,(1/($B$17*$D$17))*LN(((($M26/$E$17)^-$D$17)+($C$17/$B$17))/(1+($C$17/$B$17)))))</f>
        <v/>
      </c>
      <c r="F45" s="91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2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3" t="str">
        <f t="shared" ref="H45:H58" si="18">IF($N26="","",IF(-LN($N26)*$F$17/LN(2)&lt;0,0,-LN($N26)*$F$17/LN(2)))</f>
        <v/>
      </c>
      <c r="I45" s="93" t="str">
        <f t="shared" ref="I45:I58" si="19">IF($N26="","",IF(-LN($N26)*$F$18/LN(2)&lt;0,0,-LN($N26)*$F$18/LN(2)))</f>
        <v/>
      </c>
      <c r="J45" s="93" t="str">
        <f t="shared" ref="J45:J58" si="20">IF($N26="","",IF(-LN($N26)*$F$19/LN(2)&lt;0,0,-LN($N26)*$F$19/LN(2)))</f>
        <v/>
      </c>
      <c r="K45" s="90" t="str">
        <f t="shared" ref="K45:K58" si="21">IF($E45="","",IF(AND($E45=0,$H45=0),0,IF(OR($E45=0,$H45=0),MAX($E45,$H45),IF(ABS($E45-$H45)&gt;$G$17,MAX($E45,$H45),(MAX($E45,$H45)+$F$17)))))</f>
        <v/>
      </c>
      <c r="L45" s="91" t="str">
        <f t="shared" ref="L45:L58" si="22">IF($F45="","",IF(AND($F45=0,$I45=0),0,IF(OR($F45=0,$I45=0),MAX($F45,$I45),IF(ABS($F45-$I45)&gt;$G$18,MAX($F45,$I45),(MAX($F45,$I45)+$F$18)))))</f>
        <v/>
      </c>
      <c r="M45" s="91" t="str">
        <f t="shared" ref="M45:M58" si="23">IF($G45="","",IF(AND($G45=0,$J45=0),0,IF(OR($G45=0,$J45=0),MAX($G45,$J45),IF(ABS($G45-$J45)&gt;$G$19,MAX($G45,$J45),(MAX($G45,$J45)+$F$19)))))</f>
        <v/>
      </c>
      <c r="N45" s="94" t="str">
        <f t="shared" ref="N45:N58" si="24">IF(AND(B45="",E45="",H45=""),"",IF(B45="",LOOKUP(K45,mm_value,minimum_Pb),LOOKUP(B45,mm_value,minimum_Pb)))</f>
        <v/>
      </c>
      <c r="O45" s="114" t="s">
        <v>37</v>
      </c>
      <c r="P45" s="15" t="s">
        <v>40</v>
      </c>
      <c r="Q45" s="15" t="s">
        <v>41</v>
      </c>
      <c r="R45" s="15" t="s">
        <v>42</v>
      </c>
      <c r="S45" s="115" t="s">
        <v>44</v>
      </c>
      <c r="T45" s="115" t="s">
        <v>45</v>
      </c>
      <c r="U45" s="15" t="s">
        <v>40</v>
      </c>
      <c r="V45" s="15" t="s">
        <v>41</v>
      </c>
      <c r="W45" s="15" t="s">
        <v>42</v>
      </c>
      <c r="X45" s="115" t="s">
        <v>44</v>
      </c>
      <c r="Y45" s="115" t="s">
        <v>45</v>
      </c>
      <c r="Z45" s="15" t="s">
        <v>40</v>
      </c>
      <c r="AA45" s="15" t="s">
        <v>41</v>
      </c>
      <c r="AB45" s="15" t="s">
        <v>42</v>
      </c>
      <c r="AC45" s="115" t="s">
        <v>44</v>
      </c>
      <c r="AD45" s="115" t="s">
        <v>45</v>
      </c>
      <c r="AE45" s="133" t="s">
        <v>40</v>
      </c>
      <c r="AF45" s="15" t="s">
        <v>41</v>
      </c>
      <c r="AG45" s="15" t="s">
        <v>42</v>
      </c>
      <c r="AH45" s="115" t="s">
        <v>44</v>
      </c>
      <c r="AI45" s="115" t="s">
        <v>45</v>
      </c>
      <c r="AJ45" s="15" t="s">
        <v>40</v>
      </c>
      <c r="AK45" s="15" t="s">
        <v>41</v>
      </c>
      <c r="AL45" s="15" t="s">
        <v>42</v>
      </c>
      <c r="AM45" s="115" t="s">
        <v>44</v>
      </c>
      <c r="AN45" s="115" t="s">
        <v>45</v>
      </c>
      <c r="AO45" s="15" t="s">
        <v>40</v>
      </c>
      <c r="AP45" s="15" t="s">
        <v>41</v>
      </c>
      <c r="AQ45" s="15" t="s">
        <v>42</v>
      </c>
      <c r="AR45" s="115" t="s">
        <v>44</v>
      </c>
      <c r="AS45" s="115" t="s">
        <v>45</v>
      </c>
      <c r="AT45" s="116" t="s">
        <v>97</v>
      </c>
    </row>
    <row r="46" spans="1:46" x14ac:dyDescent="0.2">
      <c r="A46" s="89" t="str">
        <f t="shared" si="13"/>
        <v/>
      </c>
      <c r="B46" s="90" t="str">
        <f t="shared" ref="B46:B58" si="25">IF(OR($B27=0,$F27=""),"",(1/($B$17*$D$17))*LN(((($L27/$E$17)^-$D$17)+($C$17/$B$17))/(1+($C$17/$B$17))))</f>
        <v/>
      </c>
      <c r="C46" s="91" t="str">
        <f t="shared" si="14"/>
        <v/>
      </c>
      <c r="D46" s="91" t="str">
        <f t="shared" si="15"/>
        <v/>
      </c>
      <c r="E46" s="90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1" t="str">
        <f t="shared" si="16"/>
        <v/>
      </c>
      <c r="G46" s="92" t="str">
        <f t="shared" si="17"/>
        <v/>
      </c>
      <c r="H46" s="93" t="str">
        <f t="shared" si="18"/>
        <v/>
      </c>
      <c r="I46" s="93" t="str">
        <f t="shared" si="19"/>
        <v/>
      </c>
      <c r="J46" s="93" t="str">
        <f t="shared" si="20"/>
        <v/>
      </c>
      <c r="K46" s="90" t="str">
        <f t="shared" si="21"/>
        <v/>
      </c>
      <c r="L46" s="91" t="str">
        <f t="shared" si="22"/>
        <v/>
      </c>
      <c r="M46" s="91" t="str">
        <f t="shared" si="23"/>
        <v/>
      </c>
      <c r="N46" s="94" t="str">
        <f t="shared" si="24"/>
        <v/>
      </c>
      <c r="O46" s="110">
        <v>25</v>
      </c>
      <c r="P46" s="134">
        <v>49.52</v>
      </c>
      <c r="Q46" s="135">
        <v>194</v>
      </c>
      <c r="R46" s="134">
        <v>0.30370000000000003</v>
      </c>
      <c r="S46" s="136">
        <f t="shared" ref="S46:S71" si="27">IF(P46="","",LN(2)/P46)</f>
        <v>1.3997317862680639E-2</v>
      </c>
      <c r="T46" s="136">
        <f t="shared" ref="T46:T71" si="28">IF(S46="","",(LN(10)/LN(2))*S46)</f>
        <v>4.6498083461107544E-2</v>
      </c>
      <c r="U46" s="134">
        <v>0.39040000000000002</v>
      </c>
      <c r="V46" s="134">
        <v>1.645</v>
      </c>
      <c r="W46" s="134">
        <v>0.2757</v>
      </c>
      <c r="X46" s="136">
        <f t="shared" ref="X46:X71" si="29">IF(U46="","",LN(2)/U46)</f>
        <v>1.775479458401499</v>
      </c>
      <c r="Y46" s="136">
        <f t="shared" ref="Y46:Y71" si="30">IF(X46="","",(LN(10)/LN(2))*X46)</f>
        <v>5.8980150947593382</v>
      </c>
      <c r="Z46" s="134">
        <v>0.15759999999999999</v>
      </c>
      <c r="AA46" s="134">
        <v>0.71750000000000003</v>
      </c>
      <c r="AB46" s="134">
        <v>0.30480000000000002</v>
      </c>
      <c r="AC46" s="136">
        <f t="shared" ref="AC46:AC71" si="31">IF(Z46="","",LN(2)/Z46)</f>
        <v>4.3981420086290948</v>
      </c>
      <c r="AD46" s="136">
        <f t="shared" ref="AD46:AD71" si="32">IF(AC46="","",(LN(10)/LN(2))*AC46)</f>
        <v>14.610311503769328</v>
      </c>
      <c r="AE46" s="137">
        <v>9.3640000000000008</v>
      </c>
      <c r="AF46" s="134">
        <v>41.25</v>
      </c>
      <c r="AG46" s="134">
        <v>0.32019999999999998</v>
      </c>
      <c r="AH46" s="136">
        <f t="shared" ref="AH46:AH71" si="33">IF(AE46="","",LN(2)/AE46)</f>
        <v>7.4022552387862581E-2</v>
      </c>
      <c r="AI46" s="136">
        <f t="shared" ref="AI46:AI71" si="34">IF(AH46="","",(LN(10)/LN(2))*AH46)</f>
        <v>0.24589759643251233</v>
      </c>
      <c r="AJ46" s="134">
        <v>0.38040000000000002</v>
      </c>
      <c r="AK46" s="134">
        <v>1.5429999999999999</v>
      </c>
      <c r="AL46" s="134">
        <v>0.28689999999999999</v>
      </c>
      <c r="AM46" s="136">
        <f t="shared" ref="AM46:AM71" si="35">IF(AJ46="","",LN(2)/AJ46)</f>
        <v>1.8221534715035363</v>
      </c>
      <c r="AN46" s="136">
        <f t="shared" ref="AN46:AN71" si="36">IF(AM46="","",(LN(10)/LN(2))*AM46)</f>
        <v>6.0530628101841364</v>
      </c>
      <c r="AO46" s="138">
        <v>2.23E-2</v>
      </c>
      <c r="AP46" s="136">
        <v>4.3400000000000001E-2</v>
      </c>
      <c r="AQ46" s="134">
        <v>0.19370000000000001</v>
      </c>
      <c r="AR46" s="136">
        <f t="shared" ref="AR46:AR71" si="37">IF(AO46="","",LN(2)/AO46)</f>
        <v>31.082833208966157</v>
      </c>
      <c r="AS46" s="136">
        <f t="shared" ref="AS46:AS71" si="38">IF(AR46="","",(LN(10)/LN(2))*AR46)</f>
        <v>103.2549369055626</v>
      </c>
      <c r="AT46" s="139">
        <f>0.1965*O46-3.429</f>
        <v>1.4835000000000007</v>
      </c>
    </row>
    <row r="47" spans="1:46" x14ac:dyDescent="0.2">
      <c r="A47" s="89" t="str">
        <f t="shared" si="13"/>
        <v/>
      </c>
      <c r="B47" s="90" t="str">
        <f t="shared" si="25"/>
        <v/>
      </c>
      <c r="C47" s="91" t="str">
        <f t="shared" si="14"/>
        <v/>
      </c>
      <c r="D47" s="91" t="str">
        <f t="shared" si="15"/>
        <v/>
      </c>
      <c r="E47" s="90" t="str">
        <f t="shared" si="26"/>
        <v/>
      </c>
      <c r="F47" s="91" t="str">
        <f t="shared" si="16"/>
        <v/>
      </c>
      <c r="G47" s="92" t="str">
        <f t="shared" si="17"/>
        <v/>
      </c>
      <c r="H47" s="93" t="str">
        <f t="shared" si="18"/>
        <v/>
      </c>
      <c r="I47" s="93" t="str">
        <f t="shared" si="19"/>
        <v/>
      </c>
      <c r="J47" s="93" t="str">
        <f t="shared" si="20"/>
        <v/>
      </c>
      <c r="K47" s="90" t="str">
        <f t="shared" si="21"/>
        <v/>
      </c>
      <c r="L47" s="91" t="str">
        <f t="shared" si="22"/>
        <v/>
      </c>
      <c r="M47" s="91" t="str">
        <f t="shared" si="23"/>
        <v/>
      </c>
      <c r="N47" s="94" t="str">
        <f t="shared" si="24"/>
        <v/>
      </c>
      <c r="O47" s="110">
        <v>30</v>
      </c>
      <c r="P47" s="134">
        <v>38.799999999999997</v>
      </c>
      <c r="Q47" s="135">
        <v>178</v>
      </c>
      <c r="R47" s="134">
        <v>0.3473</v>
      </c>
      <c r="S47" s="136">
        <f t="shared" si="27"/>
        <v>1.7864618055668694E-2</v>
      </c>
      <c r="T47" s="136">
        <f t="shared" si="28"/>
        <v>5.9344976623557887E-2</v>
      </c>
      <c r="U47" s="134">
        <v>0.31730000000000003</v>
      </c>
      <c r="V47" s="134">
        <v>1.698</v>
      </c>
      <c r="W47" s="134">
        <v>0.35930000000000001</v>
      </c>
      <c r="X47" s="136">
        <f t="shared" si="29"/>
        <v>2.1845167997477</v>
      </c>
      <c r="Y47" s="136">
        <f t="shared" si="30"/>
        <v>7.2568077308353152</v>
      </c>
      <c r="Z47" s="134">
        <v>0.1208</v>
      </c>
      <c r="AA47" s="134">
        <v>0.70430000000000004</v>
      </c>
      <c r="AB47" s="134">
        <v>0.36130000000000001</v>
      </c>
      <c r="AC47" s="136">
        <f t="shared" si="31"/>
        <v>5.7379733490061691</v>
      </c>
      <c r="AD47" s="136">
        <f t="shared" si="32"/>
        <v>19.061134875778524</v>
      </c>
      <c r="AE47" s="137">
        <v>7.4059999999999997</v>
      </c>
      <c r="AF47" s="134">
        <v>41.93</v>
      </c>
      <c r="AG47" s="134">
        <v>0.39589999999999997</v>
      </c>
      <c r="AH47" s="136">
        <f t="shared" si="33"/>
        <v>9.3592651979468713E-2</v>
      </c>
      <c r="AI47" s="136">
        <f t="shared" si="34"/>
        <v>0.31090806008561245</v>
      </c>
      <c r="AJ47" s="134">
        <v>0.30609999999999998</v>
      </c>
      <c r="AK47" s="134">
        <v>1.599</v>
      </c>
      <c r="AL47" s="134">
        <v>0.36930000000000002</v>
      </c>
      <c r="AM47" s="136">
        <f t="shared" si="35"/>
        <v>2.2644468492647674</v>
      </c>
      <c r="AN47" s="136">
        <f t="shared" si="36"/>
        <v>7.5223296079517992</v>
      </c>
      <c r="AO47" s="138">
        <v>2.1659999999999999E-2</v>
      </c>
      <c r="AP47" s="136">
        <v>3.9660000000000001E-2</v>
      </c>
      <c r="AQ47" s="134">
        <v>0.2843</v>
      </c>
      <c r="AR47" s="136">
        <f t="shared" si="37"/>
        <v>32.001254873497011</v>
      </c>
      <c r="AS47" s="136">
        <f t="shared" si="38"/>
        <v>106.30586763592085</v>
      </c>
      <c r="AT47" s="139">
        <f>0.1965*O47-3.429</f>
        <v>2.4660000000000006</v>
      </c>
    </row>
    <row r="48" spans="1:46" x14ac:dyDescent="0.2">
      <c r="A48" s="89" t="str">
        <f t="shared" si="13"/>
        <v/>
      </c>
      <c r="B48" s="90" t="str">
        <f t="shared" si="25"/>
        <v/>
      </c>
      <c r="C48" s="91" t="str">
        <f t="shared" si="14"/>
        <v/>
      </c>
      <c r="D48" s="91" t="str">
        <f t="shared" si="15"/>
        <v/>
      </c>
      <c r="E48" s="90" t="str">
        <f t="shared" si="26"/>
        <v/>
      </c>
      <c r="F48" s="91" t="str">
        <f t="shared" si="16"/>
        <v/>
      </c>
      <c r="G48" s="92" t="str">
        <f t="shared" si="17"/>
        <v/>
      </c>
      <c r="H48" s="93" t="str">
        <f t="shared" si="18"/>
        <v/>
      </c>
      <c r="I48" s="93" t="str">
        <f t="shared" si="19"/>
        <v/>
      </c>
      <c r="J48" s="93" t="str">
        <f t="shared" si="20"/>
        <v/>
      </c>
      <c r="K48" s="90" t="str">
        <f t="shared" si="21"/>
        <v/>
      </c>
      <c r="L48" s="91" t="str">
        <f t="shared" si="22"/>
        <v/>
      </c>
      <c r="M48" s="91" t="str">
        <f t="shared" si="23"/>
        <v/>
      </c>
      <c r="N48" s="94" t="str">
        <f t="shared" si="24"/>
        <v/>
      </c>
      <c r="O48" s="110">
        <v>35</v>
      </c>
      <c r="P48" s="134">
        <v>29.55</v>
      </c>
      <c r="Q48" s="135">
        <v>164.7</v>
      </c>
      <c r="R48" s="134">
        <v>0.39479999999999998</v>
      </c>
      <c r="S48" s="136">
        <f t="shared" si="27"/>
        <v>2.345675737935517E-2</v>
      </c>
      <c r="T48" s="136">
        <f t="shared" si="28"/>
        <v>7.7921661353436408E-2</v>
      </c>
      <c r="U48" s="134">
        <v>0.25280000000000002</v>
      </c>
      <c r="V48" s="134">
        <v>1.8069999999999999</v>
      </c>
      <c r="W48" s="134">
        <v>0.46479999999999999</v>
      </c>
      <c r="X48" s="136">
        <f t="shared" si="29"/>
        <v>2.741879669936492</v>
      </c>
      <c r="Y48" s="136">
        <f t="shared" si="30"/>
        <v>9.1083271083625217</v>
      </c>
      <c r="Z48" s="134">
        <v>8.8779999999999998E-2</v>
      </c>
      <c r="AA48" s="134">
        <v>0.69879999999999998</v>
      </c>
      <c r="AB48" s="134">
        <v>0.42449999999999999</v>
      </c>
      <c r="AC48" s="136">
        <f t="shared" si="31"/>
        <v>7.8074699319660432</v>
      </c>
      <c r="AD48" s="136">
        <f t="shared" si="32"/>
        <v>25.935853716986326</v>
      </c>
      <c r="AE48" s="137">
        <v>5.7160000000000002</v>
      </c>
      <c r="AF48" s="134">
        <v>43.41</v>
      </c>
      <c r="AG48" s="134">
        <v>0.48570000000000002</v>
      </c>
      <c r="AH48" s="136">
        <f t="shared" si="33"/>
        <v>0.12126437728480498</v>
      </c>
      <c r="AI48" s="136">
        <f t="shared" si="34"/>
        <v>0.40283154181141456</v>
      </c>
      <c r="AJ48" s="134">
        <v>0.23960000000000001</v>
      </c>
      <c r="AK48" s="134">
        <v>1.694</v>
      </c>
      <c r="AL48" s="134">
        <v>0.46829999999999999</v>
      </c>
      <c r="AM48" s="136">
        <f t="shared" si="35"/>
        <v>2.892934810350356</v>
      </c>
      <c r="AN48" s="136">
        <f t="shared" si="36"/>
        <v>9.6101214231804928</v>
      </c>
      <c r="AO48" s="138">
        <v>1.9009999999999999E-2</v>
      </c>
      <c r="AP48" s="136">
        <v>3.8730000000000001E-2</v>
      </c>
      <c r="AQ48" s="134">
        <v>0.37319999999999998</v>
      </c>
      <c r="AR48" s="136">
        <f t="shared" si="37"/>
        <v>36.462239903205962</v>
      </c>
      <c r="AS48" s="136">
        <f t="shared" si="38"/>
        <v>121.12493913698296</v>
      </c>
      <c r="AT48" s="139">
        <f>0.1965*O48-3.429</f>
        <v>3.4485000000000006</v>
      </c>
    </row>
    <row r="49" spans="1:46" x14ac:dyDescent="0.2">
      <c r="A49" s="89" t="str">
        <f t="shared" si="13"/>
        <v/>
      </c>
      <c r="B49" s="90" t="str">
        <f t="shared" si="25"/>
        <v/>
      </c>
      <c r="C49" s="91" t="str">
        <f t="shared" si="14"/>
        <v/>
      </c>
      <c r="D49" s="91" t="str">
        <f t="shared" si="15"/>
        <v/>
      </c>
      <c r="E49" s="90" t="str">
        <f t="shared" si="26"/>
        <v/>
      </c>
      <c r="F49" s="91" t="str">
        <f t="shared" si="16"/>
        <v/>
      </c>
      <c r="G49" s="92" t="str">
        <f t="shared" si="17"/>
        <v/>
      </c>
      <c r="H49" s="93" t="str">
        <f t="shared" si="18"/>
        <v/>
      </c>
      <c r="I49" s="93" t="str">
        <f t="shared" si="19"/>
        <v/>
      </c>
      <c r="J49" s="93" t="str">
        <f t="shared" si="20"/>
        <v/>
      </c>
      <c r="K49" s="90" t="str">
        <f t="shared" si="21"/>
        <v/>
      </c>
      <c r="L49" s="91" t="str">
        <f t="shared" si="22"/>
        <v/>
      </c>
      <c r="M49" s="91" t="str">
        <f t="shared" si="23"/>
        <v/>
      </c>
      <c r="N49" s="94" t="str">
        <f t="shared" si="24"/>
        <v/>
      </c>
      <c r="O49" s="110">
        <v>40</v>
      </c>
      <c r="P49" s="134"/>
      <c r="Q49" s="135"/>
      <c r="R49" s="134"/>
      <c r="S49" s="136" t="str">
        <f t="shared" si="27"/>
        <v/>
      </c>
      <c r="T49" s="136" t="str">
        <f t="shared" si="28"/>
        <v/>
      </c>
      <c r="U49" s="134">
        <v>0.12970000000000001</v>
      </c>
      <c r="V49" s="134">
        <v>0.17799999999999999</v>
      </c>
      <c r="W49" s="134">
        <v>0.21890000000000001</v>
      </c>
      <c r="X49" s="136">
        <f t="shared" si="29"/>
        <v>5.3442342371622606</v>
      </c>
      <c r="Y49" s="136">
        <f t="shared" si="30"/>
        <v>17.753161858088248</v>
      </c>
      <c r="Z49" s="134"/>
      <c r="AA49" s="134"/>
      <c r="AB49" s="134"/>
      <c r="AC49" s="136" t="str">
        <f t="shared" si="31"/>
        <v/>
      </c>
      <c r="AD49" s="136" t="str">
        <f t="shared" si="32"/>
        <v/>
      </c>
      <c r="AE49" s="137"/>
      <c r="AF49" s="134"/>
      <c r="AG49" s="134"/>
      <c r="AH49" s="136" t="str">
        <f t="shared" si="33"/>
        <v/>
      </c>
      <c r="AI49" s="136" t="str">
        <f t="shared" si="34"/>
        <v/>
      </c>
      <c r="AJ49" s="134"/>
      <c r="AK49" s="134"/>
      <c r="AL49" s="134"/>
      <c r="AM49" s="136" t="str">
        <f t="shared" si="35"/>
        <v/>
      </c>
      <c r="AN49" s="136" t="str">
        <f t="shared" si="36"/>
        <v/>
      </c>
      <c r="AO49" s="138"/>
      <c r="AP49" s="136"/>
      <c r="AQ49" s="134"/>
      <c r="AR49" s="136" t="str">
        <f t="shared" si="37"/>
        <v/>
      </c>
      <c r="AS49" s="136" t="str">
        <f t="shared" si="38"/>
        <v/>
      </c>
      <c r="AT49" s="139">
        <f t="shared" ref="AT49:AT71" si="39">1.222-0.05664*O49+0.001227*O49^2-0.000003136*O49^3</f>
        <v>0.71889599999999998</v>
      </c>
    </row>
    <row r="50" spans="1:46" x14ac:dyDescent="0.2">
      <c r="A50" s="89" t="str">
        <f t="shared" si="13"/>
        <v/>
      </c>
      <c r="B50" s="90" t="str">
        <f t="shared" si="25"/>
        <v/>
      </c>
      <c r="C50" s="91" t="str">
        <f t="shared" si="14"/>
        <v/>
      </c>
      <c r="D50" s="91" t="str">
        <f t="shared" si="15"/>
        <v/>
      </c>
      <c r="E50" s="90" t="str">
        <f t="shared" si="26"/>
        <v/>
      </c>
      <c r="F50" s="91" t="str">
        <f t="shared" si="16"/>
        <v/>
      </c>
      <c r="G50" s="92" t="str">
        <f t="shared" si="17"/>
        <v/>
      </c>
      <c r="H50" s="93" t="str">
        <f t="shared" si="18"/>
        <v/>
      </c>
      <c r="I50" s="93" t="str">
        <f t="shared" si="19"/>
        <v/>
      </c>
      <c r="J50" s="93" t="str">
        <f t="shared" si="20"/>
        <v/>
      </c>
      <c r="K50" s="90" t="str">
        <f t="shared" si="21"/>
        <v/>
      </c>
      <c r="L50" s="91" t="str">
        <f t="shared" si="22"/>
        <v/>
      </c>
      <c r="M50" s="91" t="str">
        <f t="shared" si="23"/>
        <v/>
      </c>
      <c r="N50" s="94" t="str">
        <f t="shared" si="24"/>
        <v/>
      </c>
      <c r="O50" s="110">
        <v>45</v>
      </c>
      <c r="P50" s="134"/>
      <c r="Q50" s="135"/>
      <c r="R50" s="134"/>
      <c r="S50" s="136" t="str">
        <f t="shared" si="27"/>
        <v/>
      </c>
      <c r="T50" s="136" t="str">
        <f t="shared" si="28"/>
        <v/>
      </c>
      <c r="U50" s="134">
        <v>0.1095</v>
      </c>
      <c r="V50" s="134">
        <v>0.1741</v>
      </c>
      <c r="W50" s="134">
        <v>0.22689999999999999</v>
      </c>
      <c r="X50" s="136">
        <f t="shared" si="29"/>
        <v>6.3301112379903683</v>
      </c>
      <c r="Y50" s="136">
        <f t="shared" si="30"/>
        <v>21.028174365242428</v>
      </c>
      <c r="Z50" s="134"/>
      <c r="AA50" s="134"/>
      <c r="AB50" s="134"/>
      <c r="AC50" s="136" t="str">
        <f t="shared" si="31"/>
        <v/>
      </c>
      <c r="AD50" s="136" t="str">
        <f t="shared" si="32"/>
        <v/>
      </c>
      <c r="AE50" s="137"/>
      <c r="AF50" s="134"/>
      <c r="AG50" s="134"/>
      <c r="AH50" s="136" t="str">
        <f t="shared" si="33"/>
        <v/>
      </c>
      <c r="AI50" s="136" t="str">
        <f t="shared" si="34"/>
        <v/>
      </c>
      <c r="AJ50" s="134"/>
      <c r="AK50" s="134"/>
      <c r="AL50" s="134"/>
      <c r="AM50" s="136" t="str">
        <f t="shared" si="35"/>
        <v/>
      </c>
      <c r="AN50" s="136" t="str">
        <f t="shared" si="36"/>
        <v/>
      </c>
      <c r="AO50" s="138"/>
      <c r="AP50" s="136"/>
      <c r="AQ50" s="134"/>
      <c r="AR50" s="136" t="str">
        <f t="shared" si="37"/>
        <v/>
      </c>
      <c r="AS50" s="136" t="str">
        <f t="shared" si="38"/>
        <v/>
      </c>
      <c r="AT50" s="139">
        <f t="shared" si="39"/>
        <v>0.87210700000000019</v>
      </c>
    </row>
    <row r="51" spans="1:46" x14ac:dyDescent="0.2">
      <c r="A51" s="89" t="str">
        <f t="shared" si="13"/>
        <v/>
      </c>
      <c r="B51" s="90" t="str">
        <f t="shared" si="25"/>
        <v/>
      </c>
      <c r="C51" s="91" t="str">
        <f t="shared" si="14"/>
        <v/>
      </c>
      <c r="D51" s="91" t="str">
        <f t="shared" si="15"/>
        <v/>
      </c>
      <c r="E51" s="90" t="str">
        <f t="shared" si="26"/>
        <v/>
      </c>
      <c r="F51" s="91" t="str">
        <f t="shared" si="16"/>
        <v/>
      </c>
      <c r="G51" s="92" t="str">
        <f t="shared" si="17"/>
        <v/>
      </c>
      <c r="H51" s="93" t="str">
        <f t="shared" si="18"/>
        <v/>
      </c>
      <c r="I51" s="93" t="str">
        <f t="shared" si="19"/>
        <v/>
      </c>
      <c r="J51" s="93" t="str">
        <f t="shared" si="20"/>
        <v/>
      </c>
      <c r="K51" s="90" t="str">
        <f t="shared" si="21"/>
        <v/>
      </c>
      <c r="L51" s="91" t="str">
        <f t="shared" si="22"/>
        <v/>
      </c>
      <c r="M51" s="91" t="str">
        <f t="shared" si="23"/>
        <v/>
      </c>
      <c r="N51" s="94" t="str">
        <f t="shared" si="24"/>
        <v/>
      </c>
      <c r="O51" s="110">
        <v>50</v>
      </c>
      <c r="P51" s="134">
        <v>8.8010000000000002</v>
      </c>
      <c r="Q51" s="135">
        <v>27.28</v>
      </c>
      <c r="R51" s="134">
        <v>0.29570000000000002</v>
      </c>
      <c r="S51" s="136">
        <f t="shared" si="27"/>
        <v>7.8757775316435089E-2</v>
      </c>
      <c r="T51" s="136">
        <f t="shared" si="28"/>
        <v>0.26162766651449215</v>
      </c>
      <c r="U51" s="134">
        <v>9.3200000000000005E-2</v>
      </c>
      <c r="V51" s="134">
        <v>0.17119999999999999</v>
      </c>
      <c r="W51" s="134">
        <v>0.2324</v>
      </c>
      <c r="X51" s="136">
        <f t="shared" si="29"/>
        <v>7.4372015081539189</v>
      </c>
      <c r="Y51" s="136">
        <f t="shared" si="30"/>
        <v>24.705848637275167</v>
      </c>
      <c r="Z51" s="134">
        <v>3.8830000000000003E-2</v>
      </c>
      <c r="AA51" s="134">
        <v>8.7300000000000003E-2</v>
      </c>
      <c r="AB51" s="134">
        <v>0.51049999999999995</v>
      </c>
      <c r="AC51" s="136">
        <f t="shared" si="31"/>
        <v>17.85081587844309</v>
      </c>
      <c r="AD51" s="136">
        <f t="shared" si="32"/>
        <v>59.299126783261535</v>
      </c>
      <c r="AE51" s="137">
        <v>1.8169999999999999</v>
      </c>
      <c r="AF51" s="134">
        <v>4.84</v>
      </c>
      <c r="AG51" s="134">
        <v>0.40210000000000001</v>
      </c>
      <c r="AH51" s="136">
        <f t="shared" si="33"/>
        <v>0.38147891059985983</v>
      </c>
      <c r="AI51" s="136">
        <f t="shared" si="34"/>
        <v>1.2672455107286988</v>
      </c>
      <c r="AJ51" s="134">
        <v>9.7210000000000005E-2</v>
      </c>
      <c r="AK51" s="134">
        <v>0.1799</v>
      </c>
      <c r="AL51" s="134">
        <v>0.49120000000000003</v>
      </c>
      <c r="AM51" s="136">
        <f t="shared" si="35"/>
        <v>7.1304102516196401</v>
      </c>
      <c r="AN51" s="136">
        <f t="shared" si="36"/>
        <v>23.686710142928153</v>
      </c>
      <c r="AO51" s="138">
        <v>1.076E-2</v>
      </c>
      <c r="AP51" s="136">
        <v>1.8619999999999999E-3</v>
      </c>
      <c r="AQ51" s="134">
        <v>1.17</v>
      </c>
      <c r="AR51" s="136">
        <f t="shared" si="37"/>
        <v>64.418882951667769</v>
      </c>
      <c r="AS51" s="136">
        <f t="shared" si="38"/>
        <v>213.9948971184057</v>
      </c>
      <c r="AT51" s="139">
        <f t="shared" si="39"/>
        <v>1.0654999999999997</v>
      </c>
    </row>
    <row r="52" spans="1:46" x14ac:dyDescent="0.2">
      <c r="A52" s="89" t="str">
        <f t="shared" si="13"/>
        <v/>
      </c>
      <c r="B52" s="90" t="str">
        <f t="shared" si="25"/>
        <v/>
      </c>
      <c r="C52" s="91" t="str">
        <f t="shared" si="14"/>
        <v/>
      </c>
      <c r="D52" s="91" t="str">
        <f t="shared" si="15"/>
        <v/>
      </c>
      <c r="E52" s="90" t="str">
        <f t="shared" si="26"/>
        <v/>
      </c>
      <c r="F52" s="91" t="str">
        <f t="shared" si="16"/>
        <v/>
      </c>
      <c r="G52" s="92" t="str">
        <f t="shared" si="17"/>
        <v/>
      </c>
      <c r="H52" s="93" t="str">
        <f t="shared" si="18"/>
        <v/>
      </c>
      <c r="I52" s="93" t="str">
        <f t="shared" si="19"/>
        <v/>
      </c>
      <c r="J52" s="93" t="str">
        <f t="shared" si="20"/>
        <v/>
      </c>
      <c r="K52" s="90" t="str">
        <f t="shared" si="21"/>
        <v/>
      </c>
      <c r="L52" s="91" t="str">
        <f t="shared" si="22"/>
        <v/>
      </c>
      <c r="M52" s="91" t="str">
        <f t="shared" si="23"/>
        <v/>
      </c>
      <c r="N52" s="94" t="str">
        <f t="shared" si="24"/>
        <v/>
      </c>
      <c r="O52" s="110">
        <v>55</v>
      </c>
      <c r="P52" s="134">
        <v>7.8390000000000004</v>
      </c>
      <c r="Q52" s="135">
        <v>25.92</v>
      </c>
      <c r="R52" s="134">
        <v>0.34989999999999999</v>
      </c>
      <c r="S52" s="136">
        <f t="shared" si="27"/>
        <v>8.8422908605682513E-2</v>
      </c>
      <c r="T52" s="136">
        <f t="shared" si="28"/>
        <v>0.2937345443288743</v>
      </c>
      <c r="U52" s="134">
        <v>7.4219999999999994E-2</v>
      </c>
      <c r="V52" s="134">
        <v>0.16969999999999999</v>
      </c>
      <c r="W52" s="134">
        <v>0.24540000000000001</v>
      </c>
      <c r="X52" s="136">
        <f t="shared" si="29"/>
        <v>9.3390889323625075</v>
      </c>
      <c r="Y52" s="136">
        <f t="shared" si="30"/>
        <v>31.023781905066638</v>
      </c>
      <c r="Z52" s="134">
        <v>3.4189999999999998E-2</v>
      </c>
      <c r="AA52" s="134">
        <v>8.3150000000000002E-2</v>
      </c>
      <c r="AB52" s="134">
        <v>0.56059999999999999</v>
      </c>
      <c r="AC52" s="136">
        <f t="shared" si="31"/>
        <v>20.273389311492991</v>
      </c>
      <c r="AD52" s="136">
        <f t="shared" si="32"/>
        <v>67.346741532437733</v>
      </c>
      <c r="AE52" s="137">
        <v>1.4930000000000001</v>
      </c>
      <c r="AF52" s="134">
        <v>4.5149999999999997</v>
      </c>
      <c r="AG52" s="134">
        <v>0.42930000000000001</v>
      </c>
      <c r="AH52" s="136">
        <f t="shared" si="33"/>
        <v>0.46426468892159761</v>
      </c>
      <c r="AI52" s="136">
        <f t="shared" si="34"/>
        <v>1.5422539135927968</v>
      </c>
      <c r="AJ52" s="134">
        <v>8.5519999999999999E-2</v>
      </c>
      <c r="AK52" s="134">
        <v>0.1661</v>
      </c>
      <c r="AL52" s="134">
        <v>0.51119999999999999</v>
      </c>
      <c r="AM52" s="136">
        <f t="shared" si="35"/>
        <v>8.1050886407851408</v>
      </c>
      <c r="AN52" s="136">
        <f t="shared" si="36"/>
        <v>26.924521667376585</v>
      </c>
      <c r="AO52" s="138">
        <v>1.0120000000000001E-2</v>
      </c>
      <c r="AP52" s="136">
        <v>1.4040000000000001E-3</v>
      </c>
      <c r="AQ52" s="134">
        <v>1.2689999999999999</v>
      </c>
      <c r="AR52" s="136">
        <f t="shared" si="37"/>
        <v>68.49280440315664</v>
      </c>
      <c r="AS52" s="136">
        <f t="shared" si="38"/>
        <v>227.52817124447091</v>
      </c>
      <c r="AT52" s="139">
        <f t="shared" si="39"/>
        <v>1.2967229999999998</v>
      </c>
    </row>
    <row r="53" spans="1:46" x14ac:dyDescent="0.2">
      <c r="A53" s="89" t="str">
        <f t="shared" si="13"/>
        <v/>
      </c>
      <c r="B53" s="90" t="str">
        <f t="shared" si="25"/>
        <v/>
      </c>
      <c r="C53" s="91" t="str">
        <f t="shared" si="14"/>
        <v/>
      </c>
      <c r="D53" s="91" t="str">
        <f t="shared" si="15"/>
        <v/>
      </c>
      <c r="E53" s="90" t="str">
        <f t="shared" si="26"/>
        <v/>
      </c>
      <c r="F53" s="91" t="str">
        <f t="shared" si="16"/>
        <v/>
      </c>
      <c r="G53" s="92" t="str">
        <f t="shared" si="17"/>
        <v/>
      </c>
      <c r="H53" s="93" t="str">
        <f t="shared" si="18"/>
        <v/>
      </c>
      <c r="I53" s="93" t="str">
        <f t="shared" si="19"/>
        <v/>
      </c>
      <c r="J53" s="93" t="str">
        <f t="shared" si="20"/>
        <v/>
      </c>
      <c r="K53" s="90" t="str">
        <f t="shared" si="21"/>
        <v/>
      </c>
      <c r="L53" s="91" t="str">
        <f t="shared" si="22"/>
        <v/>
      </c>
      <c r="M53" s="91" t="str">
        <f t="shared" si="23"/>
        <v/>
      </c>
      <c r="N53" s="94" t="str">
        <f t="shared" si="24"/>
        <v/>
      </c>
      <c r="O53" s="110">
        <v>60</v>
      </c>
      <c r="P53" s="134">
        <v>6.9509999999999996</v>
      </c>
      <c r="Q53" s="135">
        <v>24.89</v>
      </c>
      <c r="R53" s="134">
        <v>0.41980000000000001</v>
      </c>
      <c r="S53" s="136">
        <f t="shared" si="27"/>
        <v>9.971905920873908E-2</v>
      </c>
      <c r="T53" s="136">
        <f t="shared" si="28"/>
        <v>0.33125954438124672</v>
      </c>
      <c r="U53" s="134">
        <v>6.2509999999999996E-2</v>
      </c>
      <c r="V53" s="134">
        <v>0.16919999999999999</v>
      </c>
      <c r="W53" s="134">
        <v>0.27329999999999999</v>
      </c>
      <c r="X53" s="136">
        <f t="shared" si="29"/>
        <v>11.088580716044557</v>
      </c>
      <c r="Y53" s="136">
        <f t="shared" si="30"/>
        <v>36.835467813054642</v>
      </c>
      <c r="Z53" s="134">
        <v>2.9850000000000002E-2</v>
      </c>
      <c r="AA53" s="134">
        <v>7.961E-2</v>
      </c>
      <c r="AB53" s="134">
        <v>0.6169</v>
      </c>
      <c r="AC53" s="136">
        <f t="shared" si="31"/>
        <v>23.221011074035015</v>
      </c>
      <c r="AD53" s="136">
        <f t="shared" si="32"/>
        <v>77.138529078527483</v>
      </c>
      <c r="AE53" s="137">
        <v>1.1830000000000001</v>
      </c>
      <c r="AF53" s="134">
        <v>4.2190000000000003</v>
      </c>
      <c r="AG53" s="134">
        <v>0.45710000000000001</v>
      </c>
      <c r="AH53" s="136">
        <f t="shared" si="33"/>
        <v>0.58592322955194021</v>
      </c>
      <c r="AI53" s="136">
        <f t="shared" si="34"/>
        <v>1.9463948376957276</v>
      </c>
      <c r="AJ53" s="134">
        <v>7.4520000000000003E-2</v>
      </c>
      <c r="AK53" s="134">
        <v>0.15390000000000001</v>
      </c>
      <c r="AL53" s="134">
        <v>0.53039999999999998</v>
      </c>
      <c r="AM53" s="136">
        <f t="shared" si="35"/>
        <v>9.3014919559842362</v>
      </c>
      <c r="AN53" s="136">
        <f t="shared" si="36"/>
        <v>30.898887452952842</v>
      </c>
      <c r="AO53" s="138">
        <v>9.5119999999999996E-3</v>
      </c>
      <c r="AP53" s="136">
        <v>9.6719999999999998E-4</v>
      </c>
      <c r="AQ53" s="134">
        <v>1.333</v>
      </c>
      <c r="AR53" s="136">
        <f t="shared" si="37"/>
        <v>72.870813767866409</v>
      </c>
      <c r="AS53" s="136">
        <f t="shared" si="38"/>
        <v>242.07160355278026</v>
      </c>
      <c r="AT53" s="139">
        <f t="shared" si="39"/>
        <v>1.5634240000000001</v>
      </c>
    </row>
    <row r="54" spans="1:46" x14ac:dyDescent="0.2">
      <c r="A54" s="89" t="str">
        <f t="shared" si="13"/>
        <v/>
      </c>
      <c r="B54" s="90" t="str">
        <f t="shared" si="25"/>
        <v/>
      </c>
      <c r="C54" s="91" t="str">
        <f t="shared" si="14"/>
        <v/>
      </c>
      <c r="D54" s="91" t="str">
        <f t="shared" si="15"/>
        <v/>
      </c>
      <c r="E54" s="90" t="str">
        <f t="shared" si="26"/>
        <v/>
      </c>
      <c r="F54" s="91" t="str">
        <f t="shared" si="16"/>
        <v/>
      </c>
      <c r="G54" s="92" t="str">
        <f t="shared" si="17"/>
        <v/>
      </c>
      <c r="H54" s="93" t="str">
        <f t="shared" si="18"/>
        <v/>
      </c>
      <c r="I54" s="93" t="str">
        <f t="shared" si="19"/>
        <v/>
      </c>
      <c r="J54" s="93" t="str">
        <f t="shared" si="20"/>
        <v/>
      </c>
      <c r="K54" s="90" t="str">
        <f t="shared" si="21"/>
        <v/>
      </c>
      <c r="L54" s="91" t="str">
        <f t="shared" si="22"/>
        <v/>
      </c>
      <c r="M54" s="91" t="str">
        <f t="shared" si="23"/>
        <v/>
      </c>
      <c r="N54" s="94" t="str">
        <f t="shared" si="24"/>
        <v/>
      </c>
      <c r="O54" s="110">
        <v>65</v>
      </c>
      <c r="P54" s="134">
        <v>6.13</v>
      </c>
      <c r="Q54" s="135">
        <v>24.09</v>
      </c>
      <c r="R54" s="134">
        <v>0.50190000000000001</v>
      </c>
      <c r="S54" s="136">
        <f t="shared" si="27"/>
        <v>0.1130745808417529</v>
      </c>
      <c r="T54" s="136">
        <f t="shared" si="28"/>
        <v>0.37562562691583129</v>
      </c>
      <c r="U54" s="134">
        <v>5.5280000000000003E-2</v>
      </c>
      <c r="V54" s="134">
        <v>0.1696</v>
      </c>
      <c r="W54" s="134">
        <v>0.32169999999999999</v>
      </c>
      <c r="X54" s="136">
        <f t="shared" si="29"/>
        <v>12.53884190593244</v>
      </c>
      <c r="Y54" s="136">
        <f t="shared" si="30"/>
        <v>41.653131204667979</v>
      </c>
      <c r="Z54" s="134">
        <v>2.6089999999999999E-2</v>
      </c>
      <c r="AA54" s="134">
        <v>7.5969999999999996E-2</v>
      </c>
      <c r="AB54" s="134">
        <v>0.67559999999999998</v>
      </c>
      <c r="AC54" s="136">
        <f t="shared" si="31"/>
        <v>26.56754237485417</v>
      </c>
      <c r="AD54" s="136">
        <f t="shared" si="32"/>
        <v>88.255465427138589</v>
      </c>
      <c r="AE54" s="137">
        <v>0.91720000000000002</v>
      </c>
      <c r="AF54" s="134">
        <v>3.9820000000000002</v>
      </c>
      <c r="AG54" s="134">
        <v>0.49220000000000003</v>
      </c>
      <c r="AH54" s="136">
        <f t="shared" si="33"/>
        <v>0.75572086846919462</v>
      </c>
      <c r="AI54" s="136">
        <f t="shared" si="34"/>
        <v>2.5104503848604947</v>
      </c>
      <c r="AJ54" s="134">
        <v>6.5140000000000003E-2</v>
      </c>
      <c r="AK54" s="134">
        <v>0.14430000000000001</v>
      </c>
      <c r="AL54" s="134">
        <v>0.55820000000000003</v>
      </c>
      <c r="AM54" s="136">
        <f t="shared" si="35"/>
        <v>10.640883950874198</v>
      </c>
      <c r="AN54" s="136">
        <f t="shared" si="36"/>
        <v>35.348251350845032</v>
      </c>
      <c r="AO54" s="138">
        <v>8.9899999999999997E-3</v>
      </c>
      <c r="AP54" s="136">
        <v>6.4700000000000001E-4</v>
      </c>
      <c r="AQ54" s="134">
        <v>1.353</v>
      </c>
      <c r="AR54" s="136">
        <f t="shared" si="37"/>
        <v>77.102022309226399</v>
      </c>
      <c r="AS54" s="136">
        <f t="shared" si="38"/>
        <v>256.1273740816514</v>
      </c>
      <c r="AT54" s="139">
        <f t="shared" si="39"/>
        <v>1.863251</v>
      </c>
    </row>
    <row r="55" spans="1:46" x14ac:dyDescent="0.2">
      <c r="A55" s="89" t="str">
        <f t="shared" si="13"/>
        <v/>
      </c>
      <c r="B55" s="90" t="str">
        <f t="shared" si="25"/>
        <v/>
      </c>
      <c r="C55" s="91" t="str">
        <f t="shared" si="14"/>
        <v/>
      </c>
      <c r="D55" s="91" t="str">
        <f t="shared" si="15"/>
        <v/>
      </c>
      <c r="E55" s="90" t="str">
        <f t="shared" si="26"/>
        <v/>
      </c>
      <c r="F55" s="91" t="str">
        <f t="shared" si="16"/>
        <v/>
      </c>
      <c r="G55" s="92" t="str">
        <f t="shared" si="17"/>
        <v/>
      </c>
      <c r="H55" s="93" t="str">
        <f t="shared" si="18"/>
        <v/>
      </c>
      <c r="I55" s="93" t="str">
        <f t="shared" si="19"/>
        <v/>
      </c>
      <c r="J55" s="93" t="str">
        <f t="shared" si="20"/>
        <v/>
      </c>
      <c r="K55" s="90" t="str">
        <f t="shared" si="21"/>
        <v/>
      </c>
      <c r="L55" s="91" t="str">
        <f t="shared" si="22"/>
        <v/>
      </c>
      <c r="M55" s="91" t="str">
        <f t="shared" si="23"/>
        <v/>
      </c>
      <c r="N55" s="94" t="str">
        <f t="shared" si="24"/>
        <v/>
      </c>
      <c r="O55" s="110">
        <v>70</v>
      </c>
      <c r="P55" s="134">
        <v>5.3689999999999998</v>
      </c>
      <c r="Q55" s="135">
        <v>23.49</v>
      </c>
      <c r="R55" s="134">
        <v>0.58809999999999996</v>
      </c>
      <c r="S55" s="136">
        <f t="shared" si="27"/>
        <v>0.12910172854534277</v>
      </c>
      <c r="T55" s="136">
        <f t="shared" si="28"/>
        <v>0.42886665915329597</v>
      </c>
      <c r="U55" s="134">
        <v>5.0869999999999999E-2</v>
      </c>
      <c r="V55" s="134">
        <v>0.1696</v>
      </c>
      <c r="W55" s="134">
        <v>0.38469999999999999</v>
      </c>
      <c r="X55" s="136">
        <f t="shared" si="29"/>
        <v>13.625853755847166</v>
      </c>
      <c r="Y55" s="136">
        <f t="shared" si="30"/>
        <v>45.264106408375191</v>
      </c>
      <c r="Z55" s="134">
        <v>2.3019999999999999E-2</v>
      </c>
      <c r="AA55" s="134">
        <v>7.1629999999999999E-2</v>
      </c>
      <c r="AB55" s="134">
        <v>0.72989999999999999</v>
      </c>
      <c r="AC55" s="136">
        <f t="shared" si="31"/>
        <v>30.110650762812568</v>
      </c>
      <c r="AD55" s="136">
        <f t="shared" si="32"/>
        <v>100.02541672432866</v>
      </c>
      <c r="AE55" s="137">
        <v>0.71489999999999998</v>
      </c>
      <c r="AF55" s="134">
        <v>3.798</v>
      </c>
      <c r="AG55" s="134">
        <v>0.53779999999999994</v>
      </c>
      <c r="AH55" s="136">
        <f t="shared" si="33"/>
        <v>0.96957222067414361</v>
      </c>
      <c r="AI55" s="136">
        <f t="shared" si="34"/>
        <v>3.2208491998797673</v>
      </c>
      <c r="AJ55" s="134">
        <v>5.7910000000000003E-2</v>
      </c>
      <c r="AK55" s="134">
        <v>0.13569999999999999</v>
      </c>
      <c r="AL55" s="134">
        <v>0.59670000000000001</v>
      </c>
      <c r="AM55" s="136">
        <f t="shared" si="35"/>
        <v>11.969386644101974</v>
      </c>
      <c r="AN55" s="136">
        <f t="shared" si="36"/>
        <v>39.761441771611914</v>
      </c>
      <c r="AO55" s="138">
        <v>8.5500000000000003E-3</v>
      </c>
      <c r="AP55" s="136">
        <v>5.3899999999999998E-4</v>
      </c>
      <c r="AQ55" s="134">
        <v>1.194</v>
      </c>
      <c r="AR55" s="136">
        <f t="shared" si="37"/>
        <v>81.069845679525756</v>
      </c>
      <c r="AS55" s="136">
        <f t="shared" si="38"/>
        <v>269.30819801099949</v>
      </c>
      <c r="AT55" s="139">
        <f t="shared" si="39"/>
        <v>2.1938519999999997</v>
      </c>
    </row>
    <row r="56" spans="1:46" x14ac:dyDescent="0.2">
      <c r="A56" s="89" t="str">
        <f t="shared" si="13"/>
        <v/>
      </c>
      <c r="B56" s="90" t="str">
        <f t="shared" si="25"/>
        <v/>
      </c>
      <c r="C56" s="91" t="str">
        <f t="shared" si="14"/>
        <v/>
      </c>
      <c r="D56" s="91" t="str">
        <f t="shared" si="15"/>
        <v/>
      </c>
      <c r="E56" s="90" t="str">
        <f t="shared" si="26"/>
        <v/>
      </c>
      <c r="F56" s="91" t="str">
        <f t="shared" si="16"/>
        <v/>
      </c>
      <c r="G56" s="92" t="str">
        <f t="shared" si="17"/>
        <v/>
      </c>
      <c r="H56" s="93" t="str">
        <f t="shared" si="18"/>
        <v/>
      </c>
      <c r="I56" s="93" t="str">
        <f t="shared" si="19"/>
        <v/>
      </c>
      <c r="J56" s="93" t="str">
        <f t="shared" si="20"/>
        <v/>
      </c>
      <c r="K56" s="90" t="str">
        <f t="shared" si="21"/>
        <v/>
      </c>
      <c r="L56" s="91" t="str">
        <f t="shared" si="22"/>
        <v/>
      </c>
      <c r="M56" s="91" t="str">
        <f t="shared" si="23"/>
        <v/>
      </c>
      <c r="N56" s="94" t="str">
        <f t="shared" si="24"/>
        <v/>
      </c>
      <c r="O56" s="110">
        <v>75</v>
      </c>
      <c r="P56" s="134">
        <v>4.6660000000000004</v>
      </c>
      <c r="Q56" s="135">
        <v>22.69</v>
      </c>
      <c r="R56" s="134">
        <v>0.66180000000000005</v>
      </c>
      <c r="S56" s="136">
        <f t="shared" si="27"/>
        <v>0.14855276051434746</v>
      </c>
      <c r="T56" s="136">
        <f t="shared" si="28"/>
        <v>0.49348158872568487</v>
      </c>
      <c r="U56" s="134">
        <v>4.7969999999999999E-2</v>
      </c>
      <c r="V56" s="134">
        <v>0.1663</v>
      </c>
      <c r="W56" s="134">
        <v>0.44919999999999999</v>
      </c>
      <c r="X56" s="136">
        <f t="shared" si="29"/>
        <v>14.449597259952998</v>
      </c>
      <c r="Y56" s="136">
        <f t="shared" si="30"/>
        <v>48.000523097645321</v>
      </c>
      <c r="Z56" s="134">
        <v>2.0660000000000001E-2</v>
      </c>
      <c r="AA56" s="134">
        <v>6.6489999999999994E-2</v>
      </c>
      <c r="AB56" s="134">
        <v>0.77500000000000002</v>
      </c>
      <c r="AC56" s="136">
        <f t="shared" si="31"/>
        <v>33.550202350432976</v>
      </c>
      <c r="AD56" s="136">
        <f t="shared" si="32"/>
        <v>111.45135977705932</v>
      </c>
      <c r="AE56" s="137">
        <v>0.57930000000000004</v>
      </c>
      <c r="AF56" s="134">
        <v>3.629</v>
      </c>
      <c r="AG56" s="134">
        <v>0.59079999999999999</v>
      </c>
      <c r="AH56" s="136">
        <f t="shared" si="33"/>
        <v>1.1965254282063615</v>
      </c>
      <c r="AI56" s="136">
        <f t="shared" si="34"/>
        <v>3.9747714362058444</v>
      </c>
      <c r="AJ56" s="134">
        <v>5.2909999999999999E-2</v>
      </c>
      <c r="AK56" s="134">
        <v>0.128</v>
      </c>
      <c r="AL56" s="134">
        <v>0.64780000000000004</v>
      </c>
      <c r="AM56" s="136">
        <f t="shared" si="35"/>
        <v>13.100494813077779</v>
      </c>
      <c r="AN56" s="136">
        <f t="shared" si="36"/>
        <v>43.518901776489244</v>
      </c>
      <c r="AO56" s="138">
        <v>5.2030000000000002E-3</v>
      </c>
      <c r="AP56" s="136">
        <v>6.4210000000000005E-4</v>
      </c>
      <c r="AQ56" s="134">
        <v>1.0620000000000001</v>
      </c>
      <c r="AR56" s="136">
        <f t="shared" si="37"/>
        <v>133.22067664038926</v>
      </c>
      <c r="AS56" s="136">
        <f t="shared" si="38"/>
        <v>442.54950855161366</v>
      </c>
      <c r="AT56" s="139">
        <f t="shared" si="39"/>
        <v>2.5528750000000002</v>
      </c>
    </row>
    <row r="57" spans="1:46" x14ac:dyDescent="0.2">
      <c r="A57" s="89" t="str">
        <f t="shared" si="13"/>
        <v/>
      </c>
      <c r="B57" s="90" t="str">
        <f t="shared" si="25"/>
        <v/>
      </c>
      <c r="C57" s="91" t="str">
        <f t="shared" si="14"/>
        <v/>
      </c>
      <c r="D57" s="91" t="str">
        <f t="shared" si="15"/>
        <v/>
      </c>
      <c r="E57" s="90" t="str">
        <f t="shared" si="26"/>
        <v/>
      </c>
      <c r="F57" s="91" t="str">
        <f t="shared" si="16"/>
        <v/>
      </c>
      <c r="G57" s="92" t="str">
        <f t="shared" si="17"/>
        <v/>
      </c>
      <c r="H57" s="93" t="str">
        <f t="shared" si="18"/>
        <v/>
      </c>
      <c r="I57" s="93" t="str">
        <f t="shared" si="19"/>
        <v/>
      </c>
      <c r="J57" s="93" t="str">
        <f t="shared" si="20"/>
        <v/>
      </c>
      <c r="K57" s="90" t="str">
        <f t="shared" si="21"/>
        <v/>
      </c>
      <c r="L57" s="91" t="str">
        <f t="shared" si="22"/>
        <v/>
      </c>
      <c r="M57" s="91" t="str">
        <f t="shared" si="23"/>
        <v/>
      </c>
      <c r="N57" s="94" t="str">
        <f t="shared" si="24"/>
        <v/>
      </c>
      <c r="O57" s="110">
        <v>80</v>
      </c>
      <c r="P57" s="134">
        <v>4.04</v>
      </c>
      <c r="Q57" s="135">
        <v>21.69</v>
      </c>
      <c r="R57" s="134">
        <v>0.71870000000000001</v>
      </c>
      <c r="S57" s="136">
        <f t="shared" si="27"/>
        <v>0.17157108429701615</v>
      </c>
      <c r="T57" s="136">
        <f t="shared" si="28"/>
        <v>0.56994680519654595</v>
      </c>
      <c r="U57" s="134">
        <v>4.5830000000000003E-2</v>
      </c>
      <c r="V57" s="134">
        <v>0.15490000000000001</v>
      </c>
      <c r="W57" s="134">
        <v>0.49259999999999998</v>
      </c>
      <c r="X57" s="136">
        <f t="shared" si="29"/>
        <v>15.124311162119687</v>
      </c>
      <c r="Y57" s="136">
        <f t="shared" si="30"/>
        <v>50.241874165263923</v>
      </c>
      <c r="Z57" s="134">
        <v>1.8859999999999998E-2</v>
      </c>
      <c r="AA57" s="134">
        <v>6.0929999999999998E-2</v>
      </c>
      <c r="AB57" s="134">
        <v>0.81030000000000002</v>
      </c>
      <c r="AC57" s="136">
        <f t="shared" si="31"/>
        <v>36.752236509010885</v>
      </c>
      <c r="AD57" s="136">
        <f t="shared" si="32"/>
        <v>122.08828700922831</v>
      </c>
      <c r="AE57" s="137">
        <v>0.49209999999999998</v>
      </c>
      <c r="AF57" s="134">
        <v>3.4279999999999999</v>
      </c>
      <c r="AG57" s="134">
        <v>0.64270000000000005</v>
      </c>
      <c r="AH57" s="136">
        <f t="shared" si="33"/>
        <v>1.4085494423083627</v>
      </c>
      <c r="AI57" s="136">
        <f t="shared" si="34"/>
        <v>4.6790999654420764</v>
      </c>
      <c r="AJ57" s="134">
        <v>4.9549999999999997E-2</v>
      </c>
      <c r="AK57" s="134">
        <v>0.1208</v>
      </c>
      <c r="AL57" s="134">
        <v>0.7097</v>
      </c>
      <c r="AM57" s="136">
        <f t="shared" si="35"/>
        <v>13.988843199998897</v>
      </c>
      <c r="AN57" s="136">
        <f t="shared" si="36"/>
        <v>46.469931241050375</v>
      </c>
      <c r="AO57" s="138">
        <v>7.9030000000000003E-3</v>
      </c>
      <c r="AP57" s="136">
        <v>8.6399999999999997E-4</v>
      </c>
      <c r="AQ57" s="134">
        <v>0.97030000000000005</v>
      </c>
      <c r="AR57" s="136">
        <f t="shared" si="37"/>
        <v>87.706843041875899</v>
      </c>
      <c r="AS57" s="136">
        <f t="shared" si="38"/>
        <v>291.35582601468377</v>
      </c>
      <c r="AT57" s="139">
        <f t="shared" si="39"/>
        <v>2.9379679999999997</v>
      </c>
    </row>
    <row r="58" spans="1:46" x14ac:dyDescent="0.2">
      <c r="A58" s="89" t="str">
        <f t="shared" si="13"/>
        <v/>
      </c>
      <c r="B58" s="90" t="str">
        <f t="shared" si="25"/>
        <v/>
      </c>
      <c r="C58" s="91" t="str">
        <f t="shared" si="14"/>
        <v/>
      </c>
      <c r="D58" s="91" t="str">
        <f t="shared" si="15"/>
        <v/>
      </c>
      <c r="E58" s="90" t="str">
        <f t="shared" si="26"/>
        <v/>
      </c>
      <c r="F58" s="91" t="str">
        <f t="shared" si="16"/>
        <v/>
      </c>
      <c r="G58" s="92" t="str">
        <f t="shared" si="17"/>
        <v/>
      </c>
      <c r="H58" s="93" t="str">
        <f t="shared" si="18"/>
        <v/>
      </c>
      <c r="I58" s="93" t="str">
        <f t="shared" si="19"/>
        <v/>
      </c>
      <c r="J58" s="93" t="str">
        <f t="shared" si="20"/>
        <v/>
      </c>
      <c r="K58" s="90" t="str">
        <f t="shared" si="21"/>
        <v/>
      </c>
      <c r="L58" s="91" t="str">
        <f t="shared" si="22"/>
        <v/>
      </c>
      <c r="M58" s="91" t="str">
        <f t="shared" si="23"/>
        <v/>
      </c>
      <c r="N58" s="94" t="str">
        <f t="shared" si="24"/>
        <v/>
      </c>
      <c r="O58" s="110">
        <v>85</v>
      </c>
      <c r="P58" s="134">
        <v>3.504</v>
      </c>
      <c r="Q58" s="135">
        <v>20.37</v>
      </c>
      <c r="R58" s="134">
        <v>0.755</v>
      </c>
      <c r="S58" s="136">
        <f t="shared" si="27"/>
        <v>0.19781597618719901</v>
      </c>
      <c r="T58" s="136">
        <f t="shared" si="28"/>
        <v>0.65713044891382588</v>
      </c>
      <c r="U58" s="134">
        <v>4.3979999999999998E-2</v>
      </c>
      <c r="V58" s="134">
        <v>0.1348</v>
      </c>
      <c r="W58" s="134">
        <v>0.49430000000000002</v>
      </c>
      <c r="X58" s="136">
        <f t="shared" si="29"/>
        <v>15.760508880398939</v>
      </c>
      <c r="Y58" s="136">
        <f t="shared" si="30"/>
        <v>52.355277239519012</v>
      </c>
      <c r="Z58" s="134">
        <v>1.746E-2</v>
      </c>
      <c r="AA58" s="134">
        <v>5.5579999999999997E-2</v>
      </c>
      <c r="AB58" s="134">
        <v>0.83919999999999995</v>
      </c>
      <c r="AC58" s="136">
        <f t="shared" si="31"/>
        <v>39.699151234819318</v>
      </c>
      <c r="AD58" s="136">
        <f t="shared" si="32"/>
        <v>131.87772583012864</v>
      </c>
      <c r="AE58" s="137">
        <v>0.4355</v>
      </c>
      <c r="AF58" s="134">
        <v>3.1779999999999999</v>
      </c>
      <c r="AG58" s="134">
        <v>0.68610000000000004</v>
      </c>
      <c r="AH58" s="136">
        <f t="shared" si="33"/>
        <v>1.5916123549022854</v>
      </c>
      <c r="AI58" s="136">
        <f t="shared" si="34"/>
        <v>5.287221797919738</v>
      </c>
      <c r="AJ58" s="134">
        <v>4.7210000000000002E-2</v>
      </c>
      <c r="AK58" s="134">
        <v>0.114</v>
      </c>
      <c r="AL58" s="134">
        <v>0.77859999999999996</v>
      </c>
      <c r="AM58" s="136">
        <f t="shared" si="35"/>
        <v>14.682210984112375</v>
      </c>
      <c r="AN58" s="136">
        <f t="shared" si="36"/>
        <v>48.773249163186733</v>
      </c>
      <c r="AO58" s="138">
        <v>7.6860000000000001E-3</v>
      </c>
      <c r="AP58" s="136">
        <v>1.0560000000000001E-3</v>
      </c>
      <c r="AQ58" s="134">
        <v>1.0149999999999999</v>
      </c>
      <c r="AR58" s="136">
        <f t="shared" si="37"/>
        <v>90.183083601345984</v>
      </c>
      <c r="AS58" s="136">
        <f t="shared" si="38"/>
        <v>299.58171909888699</v>
      </c>
      <c r="AT58" s="139">
        <f t="shared" si="39"/>
        <v>3.3467790000000015</v>
      </c>
    </row>
    <row r="59" spans="1:46" x14ac:dyDescent="0.2">
      <c r="A59" s="1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O59" s="110">
        <v>90</v>
      </c>
      <c r="P59" s="134">
        <v>3.0670000000000002</v>
      </c>
      <c r="Q59" s="135">
        <v>18.829999999999998</v>
      </c>
      <c r="R59" s="134">
        <v>0.77259999999999995</v>
      </c>
      <c r="S59" s="136">
        <f t="shared" si="27"/>
        <v>0.22600168912942459</v>
      </c>
      <c r="T59" s="136">
        <f t="shared" si="28"/>
        <v>0.75076136061103538</v>
      </c>
      <c r="U59" s="134">
        <v>4.2279999999999998E-2</v>
      </c>
      <c r="V59" s="134">
        <v>0.1137</v>
      </c>
      <c r="W59" s="134">
        <v>0.46899999999999997</v>
      </c>
      <c r="X59" s="136">
        <f t="shared" si="29"/>
        <v>16.394209568589055</v>
      </c>
      <c r="Y59" s="136">
        <f t="shared" si="30"/>
        <v>54.460385359367208</v>
      </c>
      <c r="Z59" s="134">
        <v>1.6629999999999999E-2</v>
      </c>
      <c r="AA59" s="134">
        <v>5.0389999999999997E-2</v>
      </c>
      <c r="AB59" s="134">
        <v>0.85850000000000004</v>
      </c>
      <c r="AC59" s="136">
        <f t="shared" si="31"/>
        <v>41.680527995186132</v>
      </c>
      <c r="AD59" s="136">
        <f t="shared" si="32"/>
        <v>138.45971695694806</v>
      </c>
      <c r="AE59" s="137">
        <v>0.39710000000000001</v>
      </c>
      <c r="AF59" s="134">
        <v>2.9129999999999998</v>
      </c>
      <c r="AG59" s="134">
        <v>0.72040000000000004</v>
      </c>
      <c r="AH59" s="136">
        <f t="shared" si="33"/>
        <v>1.7455229930998371</v>
      </c>
      <c r="AI59" s="136">
        <f t="shared" si="34"/>
        <v>5.7985018710502283</v>
      </c>
      <c r="AJ59" s="134">
        <v>4.5499999999999999E-2</v>
      </c>
      <c r="AK59" s="134">
        <v>0.1077</v>
      </c>
      <c r="AL59" s="134">
        <v>0.85219999999999996</v>
      </c>
      <c r="AM59" s="136">
        <f t="shared" si="35"/>
        <v>15.234003968350446</v>
      </c>
      <c r="AN59" s="136">
        <f t="shared" si="36"/>
        <v>50.606265780088918</v>
      </c>
      <c r="AO59" s="138">
        <v>7.5110000000000003E-3</v>
      </c>
      <c r="AP59" s="136">
        <v>1.1590000000000001E-3</v>
      </c>
      <c r="AQ59" s="134">
        <v>1.081</v>
      </c>
      <c r="AR59" s="136">
        <f t="shared" si="37"/>
        <v>92.284273806409971</v>
      </c>
      <c r="AS59" s="136">
        <f t="shared" si="38"/>
        <v>306.56172187379121</v>
      </c>
      <c r="AT59" s="139">
        <f t="shared" si="39"/>
        <v>3.7769560000000002</v>
      </c>
    </row>
    <row r="60" spans="1:46" x14ac:dyDescent="0.2">
      <c r="A60" s="1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O60" s="110">
        <v>95</v>
      </c>
      <c r="P60" s="134">
        <v>2.7309999999999999</v>
      </c>
      <c r="Q60" s="135">
        <v>17.07</v>
      </c>
      <c r="R60" s="134">
        <v>0.77139999999999997</v>
      </c>
      <c r="S60" s="136">
        <f t="shared" si="27"/>
        <v>0.25380709650675404</v>
      </c>
      <c r="T60" s="136">
        <f t="shared" si="28"/>
        <v>0.84312892456757438</v>
      </c>
      <c r="U60" s="134">
        <v>4.0680000000000001E-2</v>
      </c>
      <c r="V60" s="134">
        <v>9.7049999999999997E-2</v>
      </c>
      <c r="W60" s="134">
        <v>0.44059999999999999</v>
      </c>
      <c r="X60" s="136">
        <f t="shared" si="29"/>
        <v>17.039016237953422</v>
      </c>
      <c r="Y60" s="136">
        <f t="shared" si="30"/>
        <v>56.602386750099448</v>
      </c>
      <c r="Z60" s="134">
        <v>1.5429999999999999E-2</v>
      </c>
      <c r="AA60" s="134">
        <v>4.5710000000000001E-2</v>
      </c>
      <c r="AB60" s="134">
        <v>0.87629999999999997</v>
      </c>
      <c r="AC60" s="136">
        <f t="shared" si="31"/>
        <v>44.922046698635469</v>
      </c>
      <c r="AD60" s="136">
        <f t="shared" si="32"/>
        <v>149.22780900803926</v>
      </c>
      <c r="AE60" s="137">
        <v>0.36809999999999998</v>
      </c>
      <c r="AF60" s="134">
        <v>2.6539999999999999</v>
      </c>
      <c r="AG60" s="134">
        <v>0.74609999999999999</v>
      </c>
      <c r="AH60" s="136">
        <f t="shared" si="33"/>
        <v>1.8830404253190582</v>
      </c>
      <c r="AI60" s="136">
        <f t="shared" si="34"/>
        <v>6.2553248926760281</v>
      </c>
      <c r="AJ60" s="134">
        <v>4.41E-2</v>
      </c>
      <c r="AK60" s="134">
        <v>0.1013</v>
      </c>
      <c r="AL60" s="134">
        <v>0.92220000000000002</v>
      </c>
      <c r="AM60" s="136">
        <f t="shared" si="35"/>
        <v>15.717623141948872</v>
      </c>
      <c r="AN60" s="136">
        <f t="shared" si="36"/>
        <v>52.212813900091739</v>
      </c>
      <c r="AO60" s="138">
        <v>7.345E-3</v>
      </c>
      <c r="AP60" s="136">
        <v>1.1329999999999999E-3</v>
      </c>
      <c r="AQ60" s="134">
        <v>1.1160000000000001</v>
      </c>
      <c r="AR60" s="136">
        <f t="shared" si="37"/>
        <v>94.369936087126661</v>
      </c>
      <c r="AS60" s="136">
        <f t="shared" si="38"/>
        <v>313.49014200055086</v>
      </c>
      <c r="AT60" s="139">
        <f t="shared" si="39"/>
        <v>4.2261469999999983</v>
      </c>
    </row>
    <row r="61" spans="1:46" x14ac:dyDescent="0.2">
      <c r="A61" s="78"/>
      <c r="B61" s="95" t="s">
        <v>59</v>
      </c>
      <c r="C61" s="96"/>
      <c r="D61" s="96"/>
      <c r="E61" s="95" t="s">
        <v>61</v>
      </c>
      <c r="F61" s="96"/>
      <c r="G61" s="96"/>
      <c r="H61" s="95" t="s">
        <v>90</v>
      </c>
      <c r="I61" s="96"/>
      <c r="J61" s="96"/>
      <c r="K61" s="97" t="s">
        <v>91</v>
      </c>
      <c r="L61" s="98"/>
      <c r="M61" s="99"/>
      <c r="O61" s="110">
        <v>100</v>
      </c>
      <c r="P61" s="134">
        <v>2.5</v>
      </c>
      <c r="Q61" s="135">
        <v>15.28</v>
      </c>
      <c r="R61" s="134">
        <v>0.75570000000000004</v>
      </c>
      <c r="S61" s="136">
        <f t="shared" si="27"/>
        <v>0.2772588722239781</v>
      </c>
      <c r="T61" s="136">
        <f t="shared" si="28"/>
        <v>0.92103403719761834</v>
      </c>
      <c r="U61" s="134">
        <v>3.925E-2</v>
      </c>
      <c r="V61" s="134">
        <v>8.5669999999999996E-2</v>
      </c>
      <c r="W61" s="134">
        <v>0.42730000000000001</v>
      </c>
      <c r="X61" s="136">
        <f t="shared" si="29"/>
        <v>17.659800778597333</v>
      </c>
      <c r="Y61" s="136">
        <f t="shared" si="30"/>
        <v>58.6645883565362</v>
      </c>
      <c r="Z61" s="134">
        <v>1.4659999999999999E-2</v>
      </c>
      <c r="AA61" s="134">
        <v>4.1709999999999997E-2</v>
      </c>
      <c r="AB61" s="134">
        <v>0.89390000000000003</v>
      </c>
      <c r="AC61" s="136">
        <f t="shared" si="31"/>
        <v>47.281526641196812</v>
      </c>
      <c r="AD61" s="136">
        <f t="shared" si="32"/>
        <v>157.06583171855701</v>
      </c>
      <c r="AE61" s="137">
        <v>0.34150000000000003</v>
      </c>
      <c r="AF61" s="134">
        <v>2.42</v>
      </c>
      <c r="AG61" s="134">
        <v>0.76449999999999996</v>
      </c>
      <c r="AH61" s="136">
        <f t="shared" si="33"/>
        <v>2.0297135594727531</v>
      </c>
      <c r="AI61" s="136">
        <f t="shared" si="34"/>
        <v>6.7425624977863707</v>
      </c>
      <c r="AJ61" s="134">
        <v>4.2779999999999999E-2</v>
      </c>
      <c r="AK61" s="134">
        <v>9.4659999999999994E-2</v>
      </c>
      <c r="AL61" s="134">
        <v>0.97909999999999997</v>
      </c>
      <c r="AM61" s="136">
        <f t="shared" si="35"/>
        <v>16.202598891069314</v>
      </c>
      <c r="AN61" s="136">
        <f t="shared" si="36"/>
        <v>53.823868466433979</v>
      </c>
      <c r="AO61" s="138">
        <v>7.2300000000000003E-3</v>
      </c>
      <c r="AP61" s="136">
        <v>9.343E-4</v>
      </c>
      <c r="AQ61" s="134">
        <v>1.3089999999999999</v>
      </c>
      <c r="AR61" s="136">
        <f t="shared" si="37"/>
        <v>95.870979330559507</v>
      </c>
      <c r="AS61" s="136">
        <f t="shared" si="38"/>
        <v>318.47649972255124</v>
      </c>
      <c r="AT61" s="139">
        <f t="shared" si="39"/>
        <v>4.6919999999999993</v>
      </c>
    </row>
    <row r="62" spans="1:46" x14ac:dyDescent="0.2">
      <c r="A62" s="67" t="s">
        <v>67</v>
      </c>
      <c r="B62" s="100" t="str">
        <f>$A$20</f>
        <v>Steel</v>
      </c>
      <c r="C62" s="101" t="str">
        <f>$A$21</f>
        <v>Glass</v>
      </c>
      <c r="D62" s="101" t="str">
        <f>$A$22</f>
        <v>Wood</v>
      </c>
      <c r="E62" s="100" t="str">
        <f>B62</f>
        <v>Steel</v>
      </c>
      <c r="F62" s="101" t="str">
        <f>C62</f>
        <v>Glass</v>
      </c>
      <c r="G62" s="101" t="str">
        <f>$A$22</f>
        <v>Wood</v>
      </c>
      <c r="H62" s="100" t="str">
        <f>B62</f>
        <v>Steel</v>
      </c>
      <c r="I62" s="101" t="str">
        <f>C62</f>
        <v>Glass</v>
      </c>
      <c r="J62" s="101" t="str">
        <f>$A$22</f>
        <v>Wood</v>
      </c>
      <c r="K62" s="100" t="str">
        <f>H62</f>
        <v>Steel</v>
      </c>
      <c r="L62" s="101" t="str">
        <f>I62</f>
        <v>Glass</v>
      </c>
      <c r="M62" s="101" t="str">
        <f>$A$22</f>
        <v>Wood</v>
      </c>
      <c r="O62" s="110">
        <v>105</v>
      </c>
      <c r="P62" s="134">
        <v>2.3639999999999999</v>
      </c>
      <c r="Q62" s="135">
        <v>13.41</v>
      </c>
      <c r="R62" s="134">
        <v>0.72389999999999999</v>
      </c>
      <c r="S62" s="136">
        <f t="shared" si="27"/>
        <v>0.29320946724193964</v>
      </c>
      <c r="T62" s="136">
        <f t="shared" si="28"/>
        <v>0.97402076691795514</v>
      </c>
      <c r="U62" s="134">
        <v>3.8080000000000003E-2</v>
      </c>
      <c r="V62" s="134">
        <v>7.8619999999999995E-2</v>
      </c>
      <c r="W62" s="134">
        <v>0.43940000000000001</v>
      </c>
      <c r="X62" s="136">
        <f t="shared" si="29"/>
        <v>18.202394447477552</v>
      </c>
      <c r="Y62" s="136">
        <f t="shared" si="30"/>
        <v>60.467045509297414</v>
      </c>
      <c r="Z62" s="134">
        <v>1.397E-2</v>
      </c>
      <c r="AA62" s="134">
        <v>3.8150000000000003E-2</v>
      </c>
      <c r="AB62" s="134">
        <v>0.90800000000000003</v>
      </c>
      <c r="AC62" s="136">
        <f t="shared" si="31"/>
        <v>49.616834685751272</v>
      </c>
      <c r="AD62" s="136">
        <f t="shared" si="32"/>
        <v>164.82355712197892</v>
      </c>
      <c r="AE62" s="137">
        <v>0.3135</v>
      </c>
      <c r="AF62" s="134">
        <v>2.2269999999999999</v>
      </c>
      <c r="AG62" s="134">
        <v>0.77880000000000005</v>
      </c>
      <c r="AH62" s="136">
        <f t="shared" si="33"/>
        <v>2.2109957912597937</v>
      </c>
      <c r="AI62" s="136">
        <f t="shared" si="34"/>
        <v>7.3447690366636236</v>
      </c>
      <c r="AJ62" s="134">
        <v>4.1430000000000002E-2</v>
      </c>
      <c r="AK62" s="134">
        <v>8.7510000000000004E-2</v>
      </c>
      <c r="AL62" s="134">
        <v>1.014</v>
      </c>
      <c r="AM62" s="136">
        <f t="shared" si="35"/>
        <v>16.730561925173674</v>
      </c>
      <c r="AN62" s="136">
        <f t="shared" si="36"/>
        <v>55.577723702487233</v>
      </c>
      <c r="AO62" s="138">
        <v>7.0499999999999998E-3</v>
      </c>
      <c r="AP62" s="136">
        <v>6.1990000000000005E-4</v>
      </c>
      <c r="AQ62" s="134">
        <v>1.365</v>
      </c>
      <c r="AR62" s="136">
        <f t="shared" si="37"/>
        <v>98.318749015595074</v>
      </c>
      <c r="AS62" s="136">
        <f t="shared" si="38"/>
        <v>326.60781460908453</v>
      </c>
      <c r="AT62" s="139">
        <f t="shared" si="39"/>
        <v>5.1721629999999994</v>
      </c>
    </row>
    <row r="63" spans="1:46" x14ac:dyDescent="0.2">
      <c r="A63" s="89" t="str">
        <f t="shared" ref="A63:A76" si="40">IF($A45="","",$A45)</f>
        <v/>
      </c>
      <c r="B63" s="90" t="str">
        <f t="shared" ref="B63:B76" si="41">IF(OR($B26=0,$F26=""),"",(1/($B$20*$D$20))*LN((((L26/$E$20)^-$D$20)+($C$20/$B$20))/(1+($C$20/$B$20))))</f>
        <v/>
      </c>
      <c r="C63" s="91" t="str">
        <f t="shared" ref="C63:C76" si="42">IF(OR($B26=0,$F26=""),"",(1/($B$21*$D$21))*LN(((($L26/$E$21)^-$D$21)+($C$21/$B$21))/(1+($C$21/$B$21))))</f>
        <v/>
      </c>
      <c r="D63" s="102" t="str">
        <f t="shared" ref="D63:D76" si="43">IF(OR($B26=0,$F26=""),"",(1/($B$22*$D$22))*LN(((($L26/$E$22)^-$D$22)+($C$22/$B$22))/(1+($C$22/$B$22))))</f>
        <v/>
      </c>
      <c r="E63" s="90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1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2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3" t="str">
        <f t="shared" ref="H63:H76" si="47">IF($N26="","",IF(-LN($N26)*$F$20/LN(2)&lt;0,0,-LN($N26)*$F$20/LN(2)))</f>
        <v/>
      </c>
      <c r="I63" s="93" t="str">
        <f t="shared" ref="I63:I76" si="48">IF($N26="","",IF(-LN($N26)*$F$21/LN(2)&lt;0,0,-LN($N26)*$F$21/LN(2)))</f>
        <v/>
      </c>
      <c r="J63" s="93" t="str">
        <f t="shared" ref="J63:J76" si="49">IF($N26="","",IF(-LN($N26)*$F$22/LN(2)&lt;0,0,-LN($N26)*$F$22/LN(2)))</f>
        <v/>
      </c>
      <c r="K63" s="90" t="str">
        <f t="shared" ref="K63:K76" si="50">IF($E63="","",IF(AND($E63=0,$H63=0),0,IF(OR($E63=0,$H63=0),MAX($E63,$H63),IF(ABS($E63-$H63)&gt;$G$20,MAX($E63,$H63),(MAX($E63,$H63)+$F$20)))))</f>
        <v/>
      </c>
      <c r="L63" s="91" t="str">
        <f t="shared" ref="L63:L76" si="51">IF($F63="","",IF(AND($F63=0,$I63=0),0,IF(OR($F63=0,$I63=0),MAX($F63,$I63),IF(ABS($F63-$I63)&gt;$G$21,MAX($F63,$I63),(MAX($F63,$I63)+$F$21)))))</f>
        <v/>
      </c>
      <c r="M63" s="91" t="str">
        <f t="shared" ref="M63:M76" si="52">IF($G63="","",IF(AND($G63=0,$J63=0),0,IF(OR($G63=0,$J63=0),MAX($G63,$J63),IF(ABS($G63-$J63)&gt;$G$22,MAX($G63,$J63),(MAX($G63,$J63)+$F$22)))))</f>
        <v/>
      </c>
      <c r="O63" s="110">
        <v>110</v>
      </c>
      <c r="P63" s="134">
        <v>2.2959999999999998</v>
      </c>
      <c r="Q63" s="135">
        <v>11.7</v>
      </c>
      <c r="R63" s="134">
        <v>0.68269999999999997</v>
      </c>
      <c r="S63" s="136">
        <f t="shared" si="27"/>
        <v>0.301893371324018</v>
      </c>
      <c r="T63" s="136">
        <f t="shared" si="28"/>
        <v>1.0028680718615182</v>
      </c>
      <c r="U63" s="134">
        <v>3.7150000000000002E-2</v>
      </c>
      <c r="V63" s="134">
        <v>7.4359999999999996E-2</v>
      </c>
      <c r="W63" s="134">
        <v>0.47520000000000001</v>
      </c>
      <c r="X63" s="136">
        <f t="shared" si="29"/>
        <v>18.658066771465553</v>
      </c>
      <c r="Y63" s="136">
        <f t="shared" si="30"/>
        <v>61.980756204415769</v>
      </c>
      <c r="Z63" s="134">
        <v>1.336E-2</v>
      </c>
      <c r="AA63" s="134">
        <v>3.5209999999999998E-2</v>
      </c>
      <c r="AB63" s="134">
        <v>0.9244</v>
      </c>
      <c r="AC63" s="136">
        <f t="shared" si="31"/>
        <v>51.882273994007882</v>
      </c>
      <c r="AD63" s="136">
        <f t="shared" si="32"/>
        <v>172.34918360733877</v>
      </c>
      <c r="AE63" s="137">
        <v>0.28489999999999999</v>
      </c>
      <c r="AF63" s="134">
        <v>2.0609999999999999</v>
      </c>
      <c r="AG63" s="134">
        <v>0.78969999999999996</v>
      </c>
      <c r="AH63" s="136">
        <f t="shared" si="33"/>
        <v>2.4329490367144446</v>
      </c>
      <c r="AI63" s="136">
        <f t="shared" si="34"/>
        <v>8.08208175849086</v>
      </c>
      <c r="AJ63" s="134">
        <v>4.0079999999999998E-2</v>
      </c>
      <c r="AK63" s="134">
        <v>8.047E-2</v>
      </c>
      <c r="AL63" s="134">
        <v>1.03</v>
      </c>
      <c r="AM63" s="136">
        <f t="shared" si="35"/>
        <v>17.294091331335963</v>
      </c>
      <c r="AN63" s="136">
        <f t="shared" si="36"/>
        <v>57.449727869112927</v>
      </c>
      <c r="AO63" s="138">
        <v>6.9210000000000001E-3</v>
      </c>
      <c r="AP63" s="136">
        <v>1.9760000000000001E-4</v>
      </c>
      <c r="AQ63" s="134">
        <v>3.3090000000000002</v>
      </c>
      <c r="AR63" s="136">
        <f t="shared" si="37"/>
        <v>100.15130480565601</v>
      </c>
      <c r="AS63" s="136">
        <f t="shared" si="38"/>
        <v>332.69543317353646</v>
      </c>
      <c r="AT63" s="139">
        <f t="shared" si="39"/>
        <v>5.6642840000000003</v>
      </c>
    </row>
    <row r="64" spans="1:46" x14ac:dyDescent="0.2">
      <c r="A64" s="89" t="str">
        <f t="shared" si="40"/>
        <v/>
      </c>
      <c r="B64" s="90" t="str">
        <f t="shared" si="41"/>
        <v/>
      </c>
      <c r="C64" s="91" t="str">
        <f t="shared" si="42"/>
        <v/>
      </c>
      <c r="D64" s="102" t="str">
        <f t="shared" si="43"/>
        <v/>
      </c>
      <c r="E64" s="90" t="str">
        <f t="shared" si="44"/>
        <v/>
      </c>
      <c r="F64" s="91" t="str">
        <f t="shared" si="45"/>
        <v/>
      </c>
      <c r="G64" s="92" t="str">
        <f t="shared" si="46"/>
        <v/>
      </c>
      <c r="H64" s="93" t="str">
        <f t="shared" si="47"/>
        <v/>
      </c>
      <c r="I64" s="93" t="str">
        <f t="shared" si="48"/>
        <v/>
      </c>
      <c r="J64" s="93" t="str">
        <f t="shared" si="49"/>
        <v/>
      </c>
      <c r="K64" s="90" t="str">
        <f t="shared" si="50"/>
        <v/>
      </c>
      <c r="L64" s="91" t="str">
        <f t="shared" si="51"/>
        <v/>
      </c>
      <c r="M64" s="91" t="str">
        <f t="shared" si="52"/>
        <v/>
      </c>
      <c r="O64" s="110">
        <v>115</v>
      </c>
      <c r="P64" s="134">
        <v>2.2650000000000001</v>
      </c>
      <c r="Q64" s="135">
        <v>10.210000000000001</v>
      </c>
      <c r="R64" s="134">
        <v>0.63629999999999998</v>
      </c>
      <c r="S64" s="136">
        <f t="shared" si="27"/>
        <v>0.30602524528032904</v>
      </c>
      <c r="T64" s="136">
        <f t="shared" si="28"/>
        <v>1.0165938600415214</v>
      </c>
      <c r="U64" s="134">
        <v>3.6360000000000003E-2</v>
      </c>
      <c r="V64" s="134">
        <v>7.2010000000000005E-2</v>
      </c>
      <c r="W64" s="134">
        <v>0.53190000000000004</v>
      </c>
      <c r="X64" s="136">
        <f t="shared" si="29"/>
        <v>19.063453810779571</v>
      </c>
      <c r="Y64" s="136">
        <f t="shared" si="30"/>
        <v>63.327422799616215</v>
      </c>
      <c r="Z64" s="134">
        <v>1.2829999999999999E-2</v>
      </c>
      <c r="AA64" s="134">
        <v>6.2710000000000002E-2</v>
      </c>
      <c r="AB64" s="134">
        <v>0.94230000000000003</v>
      </c>
      <c r="AC64" s="136">
        <f t="shared" si="31"/>
        <v>54.025501212778281</v>
      </c>
      <c r="AD64" s="136">
        <f t="shared" si="32"/>
        <v>179.46883031909945</v>
      </c>
      <c r="AE64" s="137">
        <v>0.25790000000000002</v>
      </c>
      <c r="AF64" s="134">
        <v>1.9219999999999999</v>
      </c>
      <c r="AG64" s="134">
        <v>0.80079999999999996</v>
      </c>
      <c r="AH64" s="136">
        <f t="shared" si="33"/>
        <v>2.6876587070955611</v>
      </c>
      <c r="AI64" s="136">
        <f t="shared" si="34"/>
        <v>8.9282089685693897</v>
      </c>
      <c r="AJ64" s="134">
        <v>3.8780000000000002E-2</v>
      </c>
      <c r="AK64" s="134">
        <v>7.3940000000000006E-2</v>
      </c>
      <c r="AL64" s="134">
        <v>1.0329999999999999</v>
      </c>
      <c r="AM64" s="136">
        <f t="shared" si="35"/>
        <v>17.873831370808283</v>
      </c>
      <c r="AN64" s="136">
        <f t="shared" si="36"/>
        <v>59.375582593967138</v>
      </c>
      <c r="AO64" s="138">
        <v>6.8640000000000003E-3</v>
      </c>
      <c r="AP64" s="136">
        <v>-3.9080000000000001E-4</v>
      </c>
      <c r="AQ64" s="134">
        <v>0.64690000000000003</v>
      </c>
      <c r="AR64" s="136">
        <f t="shared" si="37"/>
        <v>100.98298085080788</v>
      </c>
      <c r="AS64" s="136">
        <f t="shared" si="38"/>
        <v>335.45820119377123</v>
      </c>
      <c r="AT64" s="139">
        <f t="shared" si="39"/>
        <v>6.1660109999999984</v>
      </c>
    </row>
    <row r="65" spans="1:46" x14ac:dyDescent="0.2">
      <c r="A65" s="89" t="str">
        <f t="shared" si="40"/>
        <v/>
      </c>
      <c r="B65" s="90" t="str">
        <f t="shared" si="41"/>
        <v/>
      </c>
      <c r="C65" s="91" t="str">
        <f t="shared" si="42"/>
        <v/>
      </c>
      <c r="D65" s="102" t="str">
        <f t="shared" si="43"/>
        <v/>
      </c>
      <c r="E65" s="90" t="str">
        <f t="shared" si="44"/>
        <v/>
      </c>
      <c r="F65" s="91" t="str">
        <f t="shared" si="45"/>
        <v/>
      </c>
      <c r="G65" s="92" t="str">
        <f t="shared" si="46"/>
        <v/>
      </c>
      <c r="H65" s="93" t="str">
        <f t="shared" si="47"/>
        <v/>
      </c>
      <c r="I65" s="93" t="str">
        <f t="shared" si="48"/>
        <v/>
      </c>
      <c r="J65" s="93" t="str">
        <f t="shared" si="49"/>
        <v/>
      </c>
      <c r="K65" s="90" t="str">
        <f t="shared" si="50"/>
        <v/>
      </c>
      <c r="L65" s="91" t="str">
        <f t="shared" si="51"/>
        <v/>
      </c>
      <c r="M65" s="91" t="str">
        <f t="shared" si="52"/>
        <v/>
      </c>
      <c r="O65" s="110">
        <v>120</v>
      </c>
      <c r="P65" s="134">
        <v>2.246</v>
      </c>
      <c r="Q65" s="135">
        <v>8.9499999999999993</v>
      </c>
      <c r="R65" s="134">
        <v>0.58730000000000004</v>
      </c>
      <c r="S65" s="136">
        <f t="shared" si="27"/>
        <v>0.30861406080140041</v>
      </c>
      <c r="T65" s="136">
        <f t="shared" si="28"/>
        <v>1.0251937190534488</v>
      </c>
      <c r="U65" s="134">
        <v>3.5659999999999997E-2</v>
      </c>
      <c r="V65" s="134">
        <v>7.109E-2</v>
      </c>
      <c r="W65" s="134">
        <v>0.60729999999999995</v>
      </c>
      <c r="X65" s="136">
        <f t="shared" si="29"/>
        <v>19.437666308467339</v>
      </c>
      <c r="Y65" s="136">
        <f t="shared" si="30"/>
        <v>64.570529809143181</v>
      </c>
      <c r="Z65" s="134">
        <v>1.235E-2</v>
      </c>
      <c r="AA65" s="134">
        <v>3.0470000000000001E-2</v>
      </c>
      <c r="AB65" s="134">
        <v>0.95660000000000001</v>
      </c>
      <c r="AC65" s="136">
        <f t="shared" si="31"/>
        <v>56.125277778133224</v>
      </c>
      <c r="AD65" s="136">
        <f t="shared" si="32"/>
        <v>186.44413708453814</v>
      </c>
      <c r="AE65" s="137">
        <v>0.2336</v>
      </c>
      <c r="AF65" s="134">
        <v>1.7969999999999999</v>
      </c>
      <c r="AG65" s="134">
        <v>0.81159999999999999</v>
      </c>
      <c r="AH65" s="136">
        <f t="shared" si="33"/>
        <v>2.9672396428079848</v>
      </c>
      <c r="AI65" s="136">
        <f t="shared" si="34"/>
        <v>9.8569567337073867</v>
      </c>
      <c r="AJ65" s="134">
        <v>3.7580000000000002E-2</v>
      </c>
      <c r="AK65" s="134">
        <v>6.8080000000000002E-2</v>
      </c>
      <c r="AL65" s="134">
        <v>1.0309999999999999</v>
      </c>
      <c r="AM65" s="136">
        <f t="shared" si="35"/>
        <v>18.44457638530988</v>
      </c>
      <c r="AN65" s="136">
        <f t="shared" si="36"/>
        <v>61.271556492656885</v>
      </c>
      <c r="AO65" s="138">
        <v>6.7260000000000002E-3</v>
      </c>
      <c r="AP65" s="136">
        <v>-8.3080000000000003E-4</v>
      </c>
      <c r="AQ65" s="134">
        <v>1.006</v>
      </c>
      <c r="AR65" s="136">
        <f t="shared" si="37"/>
        <v>103.05488857566834</v>
      </c>
      <c r="AS65" s="136">
        <f t="shared" si="38"/>
        <v>342.34092967499936</v>
      </c>
      <c r="AT65" s="139">
        <f t="shared" si="39"/>
        <v>6.6749920000000014</v>
      </c>
    </row>
    <row r="66" spans="1:46" x14ac:dyDescent="0.2">
      <c r="A66" s="89" t="str">
        <f t="shared" si="40"/>
        <v/>
      </c>
      <c r="B66" s="90" t="str">
        <f t="shared" si="41"/>
        <v/>
      </c>
      <c r="C66" s="91" t="str">
        <f t="shared" si="42"/>
        <v/>
      </c>
      <c r="D66" s="102" t="str">
        <f t="shared" si="43"/>
        <v/>
      </c>
      <c r="E66" s="90" t="str">
        <f t="shared" si="44"/>
        <v/>
      </c>
      <c r="F66" s="91" t="str">
        <f t="shared" si="45"/>
        <v/>
      </c>
      <c r="G66" s="92" t="str">
        <f t="shared" si="46"/>
        <v/>
      </c>
      <c r="H66" s="93" t="str">
        <f t="shared" si="47"/>
        <v/>
      </c>
      <c r="I66" s="93" t="str">
        <f t="shared" si="48"/>
        <v/>
      </c>
      <c r="J66" s="93" t="str">
        <f t="shared" si="49"/>
        <v/>
      </c>
      <c r="K66" s="90" t="str">
        <f t="shared" si="50"/>
        <v/>
      </c>
      <c r="L66" s="91" t="str">
        <f t="shared" si="51"/>
        <v/>
      </c>
      <c r="M66" s="91" t="str">
        <f t="shared" si="52"/>
        <v/>
      </c>
      <c r="O66" s="110">
        <v>125</v>
      </c>
      <c r="P66" s="134">
        <v>2.2189999999999999</v>
      </c>
      <c r="Q66" s="135">
        <v>7.923</v>
      </c>
      <c r="R66" s="134">
        <v>0.53859999999999997</v>
      </c>
      <c r="S66" s="136">
        <f t="shared" si="27"/>
        <v>0.31236916654346342</v>
      </c>
      <c r="T66" s="136">
        <f t="shared" si="28"/>
        <v>1.0376679103172808</v>
      </c>
      <c r="U66" s="134">
        <v>3.5020000000000003E-2</v>
      </c>
      <c r="V66" s="134">
        <v>7.1129999999999999E-2</v>
      </c>
      <c r="W66" s="134">
        <v>0.69740000000000002</v>
      </c>
      <c r="X66" s="136">
        <f t="shared" si="29"/>
        <v>19.792894933179475</v>
      </c>
      <c r="Y66" s="136">
        <f t="shared" si="30"/>
        <v>65.750573757682631</v>
      </c>
      <c r="Z66" s="134">
        <v>1.192E-2</v>
      </c>
      <c r="AA66" s="134">
        <v>2.8629999999999999E-2</v>
      </c>
      <c r="AB66" s="134">
        <v>0.96840000000000004</v>
      </c>
      <c r="AC66" s="136">
        <f t="shared" si="31"/>
        <v>58.149931255028967</v>
      </c>
      <c r="AD66" s="136">
        <f t="shared" si="32"/>
        <v>193.16989035184949</v>
      </c>
      <c r="AE66" s="137">
        <v>0.21299999999999999</v>
      </c>
      <c r="AF66" s="134">
        <v>1.677</v>
      </c>
      <c r="AG66" s="134">
        <v>0.82169999999999999</v>
      </c>
      <c r="AH66" s="136">
        <f t="shared" si="33"/>
        <v>3.2542121153049077</v>
      </c>
      <c r="AI66" s="136">
        <f t="shared" si="34"/>
        <v>10.810258652554207</v>
      </c>
      <c r="AJ66" s="134">
        <v>3.6519999999999997E-2</v>
      </c>
      <c r="AK66" s="134">
        <v>6.3039999999999999E-2</v>
      </c>
      <c r="AL66" s="134">
        <v>1.0309999999999999</v>
      </c>
      <c r="AM66" s="136">
        <f t="shared" si="35"/>
        <v>18.979933750272327</v>
      </c>
      <c r="AN66" s="136">
        <f t="shared" si="36"/>
        <v>63.049975164130508</v>
      </c>
      <c r="AO66" s="138">
        <v>6.5839999999999996E-3</v>
      </c>
      <c r="AP66" s="136">
        <v>-1.214E-3</v>
      </c>
      <c r="AQ66" s="134">
        <v>1.1919999999999999</v>
      </c>
      <c r="AR66" s="136">
        <f t="shared" si="37"/>
        <v>105.27751831104881</v>
      </c>
      <c r="AS66" s="136">
        <f t="shared" si="38"/>
        <v>349.7243458374918</v>
      </c>
      <c r="AT66" s="139">
        <f t="shared" si="39"/>
        <v>7.1888749999999995</v>
      </c>
    </row>
    <row r="67" spans="1:46" x14ac:dyDescent="0.2">
      <c r="A67" s="89" t="str">
        <f t="shared" si="40"/>
        <v/>
      </c>
      <c r="B67" s="90" t="str">
        <f t="shared" si="41"/>
        <v/>
      </c>
      <c r="C67" s="91" t="str">
        <f t="shared" si="42"/>
        <v/>
      </c>
      <c r="D67" s="102" t="str">
        <f t="shared" si="43"/>
        <v/>
      </c>
      <c r="E67" s="90" t="str">
        <f t="shared" si="44"/>
        <v/>
      </c>
      <c r="F67" s="91" t="str">
        <f t="shared" si="45"/>
        <v/>
      </c>
      <c r="G67" s="92" t="str">
        <f t="shared" si="46"/>
        <v/>
      </c>
      <c r="H67" s="93" t="str">
        <f t="shared" si="47"/>
        <v/>
      </c>
      <c r="I67" s="93" t="str">
        <f t="shared" si="48"/>
        <v/>
      </c>
      <c r="J67" s="93" t="str">
        <f t="shared" si="49"/>
        <v/>
      </c>
      <c r="K67" s="90" t="str">
        <f t="shared" si="50"/>
        <v/>
      </c>
      <c r="L67" s="91" t="str">
        <f t="shared" si="51"/>
        <v/>
      </c>
      <c r="M67" s="91" t="str">
        <f t="shared" si="52"/>
        <v/>
      </c>
      <c r="O67" s="110">
        <v>130</v>
      </c>
      <c r="P67" s="134">
        <v>2.17</v>
      </c>
      <c r="Q67" s="135">
        <v>7.0940000000000003</v>
      </c>
      <c r="R67" s="134">
        <v>0.4909</v>
      </c>
      <c r="S67" s="136">
        <f t="shared" si="27"/>
        <v>0.31942266385250934</v>
      </c>
      <c r="T67" s="136">
        <f t="shared" si="28"/>
        <v>1.0610991211954128</v>
      </c>
      <c r="U67" s="134">
        <v>3.4450000000000001E-2</v>
      </c>
      <c r="V67" s="134">
        <v>7.1599999999999997E-2</v>
      </c>
      <c r="W67" s="134">
        <v>0.79690000000000005</v>
      </c>
      <c r="X67" s="136">
        <f t="shared" si="29"/>
        <v>20.120382599708137</v>
      </c>
      <c r="Y67" s="136">
        <f t="shared" si="30"/>
        <v>66.838464237853287</v>
      </c>
      <c r="Z67" s="134">
        <v>1.155E-2</v>
      </c>
      <c r="AA67" s="134">
        <v>2.7019999999999999E-2</v>
      </c>
      <c r="AB67" s="134">
        <v>0.98019999999999996</v>
      </c>
      <c r="AC67" s="136">
        <f t="shared" si="31"/>
        <v>60.012742905622972</v>
      </c>
      <c r="AD67" s="136">
        <f t="shared" si="32"/>
        <v>199.35801670944122</v>
      </c>
      <c r="AE67" s="137">
        <v>0.19689999999999999</v>
      </c>
      <c r="AF67" s="134">
        <v>1.5569999999999999</v>
      </c>
      <c r="AG67" s="134">
        <v>0.83089999999999997</v>
      </c>
      <c r="AH67" s="136">
        <f t="shared" si="33"/>
        <v>3.5203005615030234</v>
      </c>
      <c r="AI67" s="136">
        <f t="shared" si="34"/>
        <v>11.694185337704651</v>
      </c>
      <c r="AJ67" s="134">
        <v>3.5610000000000003E-2</v>
      </c>
      <c r="AK67" s="134">
        <v>5.8740000000000001E-2</v>
      </c>
      <c r="AL67" s="134">
        <v>1.0369999999999999</v>
      </c>
      <c r="AM67" s="136">
        <f t="shared" si="35"/>
        <v>19.464958735185206</v>
      </c>
      <c r="AN67" s="136">
        <f t="shared" si="36"/>
        <v>64.661193288234927</v>
      </c>
      <c r="AO67" s="138">
        <v>6.4720000000000003E-3</v>
      </c>
      <c r="AP67" s="136">
        <v>-1.539E-3</v>
      </c>
      <c r="AQ67" s="134">
        <v>1.2849999999999999</v>
      </c>
      <c r="AR67" s="136">
        <f t="shared" si="37"/>
        <v>107.09937894931169</v>
      </c>
      <c r="AS67" s="136">
        <f t="shared" si="38"/>
        <v>355.77643587670667</v>
      </c>
      <c r="AT67" s="139">
        <f t="shared" si="39"/>
        <v>7.7053080000000005</v>
      </c>
    </row>
    <row r="68" spans="1:46" x14ac:dyDescent="0.2">
      <c r="A68" s="89" t="str">
        <f t="shared" si="40"/>
        <v/>
      </c>
      <c r="B68" s="90" t="str">
        <f t="shared" si="41"/>
        <v/>
      </c>
      <c r="C68" s="91" t="str">
        <f t="shared" si="42"/>
        <v/>
      </c>
      <c r="D68" s="102" t="str">
        <f t="shared" si="43"/>
        <v/>
      </c>
      <c r="E68" s="90" t="str">
        <f t="shared" si="44"/>
        <v/>
      </c>
      <c r="F68" s="91" t="str">
        <f t="shared" si="45"/>
        <v/>
      </c>
      <c r="G68" s="92" t="str">
        <f t="shared" si="46"/>
        <v/>
      </c>
      <c r="H68" s="93" t="str">
        <f t="shared" si="47"/>
        <v/>
      </c>
      <c r="I68" s="93" t="str">
        <f t="shared" si="48"/>
        <v/>
      </c>
      <c r="J68" s="93" t="str">
        <f t="shared" si="49"/>
        <v/>
      </c>
      <c r="K68" s="90" t="str">
        <f t="shared" si="50"/>
        <v/>
      </c>
      <c r="L68" s="91" t="str">
        <f t="shared" si="51"/>
        <v/>
      </c>
      <c r="M68" s="91" t="str">
        <f t="shared" si="52"/>
        <v/>
      </c>
      <c r="O68" s="110">
        <v>135</v>
      </c>
      <c r="P68" s="134">
        <v>2.1019999999999999</v>
      </c>
      <c r="Q68" s="135">
        <v>6.45</v>
      </c>
      <c r="R68" s="134">
        <v>0.44690000000000002</v>
      </c>
      <c r="S68" s="136">
        <f t="shared" si="27"/>
        <v>0.32975603261652964</v>
      </c>
      <c r="T68" s="136">
        <f t="shared" si="28"/>
        <v>1.0954258292074432</v>
      </c>
      <c r="U68" s="134">
        <v>3.3939999999999998E-2</v>
      </c>
      <c r="V68" s="134">
        <v>7.263E-2</v>
      </c>
      <c r="W68" s="134">
        <v>0.90990000000000004</v>
      </c>
      <c r="X68" s="136">
        <f t="shared" si="29"/>
        <v>20.4227218786077</v>
      </c>
      <c r="Y68" s="136">
        <f t="shared" si="30"/>
        <v>67.842813582617737</v>
      </c>
      <c r="Z68" s="134">
        <v>1.1220000000000001E-2</v>
      </c>
      <c r="AA68" s="134">
        <v>2.5610000000000001E-2</v>
      </c>
      <c r="AB68" s="134">
        <v>0.99009999999999998</v>
      </c>
      <c r="AC68" s="136">
        <f t="shared" si="31"/>
        <v>61.777823579317754</v>
      </c>
      <c r="AD68" s="136">
        <f t="shared" si="32"/>
        <v>205.22148778913061</v>
      </c>
      <c r="AE68" s="137">
        <v>0.18379999999999999</v>
      </c>
      <c r="AF68" s="134">
        <v>1.44</v>
      </c>
      <c r="AG68" s="134">
        <v>0.83909999999999996</v>
      </c>
      <c r="AH68" s="136">
        <f t="shared" si="33"/>
        <v>3.7712033762782662</v>
      </c>
      <c r="AI68" s="136">
        <f t="shared" si="34"/>
        <v>12.52766644719285</v>
      </c>
      <c r="AJ68" s="134">
        <v>3.4810000000000001E-2</v>
      </c>
      <c r="AK68" s="134">
        <v>5.5190000000000003E-2</v>
      </c>
      <c r="AL68" s="134">
        <v>1.0489999999999999</v>
      </c>
      <c r="AM68" s="136">
        <f t="shared" si="35"/>
        <v>19.912300504451171</v>
      </c>
      <c r="AN68" s="136">
        <f t="shared" si="36"/>
        <v>66.147230479576152</v>
      </c>
      <c r="AO68" s="138">
        <v>6.306E-3</v>
      </c>
      <c r="AP68" s="136">
        <v>-1.7309999999999999E-3</v>
      </c>
      <c r="AQ68" s="134">
        <v>1.4650000000000001</v>
      </c>
      <c r="AR68" s="136">
        <f t="shared" si="37"/>
        <v>109.91867753884321</v>
      </c>
      <c r="AS68" s="136">
        <f t="shared" si="38"/>
        <v>365.14194306914777</v>
      </c>
      <c r="AT68" s="139">
        <f t="shared" si="39"/>
        <v>8.221938999999999</v>
      </c>
    </row>
    <row r="69" spans="1:46" x14ac:dyDescent="0.2">
      <c r="A69" s="89" t="str">
        <f t="shared" si="40"/>
        <v/>
      </c>
      <c r="B69" s="90" t="str">
        <f t="shared" si="41"/>
        <v/>
      </c>
      <c r="C69" s="91" t="str">
        <f t="shared" si="42"/>
        <v/>
      </c>
      <c r="D69" s="102" t="str">
        <f t="shared" si="43"/>
        <v/>
      </c>
      <c r="E69" s="90" t="str">
        <f t="shared" si="44"/>
        <v/>
      </c>
      <c r="F69" s="91" t="str">
        <f t="shared" si="45"/>
        <v/>
      </c>
      <c r="G69" s="92" t="str">
        <f t="shared" si="46"/>
        <v/>
      </c>
      <c r="H69" s="93" t="str">
        <f t="shared" si="47"/>
        <v/>
      </c>
      <c r="I69" s="93" t="str">
        <f t="shared" si="48"/>
        <v/>
      </c>
      <c r="J69" s="93" t="str">
        <f t="shared" si="49"/>
        <v/>
      </c>
      <c r="K69" s="90" t="str">
        <f t="shared" si="50"/>
        <v/>
      </c>
      <c r="L69" s="91" t="str">
        <f t="shared" si="51"/>
        <v/>
      </c>
      <c r="M69" s="91" t="str">
        <f t="shared" si="52"/>
        <v/>
      </c>
      <c r="O69" s="110">
        <v>140</v>
      </c>
      <c r="P69" s="134">
        <v>2.0089999999999999</v>
      </c>
      <c r="Q69" s="135">
        <v>5.9160000000000004</v>
      </c>
      <c r="R69" s="134">
        <v>0.40179999999999999</v>
      </c>
      <c r="S69" s="136">
        <f t="shared" si="27"/>
        <v>0.34502099579887774</v>
      </c>
      <c r="T69" s="136">
        <f t="shared" si="28"/>
        <v>1.1461349392703066</v>
      </c>
      <c r="U69" s="134">
        <v>3.3450000000000001E-2</v>
      </c>
      <c r="V69" s="134">
        <v>7.4759999999999993E-2</v>
      </c>
      <c r="W69" s="134">
        <v>1.0469999999999999</v>
      </c>
      <c r="X69" s="136">
        <f t="shared" si="29"/>
        <v>20.721888805977436</v>
      </c>
      <c r="Y69" s="136">
        <f t="shared" si="30"/>
        <v>68.836624603708387</v>
      </c>
      <c r="Z69" s="134">
        <v>1.0880000000000001E-2</v>
      </c>
      <c r="AA69" s="134">
        <v>2.436E-2</v>
      </c>
      <c r="AB69" s="134">
        <v>0.99639999999999995</v>
      </c>
      <c r="AC69" s="136">
        <f t="shared" si="31"/>
        <v>63.708380566171435</v>
      </c>
      <c r="AD69" s="136">
        <f t="shared" si="32"/>
        <v>211.63465928254095</v>
      </c>
      <c r="AE69" s="137">
        <v>0.1724</v>
      </c>
      <c r="AF69" s="134">
        <v>1.3280000000000001</v>
      </c>
      <c r="AG69" s="134">
        <v>0.8458</v>
      </c>
      <c r="AH69" s="136">
        <f t="shared" si="33"/>
        <v>4.0205752932711443</v>
      </c>
      <c r="AI69" s="136">
        <f t="shared" si="34"/>
        <v>13.356062024327411</v>
      </c>
      <c r="AJ69" s="134">
        <v>3.4070000000000003E-2</v>
      </c>
      <c r="AK69" s="134">
        <v>5.1450000000000003E-2</v>
      </c>
      <c r="AL69" s="134">
        <v>1.0569999999999999</v>
      </c>
      <c r="AM69" s="136">
        <f t="shared" si="35"/>
        <v>20.344795437626804</v>
      </c>
      <c r="AN69" s="136">
        <f t="shared" si="36"/>
        <v>67.583947548988718</v>
      </c>
      <c r="AO69" s="138">
        <v>6.1910000000000003E-3</v>
      </c>
      <c r="AP69" s="136">
        <v>-1.8489999999999999E-3</v>
      </c>
      <c r="AQ69" s="134">
        <v>1.53</v>
      </c>
      <c r="AR69" s="136">
        <f t="shared" si="37"/>
        <v>111.96045559036428</v>
      </c>
      <c r="AS69" s="136">
        <f t="shared" si="38"/>
        <v>371.92458294201998</v>
      </c>
      <c r="AT69" s="139">
        <f t="shared" si="39"/>
        <v>8.7364160000000002</v>
      </c>
    </row>
    <row r="70" spans="1:46" x14ac:dyDescent="0.2">
      <c r="A70" s="89" t="str">
        <f t="shared" si="40"/>
        <v/>
      </c>
      <c r="B70" s="90" t="str">
        <f t="shared" si="41"/>
        <v/>
      </c>
      <c r="C70" s="91" t="str">
        <f t="shared" si="42"/>
        <v/>
      </c>
      <c r="D70" s="102" t="str">
        <f t="shared" si="43"/>
        <v/>
      </c>
      <c r="E70" s="90" t="str">
        <f t="shared" si="44"/>
        <v/>
      </c>
      <c r="F70" s="91" t="str">
        <f t="shared" si="45"/>
        <v/>
      </c>
      <c r="G70" s="92" t="str">
        <f t="shared" si="46"/>
        <v/>
      </c>
      <c r="H70" s="93" t="str">
        <f t="shared" si="47"/>
        <v/>
      </c>
      <c r="I70" s="93" t="str">
        <f t="shared" si="48"/>
        <v/>
      </c>
      <c r="J70" s="93" t="str">
        <f t="shared" si="49"/>
        <v/>
      </c>
      <c r="K70" s="90" t="str">
        <f t="shared" si="50"/>
        <v/>
      </c>
      <c r="L70" s="91" t="str">
        <f t="shared" si="51"/>
        <v/>
      </c>
      <c r="M70" s="91" t="str">
        <f t="shared" si="52"/>
        <v/>
      </c>
      <c r="O70" s="110">
        <v>145</v>
      </c>
      <c r="P70" s="134">
        <v>1.895</v>
      </c>
      <c r="Q70" s="135">
        <v>5.4980000000000002</v>
      </c>
      <c r="R70" s="134">
        <v>0.35799999999999998</v>
      </c>
      <c r="S70" s="136">
        <f t="shared" si="27"/>
        <v>0.36577687628493155</v>
      </c>
      <c r="T70" s="136">
        <f t="shared" si="28"/>
        <v>1.2150844817910531</v>
      </c>
      <c r="U70" s="134">
        <v>3.2960000000000003E-2</v>
      </c>
      <c r="V70" s="134">
        <v>7.8750000000000001E-2</v>
      </c>
      <c r="W70" s="134">
        <v>1.224</v>
      </c>
      <c r="X70" s="136">
        <f t="shared" si="29"/>
        <v>21.029950866503192</v>
      </c>
      <c r="Y70" s="136">
        <f t="shared" si="30"/>
        <v>69.859984617537791</v>
      </c>
      <c r="Z70" s="134">
        <v>1.056E-2</v>
      </c>
      <c r="AA70" s="134">
        <v>2.3130000000000001E-2</v>
      </c>
      <c r="AB70" s="134">
        <v>0.99870000000000003</v>
      </c>
      <c r="AC70" s="136">
        <f t="shared" si="31"/>
        <v>65.638937553025116</v>
      </c>
      <c r="AD70" s="136">
        <f t="shared" si="32"/>
        <v>218.0478307759513</v>
      </c>
      <c r="AE70" s="137">
        <v>0.16159999999999999</v>
      </c>
      <c r="AF70" s="134">
        <v>1.2250000000000001</v>
      </c>
      <c r="AG70" s="134">
        <v>0.85189999999999999</v>
      </c>
      <c r="AH70" s="136">
        <f t="shared" si="33"/>
        <v>4.2892771074254039</v>
      </c>
      <c r="AI70" s="136">
        <f t="shared" si="34"/>
        <v>14.24867012991365</v>
      </c>
      <c r="AJ70" s="134">
        <v>3.3360000000000001E-2</v>
      </c>
      <c r="AK70" s="134">
        <v>4.795E-2</v>
      </c>
      <c r="AL70" s="134">
        <v>1.0629999999999999</v>
      </c>
      <c r="AM70" s="136">
        <f t="shared" si="35"/>
        <v>20.777793182252555</v>
      </c>
      <c r="AN70" s="136">
        <f t="shared" si="36"/>
        <v>69.022334921883868</v>
      </c>
      <c r="AO70" s="138">
        <v>6.1149999999999998E-3</v>
      </c>
      <c r="AP70" s="136">
        <v>-1.869E-3</v>
      </c>
      <c r="AQ70" s="134">
        <v>1.498</v>
      </c>
      <c r="AR70" s="136">
        <f t="shared" si="37"/>
        <v>113.35195103187985</v>
      </c>
      <c r="AS70" s="136">
        <f t="shared" si="38"/>
        <v>376.54703074309822</v>
      </c>
      <c r="AT70" s="139">
        <f t="shared" si="39"/>
        <v>9.2463870000000004</v>
      </c>
    </row>
    <row r="71" spans="1:46" x14ac:dyDescent="0.2">
      <c r="A71" s="89" t="str">
        <f t="shared" si="40"/>
        <v/>
      </c>
      <c r="B71" s="90" t="str">
        <f t="shared" si="41"/>
        <v/>
      </c>
      <c r="C71" s="91" t="str">
        <f t="shared" si="42"/>
        <v/>
      </c>
      <c r="D71" s="102" t="str">
        <f t="shared" si="43"/>
        <v/>
      </c>
      <c r="E71" s="90" t="str">
        <f t="shared" si="44"/>
        <v/>
      </c>
      <c r="F71" s="91" t="str">
        <f t="shared" si="45"/>
        <v/>
      </c>
      <c r="G71" s="92" t="str">
        <f t="shared" si="46"/>
        <v/>
      </c>
      <c r="H71" s="93" t="str">
        <f t="shared" si="47"/>
        <v/>
      </c>
      <c r="I71" s="93" t="str">
        <f t="shared" si="48"/>
        <v/>
      </c>
      <c r="J71" s="93" t="str">
        <f t="shared" si="49"/>
        <v/>
      </c>
      <c r="K71" s="90" t="str">
        <f t="shared" si="50"/>
        <v/>
      </c>
      <c r="L71" s="91" t="str">
        <f t="shared" si="51"/>
        <v/>
      </c>
      <c r="M71" s="91" t="str">
        <f t="shared" si="52"/>
        <v/>
      </c>
      <c r="O71" s="110">
        <v>150</v>
      </c>
      <c r="P71" s="134">
        <v>1.7569999999999999</v>
      </c>
      <c r="Q71" s="135">
        <v>5.1769999999999996</v>
      </c>
      <c r="R71" s="134">
        <v>0.31559999999999999</v>
      </c>
      <c r="S71" s="136">
        <f t="shared" si="27"/>
        <v>0.39450607886166494</v>
      </c>
      <c r="T71" s="136">
        <f t="shared" si="28"/>
        <v>1.3105208269744142</v>
      </c>
      <c r="U71" s="134">
        <v>3.243E-2</v>
      </c>
      <c r="V71" s="134">
        <v>8.5989999999999997E-2</v>
      </c>
      <c r="W71" s="134">
        <v>1.4670000000000001</v>
      </c>
      <c r="X71" s="136">
        <f t="shared" si="29"/>
        <v>21.373641090346755</v>
      </c>
      <c r="Y71" s="136">
        <f t="shared" si="30"/>
        <v>71.001698828061848</v>
      </c>
      <c r="Z71" s="134">
        <v>1.03E-2</v>
      </c>
      <c r="AA71" s="134">
        <v>2.198E-2</v>
      </c>
      <c r="AB71" s="134">
        <v>1.0129999999999999</v>
      </c>
      <c r="AC71" s="136">
        <f t="shared" si="31"/>
        <v>67.295842772810218</v>
      </c>
      <c r="AD71" s="136">
        <f t="shared" si="32"/>
        <v>223.55195077612095</v>
      </c>
      <c r="AE71" s="137">
        <v>0.15010000000000001</v>
      </c>
      <c r="AF71" s="134">
        <v>1.1319999999999999</v>
      </c>
      <c r="AG71" s="134">
        <v>0.85660000000000003</v>
      </c>
      <c r="AH71" s="136">
        <f t="shared" si="33"/>
        <v>4.6179026019983027</v>
      </c>
      <c r="AI71" s="136">
        <f t="shared" si="34"/>
        <v>15.340340393031617</v>
      </c>
      <c r="AJ71" s="134">
        <v>3.2660000000000002E-2</v>
      </c>
      <c r="AK71" s="134">
        <v>4.4909999999999999E-2</v>
      </c>
      <c r="AL71" s="134">
        <v>1.073</v>
      </c>
      <c r="AM71" s="136">
        <f t="shared" si="35"/>
        <v>21.223122491118961</v>
      </c>
      <c r="AN71" s="136">
        <f t="shared" si="36"/>
        <v>70.501686864483943</v>
      </c>
      <c r="AO71" s="138">
        <v>6.0200000000000002E-3</v>
      </c>
      <c r="AP71" s="136">
        <v>-1.7520000000000001E-3</v>
      </c>
      <c r="AQ71" s="134">
        <v>1.4830000000000001</v>
      </c>
      <c r="AR71" s="136">
        <f t="shared" si="37"/>
        <v>115.14072766776499</v>
      </c>
      <c r="AS71" s="136">
        <f t="shared" si="38"/>
        <v>382.48921810532318</v>
      </c>
      <c r="AT71" s="139">
        <f t="shared" si="39"/>
        <v>9.7495000000000012</v>
      </c>
    </row>
    <row r="72" spans="1:46" ht="13.5" thickBot="1" x14ac:dyDescent="0.25">
      <c r="A72" s="89" t="str">
        <f t="shared" si="40"/>
        <v/>
      </c>
      <c r="B72" s="90" t="str">
        <f t="shared" si="41"/>
        <v/>
      </c>
      <c r="C72" s="91" t="str">
        <f t="shared" si="42"/>
        <v/>
      </c>
      <c r="D72" s="102" t="str">
        <f t="shared" si="43"/>
        <v/>
      </c>
      <c r="E72" s="90" t="str">
        <f t="shared" si="44"/>
        <v/>
      </c>
      <c r="F72" s="91" t="str">
        <f t="shared" si="45"/>
        <v/>
      </c>
      <c r="G72" s="92" t="str">
        <f t="shared" si="46"/>
        <v/>
      </c>
      <c r="H72" s="93" t="str">
        <f t="shared" si="47"/>
        <v/>
      </c>
      <c r="I72" s="93" t="str">
        <f t="shared" si="48"/>
        <v/>
      </c>
      <c r="J72" s="93" t="str">
        <f t="shared" si="49"/>
        <v/>
      </c>
      <c r="K72" s="90" t="str">
        <f t="shared" si="50"/>
        <v/>
      </c>
      <c r="L72" s="91" t="str">
        <f t="shared" si="51"/>
        <v/>
      </c>
      <c r="M72" s="91" t="str">
        <f t="shared" si="52"/>
        <v/>
      </c>
      <c r="O72" s="124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24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1"/>
    </row>
    <row r="73" spans="1:46" ht="13.5" thickTop="1" x14ac:dyDescent="0.2">
      <c r="A73" s="89" t="str">
        <f t="shared" si="40"/>
        <v/>
      </c>
      <c r="B73" s="90" t="str">
        <f t="shared" si="41"/>
        <v/>
      </c>
      <c r="C73" s="91" t="str">
        <f t="shared" si="42"/>
        <v/>
      </c>
      <c r="D73" s="102" t="str">
        <f t="shared" si="43"/>
        <v/>
      </c>
      <c r="E73" s="90" t="str">
        <f t="shared" si="44"/>
        <v/>
      </c>
      <c r="F73" s="91" t="str">
        <f t="shared" si="45"/>
        <v/>
      </c>
      <c r="G73" s="92" t="str">
        <f t="shared" si="46"/>
        <v/>
      </c>
      <c r="H73" s="93" t="str">
        <f t="shared" si="47"/>
        <v/>
      </c>
      <c r="I73" s="93" t="str">
        <f t="shared" si="48"/>
        <v/>
      </c>
      <c r="J73" s="93" t="str">
        <f t="shared" si="49"/>
        <v/>
      </c>
      <c r="K73" s="90" t="str">
        <f t="shared" si="50"/>
        <v/>
      </c>
      <c r="L73" s="91" t="str">
        <f t="shared" si="51"/>
        <v/>
      </c>
      <c r="M73" s="91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9" t="str">
        <f t="shared" si="40"/>
        <v/>
      </c>
      <c r="B74" s="90" t="str">
        <f t="shared" si="41"/>
        <v/>
      </c>
      <c r="C74" s="91" t="str">
        <f t="shared" si="42"/>
        <v/>
      </c>
      <c r="D74" s="102" t="str">
        <f t="shared" si="43"/>
        <v/>
      </c>
      <c r="E74" s="90" t="str">
        <f t="shared" si="44"/>
        <v/>
      </c>
      <c r="F74" s="91" t="str">
        <f t="shared" si="45"/>
        <v/>
      </c>
      <c r="G74" s="92" t="str">
        <f t="shared" si="46"/>
        <v/>
      </c>
      <c r="H74" s="93" t="str">
        <f t="shared" si="47"/>
        <v/>
      </c>
      <c r="I74" s="93" t="str">
        <f t="shared" si="48"/>
        <v/>
      </c>
      <c r="J74" s="93" t="str">
        <f t="shared" si="49"/>
        <v/>
      </c>
      <c r="K74" s="90" t="str">
        <f t="shared" si="50"/>
        <v/>
      </c>
      <c r="L74" s="91" t="str">
        <f t="shared" si="51"/>
        <v/>
      </c>
      <c r="M74" s="91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9" t="str">
        <f t="shared" si="40"/>
        <v/>
      </c>
      <c r="B75" s="90" t="str">
        <f t="shared" si="41"/>
        <v/>
      </c>
      <c r="C75" s="91" t="str">
        <f t="shared" si="42"/>
        <v/>
      </c>
      <c r="D75" s="102" t="str">
        <f t="shared" si="43"/>
        <v/>
      </c>
      <c r="E75" s="90" t="str">
        <f t="shared" si="44"/>
        <v/>
      </c>
      <c r="F75" s="91" t="str">
        <f t="shared" si="45"/>
        <v/>
      </c>
      <c r="G75" s="92" t="str">
        <f t="shared" si="46"/>
        <v/>
      </c>
      <c r="H75" s="93" t="str">
        <f t="shared" si="47"/>
        <v/>
      </c>
      <c r="I75" s="93" t="str">
        <f t="shared" si="48"/>
        <v/>
      </c>
      <c r="J75" s="93" t="str">
        <f t="shared" si="49"/>
        <v/>
      </c>
      <c r="K75" s="90" t="str">
        <f t="shared" si="50"/>
        <v/>
      </c>
      <c r="L75" s="91" t="str">
        <f t="shared" si="51"/>
        <v/>
      </c>
      <c r="M75" s="91" t="str">
        <f t="shared" si="52"/>
        <v/>
      </c>
      <c r="P75" s="24" t="s">
        <v>100</v>
      </c>
    </row>
    <row r="76" spans="1:46" x14ac:dyDescent="0.2">
      <c r="A76" s="89" t="str">
        <f t="shared" si="40"/>
        <v/>
      </c>
      <c r="B76" s="90" t="str">
        <f t="shared" si="41"/>
        <v/>
      </c>
      <c r="C76" s="91" t="str">
        <f t="shared" si="42"/>
        <v/>
      </c>
      <c r="D76" s="102" t="str">
        <f t="shared" si="43"/>
        <v/>
      </c>
      <c r="E76" s="90" t="str">
        <f t="shared" si="44"/>
        <v/>
      </c>
      <c r="F76" s="91" t="str">
        <f t="shared" si="45"/>
        <v/>
      </c>
      <c r="G76" s="92" t="str">
        <f t="shared" si="46"/>
        <v/>
      </c>
      <c r="H76" s="93" t="str">
        <f t="shared" si="47"/>
        <v/>
      </c>
      <c r="I76" s="93" t="str">
        <f t="shared" si="48"/>
        <v/>
      </c>
      <c r="J76" s="93" t="str">
        <f t="shared" si="49"/>
        <v/>
      </c>
      <c r="K76" s="90" t="str">
        <f t="shared" si="50"/>
        <v/>
      </c>
      <c r="L76" s="91" t="str">
        <f t="shared" si="51"/>
        <v/>
      </c>
      <c r="M76" s="91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8" t="s">
        <v>101</v>
      </c>
      <c r="B78" s="103"/>
      <c r="C78" s="103"/>
      <c r="D78" s="78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9" t="str">
        <f>IF($B$5="","",$B$5)</f>
        <v/>
      </c>
      <c r="N78" s="80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8"/>
      <c r="B79" s="95" t="s">
        <v>59</v>
      </c>
      <c r="C79" s="96"/>
      <c r="D79" s="96"/>
      <c r="E79" s="95" t="s">
        <v>61</v>
      </c>
      <c r="F79" s="96"/>
      <c r="G79" s="96"/>
      <c r="H79" s="95" t="s">
        <v>90</v>
      </c>
      <c r="I79" s="96"/>
      <c r="J79" s="96"/>
      <c r="K79" s="97" t="s">
        <v>91</v>
      </c>
      <c r="L79" s="98"/>
      <c r="M79" s="99"/>
      <c r="N79" s="80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7" t="s">
        <v>67</v>
      </c>
      <c r="B80" s="100" t="str">
        <f t="shared" ref="B80:M80" si="53">B44</f>
        <v>Lead</v>
      </c>
      <c r="C80" s="101" t="str">
        <f t="shared" si="53"/>
        <v>Concrete</v>
      </c>
      <c r="D80" s="101" t="str">
        <f t="shared" si="53"/>
        <v>Gypsum</v>
      </c>
      <c r="E80" s="100" t="str">
        <f t="shared" si="53"/>
        <v>Lead</v>
      </c>
      <c r="F80" s="101" t="str">
        <f t="shared" si="53"/>
        <v>Concrete</v>
      </c>
      <c r="G80" s="101" t="str">
        <f t="shared" si="53"/>
        <v>Gypsum</v>
      </c>
      <c r="H80" s="100" t="str">
        <f t="shared" si="53"/>
        <v>Lead</v>
      </c>
      <c r="I80" s="101" t="str">
        <f t="shared" si="53"/>
        <v>Concrete</v>
      </c>
      <c r="J80" s="101" t="str">
        <f t="shared" si="53"/>
        <v>Gypsum</v>
      </c>
      <c r="K80" s="100" t="str">
        <f t="shared" si="53"/>
        <v>Lead</v>
      </c>
      <c r="L80" s="101" t="str">
        <f t="shared" si="53"/>
        <v>Concrete</v>
      </c>
      <c r="M80" s="101" t="str">
        <f t="shared" si="53"/>
        <v>Gypsum</v>
      </c>
      <c r="N80" s="86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9" t="str">
        <f t="shared" ref="A81:A94" si="54">IF(A45="","",A45)</f>
        <v/>
      </c>
      <c r="B81" s="90" t="str">
        <f t="shared" ref="B81:M81" si="55">IF(B45="","",B45/25.4)</f>
        <v/>
      </c>
      <c r="C81" s="91" t="str">
        <f t="shared" si="55"/>
        <v/>
      </c>
      <c r="D81" s="91" t="str">
        <f t="shared" si="55"/>
        <v/>
      </c>
      <c r="E81" s="90" t="str">
        <f t="shared" si="55"/>
        <v/>
      </c>
      <c r="F81" s="91" t="str">
        <f t="shared" si="55"/>
        <v/>
      </c>
      <c r="G81" s="91" t="str">
        <f t="shared" si="55"/>
        <v/>
      </c>
      <c r="H81" s="90" t="str">
        <f t="shared" si="55"/>
        <v/>
      </c>
      <c r="I81" s="91" t="str">
        <f t="shared" si="55"/>
        <v/>
      </c>
      <c r="J81" s="91" t="str">
        <f t="shared" si="55"/>
        <v/>
      </c>
      <c r="K81" s="90" t="str">
        <f t="shared" si="55"/>
        <v/>
      </c>
      <c r="L81" s="91" t="str">
        <f t="shared" si="55"/>
        <v/>
      </c>
      <c r="M81" s="91" t="str">
        <f t="shared" si="55"/>
        <v/>
      </c>
      <c r="N81" s="94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9" t="str">
        <f t="shared" si="54"/>
        <v/>
      </c>
      <c r="B82" s="90" t="str">
        <f t="shared" ref="B82:M82" si="57">IF(B46="","",B46/25.4)</f>
        <v/>
      </c>
      <c r="C82" s="91" t="str">
        <f t="shared" si="57"/>
        <v/>
      </c>
      <c r="D82" s="91" t="str">
        <f t="shared" si="57"/>
        <v/>
      </c>
      <c r="E82" s="90" t="str">
        <f t="shared" si="57"/>
        <v/>
      </c>
      <c r="F82" s="91" t="str">
        <f t="shared" si="57"/>
        <v/>
      </c>
      <c r="G82" s="91" t="str">
        <f t="shared" si="57"/>
        <v/>
      </c>
      <c r="H82" s="90" t="str">
        <f t="shared" si="57"/>
        <v/>
      </c>
      <c r="I82" s="91" t="str">
        <f t="shared" si="57"/>
        <v/>
      </c>
      <c r="J82" s="91" t="str">
        <f t="shared" si="57"/>
        <v/>
      </c>
      <c r="K82" s="90" t="str">
        <f t="shared" si="57"/>
        <v/>
      </c>
      <c r="L82" s="91" t="str">
        <f t="shared" si="57"/>
        <v/>
      </c>
      <c r="M82" s="91" t="str">
        <f t="shared" si="57"/>
        <v/>
      </c>
      <c r="N82" s="94" t="str">
        <f t="shared" si="56"/>
        <v/>
      </c>
    </row>
    <row r="83" spans="1:29" x14ac:dyDescent="0.2">
      <c r="A83" s="89" t="str">
        <f t="shared" si="54"/>
        <v/>
      </c>
      <c r="B83" s="90" t="str">
        <f t="shared" ref="B83:M83" si="58">IF(B47="","",B47/25.4)</f>
        <v/>
      </c>
      <c r="C83" s="91" t="str">
        <f t="shared" si="58"/>
        <v/>
      </c>
      <c r="D83" s="91" t="str">
        <f t="shared" si="58"/>
        <v/>
      </c>
      <c r="E83" s="90" t="str">
        <f t="shared" si="58"/>
        <v/>
      </c>
      <c r="F83" s="91" t="str">
        <f t="shared" si="58"/>
        <v/>
      </c>
      <c r="G83" s="91" t="str">
        <f t="shared" si="58"/>
        <v/>
      </c>
      <c r="H83" s="90" t="str">
        <f t="shared" si="58"/>
        <v/>
      </c>
      <c r="I83" s="91" t="str">
        <f t="shared" si="58"/>
        <v/>
      </c>
      <c r="J83" s="91" t="str">
        <f t="shared" si="58"/>
        <v/>
      </c>
      <c r="K83" s="90" t="str">
        <f t="shared" si="58"/>
        <v/>
      </c>
      <c r="L83" s="91" t="str">
        <f t="shared" si="58"/>
        <v/>
      </c>
      <c r="M83" s="91" t="str">
        <f t="shared" si="58"/>
        <v/>
      </c>
      <c r="N83" s="94" t="str">
        <f t="shared" si="56"/>
        <v/>
      </c>
    </row>
    <row r="84" spans="1:29" x14ac:dyDescent="0.2">
      <c r="A84" s="89" t="str">
        <f t="shared" si="54"/>
        <v/>
      </c>
      <c r="B84" s="90" t="str">
        <f t="shared" ref="B84:M84" si="59">IF(B48="","",B48/25.4)</f>
        <v/>
      </c>
      <c r="C84" s="91" t="str">
        <f t="shared" si="59"/>
        <v/>
      </c>
      <c r="D84" s="91" t="str">
        <f t="shared" si="59"/>
        <v/>
      </c>
      <c r="E84" s="90" t="str">
        <f t="shared" si="59"/>
        <v/>
      </c>
      <c r="F84" s="91" t="str">
        <f t="shared" si="59"/>
        <v/>
      </c>
      <c r="G84" s="91" t="str">
        <f t="shared" si="59"/>
        <v/>
      </c>
      <c r="H84" s="90" t="str">
        <f t="shared" si="59"/>
        <v/>
      </c>
      <c r="I84" s="91" t="str">
        <f t="shared" si="59"/>
        <v/>
      </c>
      <c r="J84" s="91" t="str">
        <f t="shared" si="59"/>
        <v/>
      </c>
      <c r="K84" s="90" t="str">
        <f t="shared" si="59"/>
        <v/>
      </c>
      <c r="L84" s="91" t="str">
        <f t="shared" si="59"/>
        <v/>
      </c>
      <c r="M84" s="91" t="str">
        <f t="shared" si="59"/>
        <v/>
      </c>
      <c r="N84" s="94" t="str">
        <f t="shared" si="56"/>
        <v/>
      </c>
      <c r="O84" s="43"/>
    </row>
    <row r="85" spans="1:29" x14ac:dyDescent="0.2">
      <c r="A85" s="89" t="str">
        <f t="shared" si="54"/>
        <v/>
      </c>
      <c r="B85" s="90" t="str">
        <f t="shared" ref="B85:M85" si="60">IF(B49="","",B49/25.4)</f>
        <v/>
      </c>
      <c r="C85" s="91" t="str">
        <f t="shared" si="60"/>
        <v/>
      </c>
      <c r="D85" s="91" t="str">
        <f t="shared" si="60"/>
        <v/>
      </c>
      <c r="E85" s="90" t="str">
        <f t="shared" si="60"/>
        <v/>
      </c>
      <c r="F85" s="91" t="str">
        <f t="shared" si="60"/>
        <v/>
      </c>
      <c r="G85" s="91" t="str">
        <f t="shared" si="60"/>
        <v/>
      </c>
      <c r="H85" s="90" t="str">
        <f t="shared" si="60"/>
        <v/>
      </c>
      <c r="I85" s="91" t="str">
        <f t="shared" si="60"/>
        <v/>
      </c>
      <c r="J85" s="91" t="str">
        <f t="shared" si="60"/>
        <v/>
      </c>
      <c r="K85" s="90" t="str">
        <f t="shared" si="60"/>
        <v/>
      </c>
      <c r="L85" s="91" t="str">
        <f t="shared" si="60"/>
        <v/>
      </c>
      <c r="M85" s="91" t="str">
        <f t="shared" si="60"/>
        <v/>
      </c>
      <c r="N85" s="94" t="str">
        <f t="shared" si="56"/>
        <v/>
      </c>
    </row>
    <row r="86" spans="1:29" x14ac:dyDescent="0.2">
      <c r="A86" s="89" t="str">
        <f t="shared" si="54"/>
        <v/>
      </c>
      <c r="B86" s="90" t="str">
        <f t="shared" ref="B86:M86" si="61">IF(B50="","",B50/25.4)</f>
        <v/>
      </c>
      <c r="C86" s="91" t="str">
        <f t="shared" si="61"/>
        <v/>
      </c>
      <c r="D86" s="91" t="str">
        <f t="shared" si="61"/>
        <v/>
      </c>
      <c r="E86" s="90" t="str">
        <f t="shared" si="61"/>
        <v/>
      </c>
      <c r="F86" s="91" t="str">
        <f t="shared" si="61"/>
        <v/>
      </c>
      <c r="G86" s="91" t="str">
        <f t="shared" si="61"/>
        <v/>
      </c>
      <c r="H86" s="90" t="str">
        <f t="shared" si="61"/>
        <v/>
      </c>
      <c r="I86" s="91" t="str">
        <f t="shared" si="61"/>
        <v/>
      </c>
      <c r="J86" s="91" t="str">
        <f t="shared" si="61"/>
        <v/>
      </c>
      <c r="K86" s="90" t="str">
        <f t="shared" si="61"/>
        <v/>
      </c>
      <c r="L86" s="91" t="str">
        <f t="shared" si="61"/>
        <v/>
      </c>
      <c r="M86" s="91" t="str">
        <f t="shared" si="61"/>
        <v/>
      </c>
      <c r="N86" s="94" t="str">
        <f t="shared" si="56"/>
        <v/>
      </c>
    </row>
    <row r="87" spans="1:29" x14ac:dyDescent="0.2">
      <c r="A87" s="89" t="str">
        <f t="shared" si="54"/>
        <v/>
      </c>
      <c r="B87" s="90" t="str">
        <f t="shared" ref="B87:M87" si="62">IF(B51="","",B51/25.4)</f>
        <v/>
      </c>
      <c r="C87" s="91" t="str">
        <f t="shared" si="62"/>
        <v/>
      </c>
      <c r="D87" s="91" t="str">
        <f t="shared" si="62"/>
        <v/>
      </c>
      <c r="E87" s="90" t="str">
        <f t="shared" si="62"/>
        <v/>
      </c>
      <c r="F87" s="91" t="str">
        <f t="shared" si="62"/>
        <v/>
      </c>
      <c r="G87" s="91" t="str">
        <f t="shared" si="62"/>
        <v/>
      </c>
      <c r="H87" s="90" t="str">
        <f t="shared" si="62"/>
        <v/>
      </c>
      <c r="I87" s="91" t="str">
        <f t="shared" si="62"/>
        <v/>
      </c>
      <c r="J87" s="91" t="str">
        <f t="shared" si="62"/>
        <v/>
      </c>
      <c r="K87" s="90" t="str">
        <f t="shared" si="62"/>
        <v/>
      </c>
      <c r="L87" s="91" t="str">
        <f t="shared" si="62"/>
        <v/>
      </c>
      <c r="M87" s="91" t="str">
        <f t="shared" si="62"/>
        <v/>
      </c>
      <c r="N87" s="94" t="str">
        <f t="shared" si="56"/>
        <v/>
      </c>
    </row>
    <row r="88" spans="1:29" x14ac:dyDescent="0.2">
      <c r="A88" s="89" t="str">
        <f t="shared" si="54"/>
        <v/>
      </c>
      <c r="B88" s="90" t="str">
        <f t="shared" ref="B88:M88" si="63">IF(B52="","",B52/25.4)</f>
        <v/>
      </c>
      <c r="C88" s="91" t="str">
        <f t="shared" si="63"/>
        <v/>
      </c>
      <c r="D88" s="91" t="str">
        <f t="shared" si="63"/>
        <v/>
      </c>
      <c r="E88" s="90" t="str">
        <f t="shared" si="63"/>
        <v/>
      </c>
      <c r="F88" s="91" t="str">
        <f t="shared" si="63"/>
        <v/>
      </c>
      <c r="G88" s="91" t="str">
        <f t="shared" si="63"/>
        <v/>
      </c>
      <c r="H88" s="90" t="str">
        <f t="shared" si="63"/>
        <v/>
      </c>
      <c r="I88" s="91" t="str">
        <f t="shared" si="63"/>
        <v/>
      </c>
      <c r="J88" s="91" t="str">
        <f t="shared" si="63"/>
        <v/>
      </c>
      <c r="K88" s="90" t="str">
        <f t="shared" si="63"/>
        <v/>
      </c>
      <c r="L88" s="91" t="str">
        <f t="shared" si="63"/>
        <v/>
      </c>
      <c r="M88" s="91" t="str">
        <f t="shared" si="63"/>
        <v/>
      </c>
      <c r="N88" s="94" t="str">
        <f t="shared" si="56"/>
        <v/>
      </c>
    </row>
    <row r="89" spans="1:29" x14ac:dyDescent="0.2">
      <c r="A89" s="89" t="str">
        <f t="shared" si="54"/>
        <v/>
      </c>
      <c r="B89" s="90" t="str">
        <f t="shared" ref="B89:M89" si="64">IF(B53="","",B53/25.4)</f>
        <v/>
      </c>
      <c r="C89" s="91" t="str">
        <f t="shared" si="64"/>
        <v/>
      </c>
      <c r="D89" s="91" t="str">
        <f t="shared" si="64"/>
        <v/>
      </c>
      <c r="E89" s="90" t="str">
        <f t="shared" si="64"/>
        <v/>
      </c>
      <c r="F89" s="91" t="str">
        <f t="shared" si="64"/>
        <v/>
      </c>
      <c r="G89" s="91" t="str">
        <f t="shared" si="64"/>
        <v/>
      </c>
      <c r="H89" s="90" t="str">
        <f t="shared" si="64"/>
        <v/>
      </c>
      <c r="I89" s="91" t="str">
        <f t="shared" si="64"/>
        <v/>
      </c>
      <c r="J89" s="91" t="str">
        <f t="shared" si="64"/>
        <v/>
      </c>
      <c r="K89" s="90" t="str">
        <f t="shared" si="64"/>
        <v/>
      </c>
      <c r="L89" s="91" t="str">
        <f t="shared" si="64"/>
        <v/>
      </c>
      <c r="M89" s="91" t="str">
        <f t="shared" si="64"/>
        <v/>
      </c>
      <c r="N89" s="94" t="str">
        <f t="shared" si="56"/>
        <v/>
      </c>
    </row>
    <row r="90" spans="1:29" x14ac:dyDescent="0.2">
      <c r="A90" s="89" t="str">
        <f t="shared" si="54"/>
        <v/>
      </c>
      <c r="B90" s="90" t="str">
        <f t="shared" ref="B90:M90" si="65">IF(B54="","",B54/25.4)</f>
        <v/>
      </c>
      <c r="C90" s="91" t="str">
        <f t="shared" si="65"/>
        <v/>
      </c>
      <c r="D90" s="91" t="str">
        <f t="shared" si="65"/>
        <v/>
      </c>
      <c r="E90" s="90" t="str">
        <f t="shared" si="65"/>
        <v/>
      </c>
      <c r="F90" s="91" t="str">
        <f t="shared" si="65"/>
        <v/>
      </c>
      <c r="G90" s="91" t="str">
        <f t="shared" si="65"/>
        <v/>
      </c>
      <c r="H90" s="90" t="str">
        <f t="shared" si="65"/>
        <v/>
      </c>
      <c r="I90" s="91" t="str">
        <f t="shared" si="65"/>
        <v/>
      </c>
      <c r="J90" s="91" t="str">
        <f t="shared" si="65"/>
        <v/>
      </c>
      <c r="K90" s="90" t="str">
        <f t="shared" si="65"/>
        <v/>
      </c>
      <c r="L90" s="91" t="str">
        <f t="shared" si="65"/>
        <v/>
      </c>
      <c r="M90" s="91" t="str">
        <f t="shared" si="65"/>
        <v/>
      </c>
      <c r="N90" s="94" t="str">
        <f t="shared" si="56"/>
        <v/>
      </c>
    </row>
    <row r="91" spans="1:29" x14ac:dyDescent="0.2">
      <c r="A91" s="89" t="str">
        <f t="shared" si="54"/>
        <v/>
      </c>
      <c r="B91" s="90" t="str">
        <f t="shared" ref="B91:M91" si="66">IF(B55="","",B55/25.4)</f>
        <v/>
      </c>
      <c r="C91" s="91" t="str">
        <f t="shared" si="66"/>
        <v/>
      </c>
      <c r="D91" s="91" t="str">
        <f t="shared" si="66"/>
        <v/>
      </c>
      <c r="E91" s="90" t="str">
        <f t="shared" si="66"/>
        <v/>
      </c>
      <c r="F91" s="91" t="str">
        <f t="shared" si="66"/>
        <v/>
      </c>
      <c r="G91" s="91" t="str">
        <f t="shared" si="66"/>
        <v/>
      </c>
      <c r="H91" s="90" t="str">
        <f t="shared" si="66"/>
        <v/>
      </c>
      <c r="I91" s="91" t="str">
        <f t="shared" si="66"/>
        <v/>
      </c>
      <c r="J91" s="91" t="str">
        <f t="shared" si="66"/>
        <v/>
      </c>
      <c r="K91" s="90" t="str">
        <f t="shared" si="66"/>
        <v/>
      </c>
      <c r="L91" s="91" t="str">
        <f t="shared" si="66"/>
        <v/>
      </c>
      <c r="M91" s="91" t="str">
        <f t="shared" si="66"/>
        <v/>
      </c>
      <c r="N91" s="94" t="str">
        <f t="shared" si="56"/>
        <v/>
      </c>
    </row>
    <row r="92" spans="1:29" x14ac:dyDescent="0.2">
      <c r="A92" s="89" t="str">
        <f t="shared" si="54"/>
        <v/>
      </c>
      <c r="B92" s="90" t="str">
        <f t="shared" ref="B92:M92" si="67">IF(B56="","",B56/25.4)</f>
        <v/>
      </c>
      <c r="C92" s="91" t="str">
        <f t="shared" si="67"/>
        <v/>
      </c>
      <c r="D92" s="91" t="str">
        <f t="shared" si="67"/>
        <v/>
      </c>
      <c r="E92" s="90" t="str">
        <f t="shared" si="67"/>
        <v/>
      </c>
      <c r="F92" s="91" t="str">
        <f t="shared" si="67"/>
        <v/>
      </c>
      <c r="G92" s="91" t="str">
        <f t="shared" si="67"/>
        <v/>
      </c>
      <c r="H92" s="90" t="str">
        <f t="shared" si="67"/>
        <v/>
      </c>
      <c r="I92" s="91" t="str">
        <f t="shared" si="67"/>
        <v/>
      </c>
      <c r="J92" s="91" t="str">
        <f t="shared" si="67"/>
        <v/>
      </c>
      <c r="K92" s="90" t="str">
        <f t="shared" si="67"/>
        <v/>
      </c>
      <c r="L92" s="91" t="str">
        <f t="shared" si="67"/>
        <v/>
      </c>
      <c r="M92" s="91" t="str">
        <f t="shared" si="67"/>
        <v/>
      </c>
      <c r="N92" s="94" t="str">
        <f t="shared" si="56"/>
        <v/>
      </c>
    </row>
    <row r="93" spans="1:29" x14ac:dyDescent="0.2">
      <c r="A93" s="89" t="str">
        <f t="shared" si="54"/>
        <v/>
      </c>
      <c r="B93" s="90" t="str">
        <f t="shared" ref="B93:M93" si="68">IF(B57="","",B57/25.4)</f>
        <v/>
      </c>
      <c r="C93" s="91" t="str">
        <f t="shared" si="68"/>
        <v/>
      </c>
      <c r="D93" s="91" t="str">
        <f t="shared" si="68"/>
        <v/>
      </c>
      <c r="E93" s="90" t="str">
        <f t="shared" si="68"/>
        <v/>
      </c>
      <c r="F93" s="91" t="str">
        <f t="shared" si="68"/>
        <v/>
      </c>
      <c r="G93" s="91" t="str">
        <f t="shared" si="68"/>
        <v/>
      </c>
      <c r="H93" s="90" t="str">
        <f t="shared" si="68"/>
        <v/>
      </c>
      <c r="I93" s="91" t="str">
        <f t="shared" si="68"/>
        <v/>
      </c>
      <c r="J93" s="91" t="str">
        <f t="shared" si="68"/>
        <v/>
      </c>
      <c r="K93" s="90" t="str">
        <f t="shared" si="68"/>
        <v/>
      </c>
      <c r="L93" s="91" t="str">
        <f t="shared" si="68"/>
        <v/>
      </c>
      <c r="M93" s="91" t="str">
        <f t="shared" si="68"/>
        <v/>
      </c>
      <c r="N93" s="94" t="str">
        <f t="shared" si="56"/>
        <v/>
      </c>
    </row>
    <row r="94" spans="1:29" x14ac:dyDescent="0.2">
      <c r="A94" s="89" t="str">
        <f t="shared" si="54"/>
        <v/>
      </c>
      <c r="B94" s="90" t="str">
        <f t="shared" ref="B94:M94" si="69">IF(B58="","",B58/25.4)</f>
        <v/>
      </c>
      <c r="C94" s="91" t="str">
        <f t="shared" si="69"/>
        <v/>
      </c>
      <c r="D94" s="91" t="str">
        <f t="shared" si="69"/>
        <v/>
      </c>
      <c r="E94" s="90" t="str">
        <f t="shared" si="69"/>
        <v/>
      </c>
      <c r="F94" s="91" t="str">
        <f t="shared" si="69"/>
        <v/>
      </c>
      <c r="G94" s="91" t="str">
        <f t="shared" si="69"/>
        <v/>
      </c>
      <c r="H94" s="90" t="str">
        <f t="shared" si="69"/>
        <v/>
      </c>
      <c r="I94" s="91" t="str">
        <f t="shared" si="69"/>
        <v/>
      </c>
      <c r="J94" s="91" t="str">
        <f t="shared" si="69"/>
        <v/>
      </c>
      <c r="K94" s="90" t="str">
        <f t="shared" si="69"/>
        <v/>
      </c>
      <c r="L94" s="91" t="str">
        <f t="shared" si="69"/>
        <v/>
      </c>
      <c r="M94" s="91" t="str">
        <f t="shared" si="69"/>
        <v/>
      </c>
      <c r="N94" s="94" t="str">
        <f t="shared" si="56"/>
        <v/>
      </c>
    </row>
    <row r="95" spans="1:29" x14ac:dyDescent="0.2">
      <c r="A95" s="6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7"/>
    </row>
    <row r="96" spans="1:29" x14ac:dyDescent="0.2">
      <c r="A96" s="78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7"/>
    </row>
    <row r="97" spans="1:14" x14ac:dyDescent="0.2">
      <c r="A97" s="78"/>
      <c r="B97" s="95" t="s">
        <v>59</v>
      </c>
      <c r="C97" s="96"/>
      <c r="D97" s="96"/>
      <c r="E97" s="95" t="s">
        <v>61</v>
      </c>
      <c r="F97" s="96"/>
      <c r="G97" s="96"/>
      <c r="H97" s="95" t="s">
        <v>90</v>
      </c>
      <c r="I97" s="96"/>
      <c r="J97" s="96"/>
      <c r="K97" s="97" t="s">
        <v>91</v>
      </c>
      <c r="L97" s="98"/>
      <c r="M97" s="99"/>
      <c r="N97" s="7"/>
    </row>
    <row r="98" spans="1:14" x14ac:dyDescent="0.2">
      <c r="A98" s="67" t="s">
        <v>67</v>
      </c>
      <c r="B98" s="100" t="str">
        <f t="shared" ref="B98:M98" si="70">B62</f>
        <v>Steel</v>
      </c>
      <c r="C98" s="101" t="str">
        <f t="shared" si="70"/>
        <v>Glass</v>
      </c>
      <c r="D98" s="101" t="str">
        <f t="shared" si="70"/>
        <v>Wood</v>
      </c>
      <c r="E98" s="100" t="str">
        <f t="shared" si="70"/>
        <v>Steel</v>
      </c>
      <c r="F98" s="101" t="str">
        <f t="shared" si="70"/>
        <v>Glass</v>
      </c>
      <c r="G98" s="101" t="str">
        <f t="shared" si="70"/>
        <v>Wood</v>
      </c>
      <c r="H98" s="100" t="str">
        <f t="shared" si="70"/>
        <v>Steel</v>
      </c>
      <c r="I98" s="101" t="str">
        <f t="shared" si="70"/>
        <v>Glass</v>
      </c>
      <c r="J98" s="101" t="str">
        <f t="shared" si="70"/>
        <v>Wood</v>
      </c>
      <c r="K98" s="100" t="str">
        <f t="shared" si="70"/>
        <v>Steel</v>
      </c>
      <c r="L98" s="101" t="str">
        <f t="shared" si="70"/>
        <v>Glass</v>
      </c>
      <c r="M98" s="101" t="str">
        <f t="shared" si="70"/>
        <v>Wood</v>
      </c>
      <c r="N98" s="7"/>
    </row>
    <row r="99" spans="1:14" x14ac:dyDescent="0.2">
      <c r="A99" s="89" t="str">
        <f t="shared" ref="A99:A112" si="71">A81</f>
        <v/>
      </c>
      <c r="B99" s="90" t="str">
        <f t="shared" ref="B99:M99" si="72">IF(B63="","",B63/25.4)</f>
        <v/>
      </c>
      <c r="C99" s="91" t="str">
        <f t="shared" si="72"/>
        <v/>
      </c>
      <c r="D99" s="91" t="str">
        <f t="shared" si="72"/>
        <v/>
      </c>
      <c r="E99" s="90" t="str">
        <f t="shared" si="72"/>
        <v/>
      </c>
      <c r="F99" s="91" t="str">
        <f t="shared" si="72"/>
        <v/>
      </c>
      <c r="G99" s="91" t="str">
        <f t="shared" si="72"/>
        <v/>
      </c>
      <c r="H99" s="90" t="str">
        <f t="shared" si="72"/>
        <v/>
      </c>
      <c r="I99" s="91" t="str">
        <f t="shared" si="72"/>
        <v/>
      </c>
      <c r="J99" s="91" t="str">
        <f t="shared" si="72"/>
        <v/>
      </c>
      <c r="K99" s="90" t="str">
        <f t="shared" si="72"/>
        <v/>
      </c>
      <c r="L99" s="91" t="str">
        <f t="shared" si="72"/>
        <v/>
      </c>
      <c r="M99" s="91" t="str">
        <f t="shared" si="72"/>
        <v/>
      </c>
      <c r="N99" s="7"/>
    </row>
    <row r="100" spans="1:14" x14ac:dyDescent="0.2">
      <c r="A100" s="89" t="str">
        <f t="shared" si="71"/>
        <v/>
      </c>
      <c r="B100" s="90" t="str">
        <f t="shared" ref="B100:M100" si="73">IF(B64="","",B64/25.4)</f>
        <v/>
      </c>
      <c r="C100" s="91" t="str">
        <f t="shared" si="73"/>
        <v/>
      </c>
      <c r="D100" s="91" t="str">
        <f t="shared" si="73"/>
        <v/>
      </c>
      <c r="E100" s="90" t="str">
        <f t="shared" si="73"/>
        <v/>
      </c>
      <c r="F100" s="91" t="str">
        <f t="shared" si="73"/>
        <v/>
      </c>
      <c r="G100" s="91" t="str">
        <f t="shared" si="73"/>
        <v/>
      </c>
      <c r="H100" s="90" t="str">
        <f t="shared" si="73"/>
        <v/>
      </c>
      <c r="I100" s="91" t="str">
        <f t="shared" si="73"/>
        <v/>
      </c>
      <c r="J100" s="91" t="str">
        <f t="shared" si="73"/>
        <v/>
      </c>
      <c r="K100" s="90" t="str">
        <f t="shared" si="73"/>
        <v/>
      </c>
      <c r="L100" s="91" t="str">
        <f t="shared" si="73"/>
        <v/>
      </c>
      <c r="M100" s="91" t="str">
        <f t="shared" si="73"/>
        <v/>
      </c>
      <c r="N100" s="7"/>
    </row>
    <row r="101" spans="1:14" x14ac:dyDescent="0.2">
      <c r="A101" s="89" t="str">
        <f t="shared" si="71"/>
        <v/>
      </c>
      <c r="B101" s="90" t="str">
        <f t="shared" ref="B101:M101" si="74">IF(B65="","",B65/25.4)</f>
        <v/>
      </c>
      <c r="C101" s="91" t="str">
        <f t="shared" si="74"/>
        <v/>
      </c>
      <c r="D101" s="91" t="str">
        <f t="shared" si="74"/>
        <v/>
      </c>
      <c r="E101" s="90" t="str">
        <f t="shared" si="74"/>
        <v/>
      </c>
      <c r="F101" s="91" t="str">
        <f t="shared" si="74"/>
        <v/>
      </c>
      <c r="G101" s="91" t="str">
        <f t="shared" si="74"/>
        <v/>
      </c>
      <c r="H101" s="90" t="str">
        <f t="shared" si="74"/>
        <v/>
      </c>
      <c r="I101" s="91" t="str">
        <f t="shared" si="74"/>
        <v/>
      </c>
      <c r="J101" s="91" t="str">
        <f t="shared" si="74"/>
        <v/>
      </c>
      <c r="K101" s="90" t="str">
        <f t="shared" si="74"/>
        <v/>
      </c>
      <c r="L101" s="91" t="str">
        <f t="shared" si="74"/>
        <v/>
      </c>
      <c r="M101" s="91" t="str">
        <f t="shared" si="74"/>
        <v/>
      </c>
      <c r="N101" s="7"/>
    </row>
    <row r="102" spans="1:14" x14ac:dyDescent="0.2">
      <c r="A102" s="89" t="str">
        <f t="shared" si="71"/>
        <v/>
      </c>
      <c r="B102" s="90" t="str">
        <f t="shared" ref="B102:M102" si="75">IF(B66="","",B66/25.4)</f>
        <v/>
      </c>
      <c r="C102" s="91" t="str">
        <f t="shared" si="75"/>
        <v/>
      </c>
      <c r="D102" s="91" t="str">
        <f t="shared" si="75"/>
        <v/>
      </c>
      <c r="E102" s="90" t="str">
        <f t="shared" si="75"/>
        <v/>
      </c>
      <c r="F102" s="91" t="str">
        <f t="shared" si="75"/>
        <v/>
      </c>
      <c r="G102" s="91" t="str">
        <f t="shared" si="75"/>
        <v/>
      </c>
      <c r="H102" s="90" t="str">
        <f t="shared" si="75"/>
        <v/>
      </c>
      <c r="I102" s="91" t="str">
        <f t="shared" si="75"/>
        <v/>
      </c>
      <c r="J102" s="91" t="str">
        <f t="shared" si="75"/>
        <v/>
      </c>
      <c r="K102" s="90" t="str">
        <f t="shared" si="75"/>
        <v/>
      </c>
      <c r="L102" s="91" t="str">
        <f t="shared" si="75"/>
        <v/>
      </c>
      <c r="M102" s="91" t="str">
        <f t="shared" si="75"/>
        <v/>
      </c>
      <c r="N102" s="7"/>
    </row>
    <row r="103" spans="1:14" x14ac:dyDescent="0.2">
      <c r="A103" s="89" t="str">
        <f t="shared" si="71"/>
        <v/>
      </c>
      <c r="B103" s="90" t="str">
        <f t="shared" ref="B103:M103" si="76">IF(B67="","",B67/25.4)</f>
        <v/>
      </c>
      <c r="C103" s="91" t="str">
        <f t="shared" si="76"/>
        <v/>
      </c>
      <c r="D103" s="91" t="str">
        <f t="shared" si="76"/>
        <v/>
      </c>
      <c r="E103" s="90" t="str">
        <f t="shared" si="76"/>
        <v/>
      </c>
      <c r="F103" s="91" t="str">
        <f t="shared" si="76"/>
        <v/>
      </c>
      <c r="G103" s="91" t="str">
        <f t="shared" si="76"/>
        <v/>
      </c>
      <c r="H103" s="90" t="str">
        <f t="shared" si="76"/>
        <v/>
      </c>
      <c r="I103" s="91" t="str">
        <f t="shared" si="76"/>
        <v/>
      </c>
      <c r="J103" s="91" t="str">
        <f t="shared" si="76"/>
        <v/>
      </c>
      <c r="K103" s="90" t="str">
        <f t="shared" si="76"/>
        <v/>
      </c>
      <c r="L103" s="91" t="str">
        <f t="shared" si="76"/>
        <v/>
      </c>
      <c r="M103" s="91" t="str">
        <f t="shared" si="76"/>
        <v/>
      </c>
      <c r="N103" s="7"/>
    </row>
    <row r="104" spans="1:14" x14ac:dyDescent="0.2">
      <c r="A104" s="89" t="str">
        <f t="shared" si="71"/>
        <v/>
      </c>
      <c r="B104" s="90" t="str">
        <f t="shared" ref="B104:M104" si="77">IF(B68="","",B68/25.4)</f>
        <v/>
      </c>
      <c r="C104" s="91" t="str">
        <f t="shared" si="77"/>
        <v/>
      </c>
      <c r="D104" s="91" t="str">
        <f t="shared" si="77"/>
        <v/>
      </c>
      <c r="E104" s="90" t="str">
        <f t="shared" si="77"/>
        <v/>
      </c>
      <c r="F104" s="91" t="str">
        <f t="shared" si="77"/>
        <v/>
      </c>
      <c r="G104" s="91" t="str">
        <f t="shared" si="77"/>
        <v/>
      </c>
      <c r="H104" s="90" t="str">
        <f t="shared" si="77"/>
        <v/>
      </c>
      <c r="I104" s="91" t="str">
        <f t="shared" si="77"/>
        <v/>
      </c>
      <c r="J104" s="91" t="str">
        <f t="shared" si="77"/>
        <v/>
      </c>
      <c r="K104" s="90" t="str">
        <f t="shared" si="77"/>
        <v/>
      </c>
      <c r="L104" s="91" t="str">
        <f t="shared" si="77"/>
        <v/>
      </c>
      <c r="M104" s="91" t="str">
        <f t="shared" si="77"/>
        <v/>
      </c>
      <c r="N104" s="7"/>
    </row>
    <row r="105" spans="1:14" x14ac:dyDescent="0.2">
      <c r="A105" s="89" t="str">
        <f t="shared" si="71"/>
        <v/>
      </c>
      <c r="B105" s="90" t="str">
        <f t="shared" ref="B105:M105" si="78">IF(B69="","",B69/25.4)</f>
        <v/>
      </c>
      <c r="C105" s="91" t="str">
        <f t="shared" si="78"/>
        <v/>
      </c>
      <c r="D105" s="91" t="str">
        <f t="shared" si="78"/>
        <v/>
      </c>
      <c r="E105" s="90" t="str">
        <f t="shared" si="78"/>
        <v/>
      </c>
      <c r="F105" s="91" t="str">
        <f t="shared" si="78"/>
        <v/>
      </c>
      <c r="G105" s="91" t="str">
        <f t="shared" si="78"/>
        <v/>
      </c>
      <c r="H105" s="90" t="str">
        <f t="shared" si="78"/>
        <v/>
      </c>
      <c r="I105" s="91" t="str">
        <f t="shared" si="78"/>
        <v/>
      </c>
      <c r="J105" s="91" t="str">
        <f t="shared" si="78"/>
        <v/>
      </c>
      <c r="K105" s="90" t="str">
        <f t="shared" si="78"/>
        <v/>
      </c>
      <c r="L105" s="91" t="str">
        <f t="shared" si="78"/>
        <v/>
      </c>
      <c r="M105" s="91" t="str">
        <f t="shared" si="78"/>
        <v/>
      </c>
      <c r="N105" s="7"/>
    </row>
    <row r="106" spans="1:14" x14ac:dyDescent="0.2">
      <c r="A106" s="89" t="str">
        <f t="shared" si="71"/>
        <v/>
      </c>
      <c r="B106" s="90" t="str">
        <f t="shared" ref="B106:M106" si="79">IF(B70="","",B70/25.4)</f>
        <v/>
      </c>
      <c r="C106" s="91" t="str">
        <f t="shared" si="79"/>
        <v/>
      </c>
      <c r="D106" s="91" t="str">
        <f t="shared" si="79"/>
        <v/>
      </c>
      <c r="E106" s="90" t="str">
        <f t="shared" si="79"/>
        <v/>
      </c>
      <c r="F106" s="91" t="str">
        <f t="shared" si="79"/>
        <v/>
      </c>
      <c r="G106" s="91" t="str">
        <f t="shared" si="79"/>
        <v/>
      </c>
      <c r="H106" s="90" t="str">
        <f t="shared" si="79"/>
        <v/>
      </c>
      <c r="I106" s="91" t="str">
        <f t="shared" si="79"/>
        <v/>
      </c>
      <c r="J106" s="91" t="str">
        <f t="shared" si="79"/>
        <v/>
      </c>
      <c r="K106" s="90" t="str">
        <f t="shared" si="79"/>
        <v/>
      </c>
      <c r="L106" s="91" t="str">
        <f t="shared" si="79"/>
        <v/>
      </c>
      <c r="M106" s="91" t="str">
        <f t="shared" si="79"/>
        <v/>
      </c>
      <c r="N106" s="7"/>
    </row>
    <row r="107" spans="1:14" x14ac:dyDescent="0.2">
      <c r="A107" s="89" t="str">
        <f t="shared" si="71"/>
        <v/>
      </c>
      <c r="B107" s="90" t="str">
        <f t="shared" ref="B107:M107" si="80">IF(B71="","",B71/25.4)</f>
        <v/>
      </c>
      <c r="C107" s="91" t="str">
        <f t="shared" si="80"/>
        <v/>
      </c>
      <c r="D107" s="91" t="str">
        <f t="shared" si="80"/>
        <v/>
      </c>
      <c r="E107" s="90" t="str">
        <f t="shared" si="80"/>
        <v/>
      </c>
      <c r="F107" s="91" t="str">
        <f t="shared" si="80"/>
        <v/>
      </c>
      <c r="G107" s="91" t="str">
        <f t="shared" si="80"/>
        <v/>
      </c>
      <c r="H107" s="90" t="str">
        <f t="shared" si="80"/>
        <v/>
      </c>
      <c r="I107" s="91" t="str">
        <f t="shared" si="80"/>
        <v/>
      </c>
      <c r="J107" s="91" t="str">
        <f t="shared" si="80"/>
        <v/>
      </c>
      <c r="K107" s="90" t="str">
        <f t="shared" si="80"/>
        <v/>
      </c>
      <c r="L107" s="91" t="str">
        <f t="shared" si="80"/>
        <v/>
      </c>
      <c r="M107" s="91" t="str">
        <f t="shared" si="80"/>
        <v/>
      </c>
      <c r="N107" s="7"/>
    </row>
    <row r="108" spans="1:14" x14ac:dyDescent="0.2">
      <c r="A108" s="89" t="str">
        <f t="shared" si="71"/>
        <v/>
      </c>
      <c r="B108" s="90" t="str">
        <f t="shared" ref="B108:M108" si="81">IF(B72="","",B72/25.4)</f>
        <v/>
      </c>
      <c r="C108" s="91" t="str">
        <f t="shared" si="81"/>
        <v/>
      </c>
      <c r="D108" s="91" t="str">
        <f t="shared" si="81"/>
        <v/>
      </c>
      <c r="E108" s="90" t="str">
        <f t="shared" si="81"/>
        <v/>
      </c>
      <c r="F108" s="91" t="str">
        <f t="shared" si="81"/>
        <v/>
      </c>
      <c r="G108" s="91" t="str">
        <f t="shared" si="81"/>
        <v/>
      </c>
      <c r="H108" s="90" t="str">
        <f t="shared" si="81"/>
        <v/>
      </c>
      <c r="I108" s="91" t="str">
        <f t="shared" si="81"/>
        <v/>
      </c>
      <c r="J108" s="91" t="str">
        <f t="shared" si="81"/>
        <v/>
      </c>
      <c r="K108" s="90" t="str">
        <f t="shared" si="81"/>
        <v/>
      </c>
      <c r="L108" s="91" t="str">
        <f t="shared" si="81"/>
        <v/>
      </c>
      <c r="M108" s="91" t="str">
        <f t="shared" si="81"/>
        <v/>
      </c>
      <c r="N108" s="7"/>
    </row>
    <row r="109" spans="1:14" x14ac:dyDescent="0.2">
      <c r="A109" s="89" t="str">
        <f t="shared" si="71"/>
        <v/>
      </c>
      <c r="B109" s="90" t="str">
        <f t="shared" ref="B109:M109" si="82">IF(B73="","",B73/25.4)</f>
        <v/>
      </c>
      <c r="C109" s="91" t="str">
        <f t="shared" si="82"/>
        <v/>
      </c>
      <c r="D109" s="91" t="str">
        <f t="shared" si="82"/>
        <v/>
      </c>
      <c r="E109" s="90" t="str">
        <f t="shared" si="82"/>
        <v/>
      </c>
      <c r="F109" s="91" t="str">
        <f t="shared" si="82"/>
        <v/>
      </c>
      <c r="G109" s="91" t="str">
        <f t="shared" si="82"/>
        <v/>
      </c>
      <c r="H109" s="90" t="str">
        <f t="shared" si="82"/>
        <v/>
      </c>
      <c r="I109" s="91" t="str">
        <f t="shared" si="82"/>
        <v/>
      </c>
      <c r="J109" s="91" t="str">
        <f t="shared" si="82"/>
        <v/>
      </c>
      <c r="K109" s="90" t="str">
        <f t="shared" si="82"/>
        <v/>
      </c>
      <c r="L109" s="91" t="str">
        <f t="shared" si="82"/>
        <v/>
      </c>
      <c r="M109" s="91" t="str">
        <f t="shared" si="82"/>
        <v/>
      </c>
      <c r="N109" s="7"/>
    </row>
    <row r="110" spans="1:14" x14ac:dyDescent="0.2">
      <c r="A110" s="89" t="str">
        <f t="shared" si="71"/>
        <v/>
      </c>
      <c r="B110" s="90" t="str">
        <f t="shared" ref="B110:M110" si="83">IF(B74="","",B74/25.4)</f>
        <v/>
      </c>
      <c r="C110" s="91" t="str">
        <f t="shared" si="83"/>
        <v/>
      </c>
      <c r="D110" s="91" t="str">
        <f t="shared" si="83"/>
        <v/>
      </c>
      <c r="E110" s="90" t="str">
        <f t="shared" si="83"/>
        <v/>
      </c>
      <c r="F110" s="91" t="str">
        <f t="shared" si="83"/>
        <v/>
      </c>
      <c r="G110" s="91" t="str">
        <f t="shared" si="83"/>
        <v/>
      </c>
      <c r="H110" s="90" t="str">
        <f t="shared" si="83"/>
        <v/>
      </c>
      <c r="I110" s="91" t="str">
        <f t="shared" si="83"/>
        <v/>
      </c>
      <c r="J110" s="91" t="str">
        <f t="shared" si="83"/>
        <v/>
      </c>
      <c r="K110" s="90" t="str">
        <f t="shared" si="83"/>
        <v/>
      </c>
      <c r="L110" s="91" t="str">
        <f t="shared" si="83"/>
        <v/>
      </c>
      <c r="M110" s="91" t="str">
        <f t="shared" si="83"/>
        <v/>
      </c>
      <c r="N110" s="7"/>
    </row>
    <row r="111" spans="1:14" x14ac:dyDescent="0.2">
      <c r="A111" s="89" t="str">
        <f t="shared" si="71"/>
        <v/>
      </c>
      <c r="B111" s="90" t="str">
        <f t="shared" ref="B111:M111" si="84">IF(B75="","",B75/25.4)</f>
        <v/>
      </c>
      <c r="C111" s="91" t="str">
        <f t="shared" si="84"/>
        <v/>
      </c>
      <c r="D111" s="91" t="str">
        <f t="shared" si="84"/>
        <v/>
      </c>
      <c r="E111" s="90" t="str">
        <f t="shared" si="84"/>
        <v/>
      </c>
      <c r="F111" s="91" t="str">
        <f t="shared" si="84"/>
        <v/>
      </c>
      <c r="G111" s="91" t="str">
        <f t="shared" si="84"/>
        <v/>
      </c>
      <c r="H111" s="90" t="str">
        <f t="shared" si="84"/>
        <v/>
      </c>
      <c r="I111" s="91" t="str">
        <f t="shared" si="84"/>
        <v/>
      </c>
      <c r="J111" s="91" t="str">
        <f t="shared" si="84"/>
        <v/>
      </c>
      <c r="K111" s="90" t="str">
        <f t="shared" si="84"/>
        <v/>
      </c>
      <c r="L111" s="91" t="str">
        <f t="shared" si="84"/>
        <v/>
      </c>
      <c r="M111" s="91" t="str">
        <f t="shared" si="84"/>
        <v/>
      </c>
      <c r="N111" s="7"/>
    </row>
    <row r="112" spans="1:14" x14ac:dyDescent="0.2">
      <c r="A112" s="89" t="str">
        <f t="shared" si="71"/>
        <v/>
      </c>
      <c r="B112" s="90" t="str">
        <f t="shared" ref="B112:M112" si="85">IF(B76="","",B76/25.4)</f>
        <v/>
      </c>
      <c r="C112" s="91" t="str">
        <f t="shared" si="85"/>
        <v/>
      </c>
      <c r="D112" s="91" t="str">
        <f t="shared" si="85"/>
        <v/>
      </c>
      <c r="E112" s="90" t="str">
        <f t="shared" si="85"/>
        <v/>
      </c>
      <c r="F112" s="91" t="str">
        <f t="shared" si="85"/>
        <v/>
      </c>
      <c r="G112" s="91" t="str">
        <f t="shared" si="85"/>
        <v/>
      </c>
      <c r="H112" s="90" t="str">
        <f t="shared" si="85"/>
        <v/>
      </c>
      <c r="I112" s="91" t="str">
        <f t="shared" si="85"/>
        <v/>
      </c>
      <c r="J112" s="91" t="str">
        <f t="shared" si="85"/>
        <v/>
      </c>
      <c r="K112" s="90" t="str">
        <f t="shared" si="85"/>
        <v/>
      </c>
      <c r="L112" s="91" t="str">
        <f t="shared" si="85"/>
        <v/>
      </c>
      <c r="M112" s="91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75" zoomScaleNormal="75" workbookViewId="0">
      <selection activeCell="A30" sqref="A30"/>
    </sheetView>
  </sheetViews>
  <sheetFormatPr defaultColWidth="10.6640625" defaultRowHeight="15.75" x14ac:dyDescent="0.25"/>
  <cols>
    <col min="1" max="1" width="17.6640625" style="145" customWidth="1"/>
    <col min="2" max="4" width="10.6640625" style="145"/>
    <col min="5" max="5" width="14" style="145" customWidth="1"/>
    <col min="6" max="6" width="15.83203125" style="145" customWidth="1"/>
    <col min="7" max="19" width="10.6640625" style="145"/>
    <col min="20" max="20" width="11" style="145" bestFit="1" customWidth="1"/>
    <col min="21" max="21" width="13.1640625" style="145" bestFit="1" customWidth="1"/>
    <col min="22" max="22" width="11" style="145" bestFit="1" customWidth="1"/>
    <col min="23" max="16384" width="10.6640625" style="145"/>
  </cols>
  <sheetData>
    <row r="1" spans="1:22" x14ac:dyDescent="0.25">
      <c r="D1" s="205" t="s">
        <v>127</v>
      </c>
      <c r="I1" s="146" t="s">
        <v>104</v>
      </c>
      <c r="M1" s="147" t="s">
        <v>1</v>
      </c>
    </row>
    <row r="2" spans="1:22" x14ac:dyDescent="0.25">
      <c r="A2" s="144" t="s">
        <v>103</v>
      </c>
      <c r="L2" s="147" t="s">
        <v>3</v>
      </c>
      <c r="M2" s="145" t="s">
        <v>4</v>
      </c>
    </row>
    <row r="3" spans="1:22" x14ac:dyDescent="0.25">
      <c r="A3" s="144"/>
      <c r="L3" s="147" t="s">
        <v>5</v>
      </c>
      <c r="M3" s="145" t="s">
        <v>6</v>
      </c>
    </row>
    <row r="4" spans="1:22" x14ac:dyDescent="0.25">
      <c r="A4" s="144"/>
      <c r="L4" s="147" t="s">
        <v>10</v>
      </c>
      <c r="M4" s="145" t="s">
        <v>11</v>
      </c>
    </row>
    <row r="5" spans="1:22" x14ac:dyDescent="0.25">
      <c r="A5" s="145" t="s">
        <v>105</v>
      </c>
      <c r="B5" s="148"/>
      <c r="D5" s="149" t="s">
        <v>106</v>
      </c>
      <c r="E5" s="150"/>
      <c r="L5" s="147" t="s">
        <v>15</v>
      </c>
      <c r="M5" s="145" t="s">
        <v>16</v>
      </c>
    </row>
    <row r="6" spans="1:22" x14ac:dyDescent="0.25">
      <c r="L6" s="147" t="s">
        <v>18</v>
      </c>
      <c r="M6" s="145" t="s">
        <v>19</v>
      </c>
    </row>
    <row r="7" spans="1:22" x14ac:dyDescent="0.25">
      <c r="A7" s="144" t="s">
        <v>107</v>
      </c>
      <c r="L7" s="147" t="s">
        <v>22</v>
      </c>
      <c r="M7" s="145" t="s">
        <v>23</v>
      </c>
    </row>
    <row r="8" spans="1:22" x14ac:dyDescent="0.25">
      <c r="L8" s="147" t="s">
        <v>26</v>
      </c>
      <c r="M8" s="145" t="s">
        <v>27</v>
      </c>
    </row>
    <row r="9" spans="1:22" x14ac:dyDescent="0.25">
      <c r="A9" s="145" t="s">
        <v>108</v>
      </c>
      <c r="L9" s="147" t="s">
        <v>30</v>
      </c>
      <c r="M9" s="145" t="s">
        <v>31</v>
      </c>
      <c r="R9" s="151"/>
    </row>
    <row r="10" spans="1:22" x14ac:dyDescent="0.25">
      <c r="V10" s="145" t="s">
        <v>7</v>
      </c>
    </row>
    <row r="11" spans="1:22" ht="16.5" thickBot="1" x14ac:dyDescent="0.3">
      <c r="L11" s="152" t="s">
        <v>38</v>
      </c>
      <c r="T11" s="153" t="s">
        <v>12</v>
      </c>
      <c r="U11" s="154" t="s">
        <v>13</v>
      </c>
      <c r="V11" s="154" t="s">
        <v>14</v>
      </c>
    </row>
    <row r="12" spans="1:22" x14ac:dyDescent="0.25">
      <c r="A12" s="145" t="s">
        <v>109</v>
      </c>
      <c r="B12" s="145" t="s">
        <v>110</v>
      </c>
      <c r="F12" s="145" t="s">
        <v>111</v>
      </c>
      <c r="L12" s="155" t="s">
        <v>39</v>
      </c>
      <c r="M12" s="156" t="s">
        <v>40</v>
      </c>
      <c r="N12" s="156" t="s">
        <v>41</v>
      </c>
      <c r="O12" s="156" t="s">
        <v>42</v>
      </c>
      <c r="P12" s="157" t="s">
        <v>44</v>
      </c>
      <c r="Q12" s="157" t="s">
        <v>45</v>
      </c>
      <c r="T12" s="158">
        <v>-25.4</v>
      </c>
      <c r="U12" s="145">
        <v>-1</v>
      </c>
      <c r="V12" s="159" t="s">
        <v>17</v>
      </c>
    </row>
    <row r="13" spans="1:22" x14ac:dyDescent="0.25">
      <c r="L13" s="160" t="s">
        <v>48</v>
      </c>
      <c r="M13" s="161" t="str">
        <f>IF(RefkV="","",VLOOKUP(RefkV,FitParameters!$A$5:$AF$30,2))</f>
        <v/>
      </c>
      <c r="N13" s="161" t="str">
        <f>IF(RefkV="","",VLOOKUP(RefkV,FitParameters!$A$5:$AF$30,3))</f>
        <v/>
      </c>
      <c r="O13" s="161" t="str">
        <f>IF(RefkV="","",VLOOKUP(RefkV,FitParameters!$A$5:$AF$30,4))</f>
        <v/>
      </c>
      <c r="P13" s="161" t="str">
        <f>IF(RefkV="","",VLOOKUP(RefkV,FitParameters!$A$5:$AF$30,5))</f>
        <v/>
      </c>
      <c r="Q13" s="161" t="str">
        <f>IF(RefkV="","",VLOOKUP(RefkV,FitParameters!$A$5:$AF$30,6))</f>
        <v/>
      </c>
      <c r="T13" s="158">
        <v>0</v>
      </c>
      <c r="U13" s="145">
        <v>0</v>
      </c>
      <c r="V13" s="162" t="s">
        <v>20</v>
      </c>
    </row>
    <row r="14" spans="1:22" x14ac:dyDescent="0.25">
      <c r="B14" s="145" t="s">
        <v>112</v>
      </c>
      <c r="F14" s="145" t="s">
        <v>113</v>
      </c>
      <c r="G14" s="145" t="s">
        <v>114</v>
      </c>
      <c r="L14" s="160" t="s">
        <v>50</v>
      </c>
      <c r="M14" s="161" t="str">
        <f>IF(RefkV="","",VLOOKUP(RefkV,FitParameters!$A$5:$AF$30,7))</f>
        <v/>
      </c>
      <c r="N14" s="161" t="str">
        <f>IF(RefkV="","",VLOOKUP(RefkV,FitParameters!$A$5:$AF$30,8))</f>
        <v/>
      </c>
      <c r="O14" s="161" t="str">
        <f>IF(RefkV="","",VLOOKUP(RefkV,FitParameters!$A$5:$AF$30,9))</f>
        <v/>
      </c>
      <c r="P14" s="161" t="str">
        <f>IF(RefkV="","",VLOOKUP(RefkV,FitParameters!$A$5:$AF$30,10))</f>
        <v/>
      </c>
      <c r="Q14" s="161" t="str">
        <f>IF(RefkV="","",VLOOKUP(RefkV,FitParameters!$A$5:$AF$30,11))</f>
        <v/>
      </c>
      <c r="T14" s="158">
        <v>9.9218750999999994E-2</v>
      </c>
      <c r="U14" s="163">
        <v>3.90625E-3</v>
      </c>
      <c r="V14" s="162">
        <v>7.8125E-3</v>
      </c>
    </row>
    <row r="15" spans="1:22" x14ac:dyDescent="0.25">
      <c r="B15" s="145" t="s">
        <v>115</v>
      </c>
      <c r="C15" s="145" t="s">
        <v>116</v>
      </c>
      <c r="D15" s="145" t="s">
        <v>117</v>
      </c>
      <c r="E15" s="145" t="s">
        <v>118</v>
      </c>
      <c r="F15" s="145" t="s">
        <v>166</v>
      </c>
      <c r="G15" s="145" t="s">
        <v>182</v>
      </c>
      <c r="H15" s="145" t="s">
        <v>183</v>
      </c>
      <c r="L15" s="164" t="s">
        <v>52</v>
      </c>
      <c r="M15" s="161" t="str">
        <f>IF(RefkV="","",VLOOKUP(RefkV,FitParameters!$A$5:$AF$30,12))</f>
        <v/>
      </c>
      <c r="N15" s="161" t="str">
        <f>IF(RefkV="","",VLOOKUP(RefkV,FitParameters!$A$5:$AF$30,13))</f>
        <v/>
      </c>
      <c r="O15" s="161" t="str">
        <f>IF(RefkV="","",VLOOKUP(RefkV,FitParameters!$A$5:$AF$30,14))</f>
        <v/>
      </c>
      <c r="P15" s="161" t="str">
        <f>IF(RefkV="","",VLOOKUP(RefkV,FitParameters!$A$5:$AF$30,15))</f>
        <v/>
      </c>
      <c r="Q15" s="161" t="str">
        <f>IF(RefkV="","",VLOOKUP(RefkV,FitParameters!$A$5:$AF$30,16))</f>
        <v/>
      </c>
      <c r="T15" s="158">
        <v>0.19843750099999999</v>
      </c>
      <c r="U15" s="163">
        <v>7.8125E-3</v>
      </c>
      <c r="V15" s="162">
        <v>1.5625E-2</v>
      </c>
    </row>
    <row r="16" spans="1:22" x14ac:dyDescent="0.25">
      <c r="B16" s="165"/>
      <c r="C16" s="165"/>
      <c r="D16" s="165"/>
      <c r="E16" s="165"/>
      <c r="F16" s="166"/>
      <c r="G16" s="165"/>
      <c r="H16" s="145" t="str">
        <f>IF(NOT(OR(B16="",D16="")),RefExp/(D16*B16/1000),IF(E16="","",RefExp/E16))</f>
        <v/>
      </c>
      <c r="L16" s="164" t="s">
        <v>54</v>
      </c>
      <c r="M16" s="161" t="str">
        <f>IF(RefkV="","",VLOOKUP(RefkV,FitParameters!$A$5:$AF$30,17))</f>
        <v/>
      </c>
      <c r="N16" s="161" t="str">
        <f>IF(RefkV="","",VLOOKUP(RefkV,FitParameters!$A$5:$AF$30,18))</f>
        <v/>
      </c>
      <c r="O16" s="161" t="str">
        <f>IF(RefkV="","",VLOOKUP(RefkV,FitParameters!$A$5:$AF$30,19))</f>
        <v/>
      </c>
      <c r="P16" s="161" t="str">
        <f>IF(RefkV="","",VLOOKUP(RefkV,FitParameters!$A$5:$AF$30,20))</f>
        <v/>
      </c>
      <c r="Q16" s="161" t="str">
        <f>IF(RefkV="","",VLOOKUP(RefkV,FitParameters!$A$5:$AF$30,21))</f>
        <v/>
      </c>
      <c r="T16" s="158">
        <v>0.39687500100000001</v>
      </c>
      <c r="U16" s="163">
        <v>1.5625E-2</v>
      </c>
      <c r="V16" s="162">
        <v>3.125E-2</v>
      </c>
    </row>
    <row r="17" spans="1:22" x14ac:dyDescent="0.25">
      <c r="L17" s="164" t="s">
        <v>57</v>
      </c>
      <c r="M17" s="161" t="str">
        <f>IF(RefkV="","",VLOOKUP(RefkV,FitParameters!$A$5:$AF$30,22))</f>
        <v/>
      </c>
      <c r="N17" s="161" t="str">
        <f>IF(RefkV="","",VLOOKUP(RefkV,FitParameters!$A$5:$AF$30,23))</f>
        <v/>
      </c>
      <c r="O17" s="161" t="str">
        <f>IF(RefkV="","",VLOOKUP(RefkV,FitParameters!$A$5:$AF$30,24))</f>
        <v/>
      </c>
      <c r="P17" s="161" t="str">
        <f>IF(RefkV="","",VLOOKUP(RefkV,FitParameters!$A$5:$AF$30,25))</f>
        <v/>
      </c>
      <c r="Q17" s="161" t="str">
        <f>IF(RefkV="","",VLOOKUP(RefkV,FitParameters!$A$5:$AF$30,26))</f>
        <v/>
      </c>
      <c r="T17" s="158">
        <v>0.59531250099999988</v>
      </c>
      <c r="U17" s="163">
        <v>2.34375E-2</v>
      </c>
      <c r="V17" s="162">
        <v>3.125E-2</v>
      </c>
    </row>
    <row r="18" spans="1:22" x14ac:dyDescent="0.25">
      <c r="A18" s="167"/>
      <c r="B18" s="167"/>
      <c r="C18" s="167"/>
      <c r="D18" s="167" t="s">
        <v>120</v>
      </c>
      <c r="E18" s="167" t="s">
        <v>121</v>
      </c>
      <c r="F18" s="291" t="s">
        <v>122</v>
      </c>
      <c r="G18" s="167"/>
      <c r="H18" s="167"/>
      <c r="L18" s="164" t="s">
        <v>58</v>
      </c>
      <c r="M18" s="161" t="str">
        <f>IF(RefkV="","",VLOOKUP(RefkV,FitParameters!$A$5:$AF$30,27))</f>
        <v/>
      </c>
      <c r="N18" s="161" t="str">
        <f>IF(RefkV="","",VLOOKUP(RefkV,FitParameters!$A$5:$AF$30,28))</f>
        <v/>
      </c>
      <c r="O18" s="161" t="str">
        <f>IF(RefkV="","",VLOOKUP(RefkV,FitParameters!$A$5:$AF$30,29))</f>
        <v/>
      </c>
      <c r="P18" s="161" t="str">
        <f>IF(RefkV="","",VLOOKUP(RefkV,FitParameters!$A$5:$AF$30,30))</f>
        <v/>
      </c>
      <c r="Q18" s="161" t="str">
        <f>IF(RefkV="","",VLOOKUP(RefkV,FitParameters!$A$5:$AF$30,31))</f>
        <v/>
      </c>
      <c r="T18" s="158">
        <v>0.79375000099999993</v>
      </c>
      <c r="U18" s="163">
        <v>3.125E-2</v>
      </c>
      <c r="V18" s="162">
        <v>3.125E-2</v>
      </c>
    </row>
    <row r="19" spans="1:22" ht="15.75" customHeight="1" x14ac:dyDescent="0.25">
      <c r="A19" s="167"/>
      <c r="B19" s="167"/>
      <c r="C19" s="167" t="s">
        <v>113</v>
      </c>
      <c r="D19" s="167" t="s">
        <v>114</v>
      </c>
      <c r="E19" s="167" t="s">
        <v>114</v>
      </c>
      <c r="F19" s="291"/>
      <c r="G19" s="167" t="s">
        <v>48</v>
      </c>
      <c r="H19" s="167" t="s">
        <v>48</v>
      </c>
      <c r="T19" s="158">
        <v>0.99218750099999997</v>
      </c>
      <c r="U19" s="163">
        <v>3.90625E-2</v>
      </c>
      <c r="V19" s="162">
        <v>6.25E-2</v>
      </c>
    </row>
    <row r="20" spans="1:22" x14ac:dyDescent="0.25">
      <c r="A20" s="168" t="s">
        <v>67</v>
      </c>
      <c r="B20" s="168" t="s">
        <v>118</v>
      </c>
      <c r="C20" s="168" t="s">
        <v>166</v>
      </c>
      <c r="D20" s="168" t="s">
        <v>182</v>
      </c>
      <c r="E20" s="168" t="s">
        <v>184</v>
      </c>
      <c r="F20" s="292"/>
      <c r="G20" s="168" t="s">
        <v>123</v>
      </c>
      <c r="H20" s="168" t="s">
        <v>119</v>
      </c>
      <c r="L20" s="293" t="s">
        <v>124</v>
      </c>
      <c r="M20" s="293"/>
      <c r="N20" s="293"/>
      <c r="O20" s="293"/>
      <c r="P20" s="293"/>
      <c r="Q20" s="293"/>
      <c r="R20" s="293"/>
      <c r="T20" s="158">
        <v>1.1906250009999999</v>
      </c>
      <c r="U20" s="163">
        <v>4.6875E-2</v>
      </c>
      <c r="V20" s="162">
        <v>6.25E-2</v>
      </c>
    </row>
    <row r="21" spans="1:22" x14ac:dyDescent="0.25">
      <c r="A21" s="165"/>
      <c r="B21" s="165"/>
      <c r="C21" s="166"/>
      <c r="D21" s="169" t="str">
        <f t="shared" ref="D21:D28" si="0">IF(A21="","",B21*RefOutput*(RefDist/C21)^2)</f>
        <v/>
      </c>
      <c r="E21" s="165"/>
      <c r="F21" s="170" t="str">
        <f>IF(OR(D21="TBD",D21=""),"",E21/(D21*1000))</f>
        <v/>
      </c>
      <c r="G21" s="171" t="str">
        <f>IF(M22="","",M22)</f>
        <v/>
      </c>
      <c r="H21" s="172" t="str">
        <f t="shared" ref="H21:H30" si="1">IF(M22="","",VLOOKUP(G21,$T$12:$U$47,2))</f>
        <v/>
      </c>
      <c r="L21" s="147" t="s">
        <v>125</v>
      </c>
      <c r="M21" s="147" t="s">
        <v>48</v>
      </c>
      <c r="N21" s="147" t="s">
        <v>50</v>
      </c>
      <c r="O21" s="147" t="s">
        <v>52</v>
      </c>
      <c r="P21" s="147" t="s">
        <v>54</v>
      </c>
      <c r="Q21" s="147" t="s">
        <v>57</v>
      </c>
      <c r="R21" s="147" t="s">
        <v>58</v>
      </c>
      <c r="T21" s="158">
        <v>1.3890625009999999</v>
      </c>
      <c r="U21" s="163">
        <v>5.46875E-2</v>
      </c>
      <c r="V21" s="162">
        <v>6.25E-2</v>
      </c>
    </row>
    <row r="22" spans="1:22" x14ac:dyDescent="0.25">
      <c r="A22" s="165"/>
      <c r="B22" s="165"/>
      <c r="C22" s="166"/>
      <c r="D22" s="169" t="str">
        <f t="shared" si="0"/>
        <v/>
      </c>
      <c r="E22" s="165"/>
      <c r="F22" s="170" t="str">
        <f t="shared" ref="F22:F28" si="2">IF(OR(D22="TBD",D22=""),"",E22/(D22*1000))</f>
        <v/>
      </c>
      <c r="G22" s="171" t="str">
        <f t="shared" ref="G22:G28" si="3">IF(M23="","",M23)</f>
        <v/>
      </c>
      <c r="H22" s="172" t="str">
        <f t="shared" si="1"/>
        <v/>
      </c>
      <c r="L22" s="173" t="str">
        <f t="shared" ref="L22:L31" si="4">IF(F21="","",F21)</f>
        <v/>
      </c>
      <c r="M22" s="173" t="str">
        <f t="shared" ref="M22:M31" si="5">IF($L22="","",LN(($L22^(-$O$13)+($N$13/$M$13))/(1+$N$13/$M$13))/($M$13*$O$13))</f>
        <v/>
      </c>
      <c r="N22" s="173" t="str">
        <f t="shared" ref="N22:N31" si="6">IF($L22="","",LN(($L22^(-$O$14)+($N$14/$M$14))/(1+$N$14/$M$14))/($M$14*$O$14))</f>
        <v/>
      </c>
      <c r="O22" s="173" t="str">
        <f t="shared" ref="O22:O31" si="7">IF($L22="","",LN(($L22^(-$O$15)+($N$15/$M$15))/(1+$N$15/$M$15))/($M$15*$O$15))</f>
        <v/>
      </c>
      <c r="P22" s="173" t="str">
        <f t="shared" ref="P22:P31" si="8">IF($L22="","",LN(($L22^(-$O$16)+($N$16/$M$16))/(1+$N$16/$M$16))/($M$16*$O$16))</f>
        <v/>
      </c>
      <c r="Q22" s="173" t="str">
        <f t="shared" ref="Q22:Q31" si="9">IF($L22="","",LN(($L22^(-$O$17)+($N$17/$M$17))/(1+$N$17/$M$17))/($M$17*$O$17))</f>
        <v/>
      </c>
      <c r="R22" s="173" t="str">
        <f t="shared" ref="R22:R31" si="10">IF($L22="","",LN(($L22^(-$O$18)+($N$18/$M$18))/(1+$N$18/$M$18))/($M$18*$O$18))</f>
        <v/>
      </c>
      <c r="T22" s="158">
        <v>1.587500001</v>
      </c>
      <c r="U22" s="163">
        <v>6.25E-2</v>
      </c>
      <c r="V22" s="162">
        <v>6.25E-2</v>
      </c>
    </row>
    <row r="23" spans="1:22" x14ac:dyDescent="0.25">
      <c r="A23" s="165"/>
      <c r="B23" s="165"/>
      <c r="C23" s="166"/>
      <c r="D23" s="169" t="str">
        <f t="shared" si="0"/>
        <v/>
      </c>
      <c r="E23" s="165"/>
      <c r="F23" s="170" t="str">
        <f t="shared" si="2"/>
        <v/>
      </c>
      <c r="G23" s="171" t="str">
        <f t="shared" si="3"/>
        <v/>
      </c>
      <c r="H23" s="172" t="str">
        <f t="shared" si="1"/>
        <v/>
      </c>
      <c r="L23" s="173" t="str">
        <f t="shared" si="4"/>
        <v/>
      </c>
      <c r="M23" s="173" t="str">
        <f t="shared" si="5"/>
        <v/>
      </c>
      <c r="N23" s="173" t="str">
        <f t="shared" si="6"/>
        <v/>
      </c>
      <c r="O23" s="173" t="str">
        <f t="shared" si="7"/>
        <v/>
      </c>
      <c r="P23" s="173" t="str">
        <f t="shared" si="8"/>
        <v/>
      </c>
      <c r="Q23" s="173" t="str">
        <f t="shared" si="9"/>
        <v/>
      </c>
      <c r="R23" s="173" t="str">
        <f t="shared" si="10"/>
        <v/>
      </c>
      <c r="T23" s="158">
        <v>1.785937501</v>
      </c>
      <c r="U23" s="163">
        <v>7.03125E-2</v>
      </c>
      <c r="V23" s="162">
        <v>9.375E-2</v>
      </c>
    </row>
    <row r="24" spans="1:22" x14ac:dyDescent="0.25">
      <c r="A24" s="165"/>
      <c r="B24" s="165"/>
      <c r="C24" s="166"/>
      <c r="D24" s="169" t="str">
        <f t="shared" si="0"/>
        <v/>
      </c>
      <c r="E24" s="165"/>
      <c r="F24" s="170" t="str">
        <f t="shared" si="2"/>
        <v/>
      </c>
      <c r="G24" s="171" t="str">
        <f t="shared" si="3"/>
        <v/>
      </c>
      <c r="H24" s="172" t="str">
        <f t="shared" si="1"/>
        <v/>
      </c>
      <c r="L24" s="173" t="str">
        <f t="shared" si="4"/>
        <v/>
      </c>
      <c r="M24" s="173" t="str">
        <f t="shared" si="5"/>
        <v/>
      </c>
      <c r="N24" s="173" t="str">
        <f t="shared" si="6"/>
        <v/>
      </c>
      <c r="O24" s="173" t="str">
        <f t="shared" si="7"/>
        <v/>
      </c>
      <c r="P24" s="173" t="str">
        <f t="shared" si="8"/>
        <v/>
      </c>
      <c r="Q24" s="173" t="str">
        <f t="shared" si="9"/>
        <v/>
      </c>
      <c r="R24" s="173" t="str">
        <f t="shared" si="10"/>
        <v/>
      </c>
      <c r="T24" s="158">
        <v>1.9843750010000001</v>
      </c>
      <c r="U24" s="163">
        <v>7.8125E-2</v>
      </c>
      <c r="V24" s="162">
        <v>9.375E-2</v>
      </c>
    </row>
    <row r="25" spans="1:22" x14ac:dyDescent="0.25">
      <c r="A25" s="165"/>
      <c r="B25" s="165"/>
      <c r="C25" s="166"/>
      <c r="D25" s="169" t="str">
        <f t="shared" si="0"/>
        <v/>
      </c>
      <c r="E25" s="165"/>
      <c r="F25" s="170" t="str">
        <f t="shared" si="2"/>
        <v/>
      </c>
      <c r="G25" s="171" t="str">
        <f t="shared" si="3"/>
        <v/>
      </c>
      <c r="H25" s="172" t="str">
        <f t="shared" si="1"/>
        <v/>
      </c>
      <c r="L25" s="173" t="str">
        <f t="shared" si="4"/>
        <v/>
      </c>
      <c r="M25" s="173" t="str">
        <f t="shared" si="5"/>
        <v/>
      </c>
      <c r="N25" s="173" t="str">
        <f t="shared" si="6"/>
        <v/>
      </c>
      <c r="O25" s="173" t="str">
        <f t="shared" si="7"/>
        <v/>
      </c>
      <c r="P25" s="173" t="str">
        <f t="shared" si="8"/>
        <v/>
      </c>
      <c r="Q25" s="173" t="str">
        <f t="shared" si="9"/>
        <v/>
      </c>
      <c r="R25" s="173" t="str">
        <f t="shared" si="10"/>
        <v/>
      </c>
      <c r="T25" s="158">
        <v>2.1828125009999999</v>
      </c>
      <c r="U25" s="163">
        <v>8.59375E-2</v>
      </c>
      <c r="V25" s="162">
        <v>9.375E-2</v>
      </c>
    </row>
    <row r="26" spans="1:22" x14ac:dyDescent="0.25">
      <c r="A26" s="165"/>
      <c r="B26" s="165"/>
      <c r="C26" s="166"/>
      <c r="D26" s="169" t="str">
        <f t="shared" si="0"/>
        <v/>
      </c>
      <c r="E26" s="165"/>
      <c r="F26" s="170" t="str">
        <f t="shared" si="2"/>
        <v/>
      </c>
      <c r="G26" s="171" t="str">
        <f t="shared" si="3"/>
        <v/>
      </c>
      <c r="H26" s="172" t="str">
        <f t="shared" si="1"/>
        <v/>
      </c>
      <c r="L26" s="173" t="str">
        <f t="shared" si="4"/>
        <v/>
      </c>
      <c r="M26" s="173" t="str">
        <f t="shared" si="5"/>
        <v/>
      </c>
      <c r="N26" s="173" t="str">
        <f t="shared" si="6"/>
        <v/>
      </c>
      <c r="O26" s="173" t="str">
        <f t="shared" si="7"/>
        <v/>
      </c>
      <c r="P26" s="173" t="str">
        <f t="shared" si="8"/>
        <v/>
      </c>
      <c r="Q26" s="173" t="str">
        <f t="shared" si="9"/>
        <v/>
      </c>
      <c r="R26" s="173" t="str">
        <f t="shared" si="10"/>
        <v/>
      </c>
      <c r="T26" s="158">
        <v>2.3812500009999997</v>
      </c>
      <c r="U26" s="163">
        <v>9.375E-2</v>
      </c>
      <c r="V26" s="162">
        <v>9.375E-2</v>
      </c>
    </row>
    <row r="27" spans="1:22" x14ac:dyDescent="0.25">
      <c r="A27" s="165"/>
      <c r="B27" s="165" t="str">
        <f>IF(OR(A27="",$E$16=""),"",$E$16)</f>
        <v/>
      </c>
      <c r="C27" s="166"/>
      <c r="D27" s="169" t="str">
        <f t="shared" si="0"/>
        <v/>
      </c>
      <c r="E27" s="165"/>
      <c r="F27" s="170" t="str">
        <f t="shared" si="2"/>
        <v/>
      </c>
      <c r="G27" s="171" t="str">
        <f t="shared" si="3"/>
        <v/>
      </c>
      <c r="H27" s="172" t="str">
        <f t="shared" si="1"/>
        <v/>
      </c>
      <c r="L27" s="173" t="str">
        <f t="shared" si="4"/>
        <v/>
      </c>
      <c r="M27" s="173" t="str">
        <f t="shared" si="5"/>
        <v/>
      </c>
      <c r="N27" s="173" t="str">
        <f t="shared" si="6"/>
        <v/>
      </c>
      <c r="O27" s="173" t="str">
        <f t="shared" si="7"/>
        <v/>
      </c>
      <c r="P27" s="173" t="str">
        <f t="shared" si="8"/>
        <v/>
      </c>
      <c r="Q27" s="173" t="str">
        <f t="shared" si="9"/>
        <v/>
      </c>
      <c r="R27" s="173" t="str">
        <f t="shared" si="10"/>
        <v/>
      </c>
      <c r="T27" s="158">
        <v>2.579687501</v>
      </c>
      <c r="U27" s="163">
        <v>0.1015625</v>
      </c>
      <c r="V27" s="162">
        <v>0.125</v>
      </c>
    </row>
    <row r="28" spans="1:22" x14ac:dyDescent="0.25">
      <c r="A28" s="165"/>
      <c r="B28" s="165" t="str">
        <f>IF(OR(A28="",$E$16=""),"",$E$16)</f>
        <v/>
      </c>
      <c r="C28" s="166"/>
      <c r="D28" s="169" t="str">
        <f t="shared" si="0"/>
        <v/>
      </c>
      <c r="E28" s="165"/>
      <c r="F28" s="170" t="str">
        <f t="shared" si="2"/>
        <v/>
      </c>
      <c r="G28" s="171" t="str">
        <f t="shared" si="3"/>
        <v/>
      </c>
      <c r="H28" s="172" t="str">
        <f t="shared" si="1"/>
        <v/>
      </c>
      <c r="L28" s="173" t="str">
        <f t="shared" si="4"/>
        <v/>
      </c>
      <c r="M28" s="173" t="str">
        <f t="shared" si="5"/>
        <v/>
      </c>
      <c r="N28" s="173" t="str">
        <f t="shared" si="6"/>
        <v/>
      </c>
      <c r="O28" s="173" t="str">
        <f t="shared" si="7"/>
        <v/>
      </c>
      <c r="P28" s="173" t="str">
        <f t="shared" si="8"/>
        <v/>
      </c>
      <c r="Q28" s="173" t="str">
        <f t="shared" si="9"/>
        <v/>
      </c>
      <c r="R28" s="173" t="str">
        <f t="shared" si="10"/>
        <v/>
      </c>
      <c r="T28" s="158">
        <v>2.7781250009999998</v>
      </c>
      <c r="U28" s="163">
        <v>0.109375</v>
      </c>
      <c r="V28" s="162">
        <v>0.125</v>
      </c>
    </row>
    <row r="29" spans="1:22" x14ac:dyDescent="0.25">
      <c r="F29" s="171"/>
      <c r="G29" s="171"/>
      <c r="H29" s="172" t="str">
        <f t="shared" si="1"/>
        <v/>
      </c>
      <c r="L29" s="173" t="str">
        <f t="shared" si="4"/>
        <v/>
      </c>
      <c r="M29" s="173" t="str">
        <f t="shared" si="5"/>
        <v/>
      </c>
      <c r="N29" s="173" t="str">
        <f t="shared" si="6"/>
        <v/>
      </c>
      <c r="O29" s="173" t="str">
        <f t="shared" si="7"/>
        <v/>
      </c>
      <c r="P29" s="173" t="str">
        <f t="shared" si="8"/>
        <v/>
      </c>
      <c r="Q29" s="173" t="str">
        <f t="shared" si="9"/>
        <v/>
      </c>
      <c r="R29" s="173" t="str">
        <f t="shared" si="10"/>
        <v/>
      </c>
      <c r="T29" s="158">
        <v>2.9765625010000001</v>
      </c>
      <c r="U29" s="163">
        <v>0.1171875</v>
      </c>
      <c r="V29" s="162">
        <v>0.125</v>
      </c>
    </row>
    <row r="30" spans="1:22" x14ac:dyDescent="0.25">
      <c r="F30" s="171"/>
      <c r="G30" s="171"/>
      <c r="H30" s="172" t="str">
        <f t="shared" si="1"/>
        <v/>
      </c>
      <c r="L30" s="173" t="str">
        <f t="shared" si="4"/>
        <v/>
      </c>
      <c r="M30" s="173" t="str">
        <f t="shared" si="5"/>
        <v/>
      </c>
      <c r="N30" s="173" t="str">
        <f t="shared" si="6"/>
        <v/>
      </c>
      <c r="O30" s="173" t="str">
        <f t="shared" si="7"/>
        <v/>
      </c>
      <c r="P30" s="173" t="str">
        <f t="shared" si="8"/>
        <v/>
      </c>
      <c r="Q30" s="173" t="str">
        <f t="shared" si="9"/>
        <v/>
      </c>
      <c r="R30" s="173" t="str">
        <f t="shared" si="10"/>
        <v/>
      </c>
      <c r="T30" s="158">
        <v>3.1750000009999999</v>
      </c>
      <c r="U30" s="163">
        <v>0.125</v>
      </c>
      <c r="V30" s="162">
        <v>0.125</v>
      </c>
    </row>
    <row r="31" spans="1:22" x14ac:dyDescent="0.25">
      <c r="L31" s="173" t="str">
        <f t="shared" si="4"/>
        <v/>
      </c>
      <c r="M31" s="173" t="str">
        <f t="shared" si="5"/>
        <v/>
      </c>
      <c r="N31" s="173" t="str">
        <f t="shared" si="6"/>
        <v/>
      </c>
      <c r="O31" s="173" t="str">
        <f t="shared" si="7"/>
        <v/>
      </c>
      <c r="P31" s="173" t="str">
        <f t="shared" si="8"/>
        <v/>
      </c>
      <c r="Q31" s="173" t="str">
        <f t="shared" si="9"/>
        <v/>
      </c>
      <c r="R31" s="173" t="str">
        <f t="shared" si="10"/>
        <v/>
      </c>
      <c r="T31" s="158">
        <v>3.3734375009999997</v>
      </c>
      <c r="U31" s="163">
        <v>0.1328125</v>
      </c>
      <c r="V31" s="162">
        <v>0.15625</v>
      </c>
    </row>
    <row r="32" spans="1:22" x14ac:dyDescent="0.25">
      <c r="A32" s="168"/>
      <c r="B32" s="168"/>
      <c r="C32" s="168"/>
      <c r="D32" s="168"/>
      <c r="T32" s="158">
        <v>3.571875001</v>
      </c>
      <c r="U32" s="163">
        <v>0.140625</v>
      </c>
      <c r="V32" s="162">
        <v>0.15625</v>
      </c>
    </row>
    <row r="33" spans="1:22" x14ac:dyDescent="0.25">
      <c r="A33" s="145" t="s">
        <v>102</v>
      </c>
      <c r="T33" s="158">
        <v>3.7703125009999998</v>
      </c>
      <c r="U33" s="163">
        <v>0.1484375</v>
      </c>
      <c r="V33" s="162">
        <v>0.15625</v>
      </c>
    </row>
    <row r="34" spans="1:22" x14ac:dyDescent="0.25">
      <c r="A34" s="145" t="s">
        <v>126</v>
      </c>
      <c r="T34" s="158">
        <v>3.9687500010000001</v>
      </c>
      <c r="U34" s="163">
        <v>0.15625</v>
      </c>
      <c r="V34" s="162">
        <v>0.15625</v>
      </c>
    </row>
    <row r="35" spans="1:22" x14ac:dyDescent="0.25">
      <c r="T35" s="158">
        <v>4.1671875009999999</v>
      </c>
      <c r="U35" s="163">
        <v>0.1640625</v>
      </c>
      <c r="V35" s="162">
        <v>0.1875</v>
      </c>
    </row>
    <row r="36" spans="1:22" x14ac:dyDescent="0.25">
      <c r="T36" s="158">
        <v>4.3656250009999997</v>
      </c>
      <c r="U36" s="163">
        <v>0.171875</v>
      </c>
      <c r="V36" s="162">
        <v>0.1875</v>
      </c>
    </row>
    <row r="37" spans="1:22" x14ac:dyDescent="0.25">
      <c r="T37" s="158">
        <v>4.5640625009999995</v>
      </c>
      <c r="U37" s="163">
        <v>0.1796875</v>
      </c>
      <c r="V37" s="162">
        <v>0.1875</v>
      </c>
    </row>
    <row r="38" spans="1:22" x14ac:dyDescent="0.25">
      <c r="T38" s="158">
        <v>4.7625000009999994</v>
      </c>
      <c r="U38" s="163">
        <v>0.1875</v>
      </c>
      <c r="V38" s="162">
        <v>0.1875</v>
      </c>
    </row>
    <row r="39" spans="1:22" x14ac:dyDescent="0.25">
      <c r="T39" s="158">
        <v>4.9609375010000001</v>
      </c>
      <c r="U39" s="163">
        <v>0.1953125</v>
      </c>
      <c r="V39" s="162">
        <v>0.21875</v>
      </c>
    </row>
    <row r="40" spans="1:22" x14ac:dyDescent="0.25">
      <c r="T40" s="158">
        <v>5.1593750009999999</v>
      </c>
      <c r="U40" s="163">
        <v>0.203125</v>
      </c>
      <c r="V40" s="162">
        <v>0.21875</v>
      </c>
    </row>
    <row r="41" spans="1:22" x14ac:dyDescent="0.25">
      <c r="T41" s="158">
        <v>5.3578125009999997</v>
      </c>
      <c r="U41" s="163">
        <v>0.2109375</v>
      </c>
      <c r="V41" s="162">
        <v>0.21875</v>
      </c>
    </row>
    <row r="42" spans="1:22" x14ac:dyDescent="0.25">
      <c r="T42" s="158">
        <v>5.5562500009999995</v>
      </c>
      <c r="U42" s="163">
        <v>0.21875</v>
      </c>
      <c r="V42" s="162">
        <v>0.21875</v>
      </c>
    </row>
    <row r="43" spans="1:22" x14ac:dyDescent="0.25">
      <c r="T43" s="158">
        <v>5.7546875009999994</v>
      </c>
      <c r="U43" s="163">
        <v>0.2265625</v>
      </c>
      <c r="V43" s="162">
        <v>0.25</v>
      </c>
    </row>
    <row r="44" spans="1:22" x14ac:dyDescent="0.25">
      <c r="T44" s="158">
        <v>5.9531250010000001</v>
      </c>
      <c r="U44" s="163">
        <v>0.234375</v>
      </c>
      <c r="V44" s="162">
        <v>0.25</v>
      </c>
    </row>
    <row r="45" spans="1:22" x14ac:dyDescent="0.25">
      <c r="T45" s="158">
        <v>6.1515625009999999</v>
      </c>
      <c r="U45" s="163">
        <v>0.2421875</v>
      </c>
      <c r="V45" s="162">
        <v>0.25</v>
      </c>
    </row>
    <row r="46" spans="1:22" x14ac:dyDescent="0.25">
      <c r="T46" s="158">
        <v>6.3500000009999997</v>
      </c>
      <c r="U46" s="163">
        <v>0.25</v>
      </c>
      <c r="V46" s="162" t="s">
        <v>86</v>
      </c>
    </row>
    <row r="47" spans="1:22" x14ac:dyDescent="0.25">
      <c r="T47" s="158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5" workbookViewId="0">
      <selection activeCell="H30" sqref="H30"/>
    </sheetView>
  </sheetViews>
  <sheetFormatPr defaultColWidth="10.33203125" defaultRowHeight="12.75" x14ac:dyDescent="0.2"/>
  <cols>
    <col min="1" max="16384" width="10.33203125" style="178"/>
  </cols>
  <sheetData>
    <row r="1" spans="1:32" ht="13.5" thickTop="1" x14ac:dyDescent="0.2">
      <c r="A1" s="174" t="s">
        <v>89</v>
      </c>
      <c r="B1" s="175"/>
      <c r="C1" s="176"/>
      <c r="D1" s="176"/>
      <c r="E1" s="175"/>
      <c r="F1" s="175"/>
      <c r="G1" s="176"/>
      <c r="H1" s="176"/>
      <c r="I1" s="176"/>
      <c r="J1" s="175"/>
      <c r="K1" s="177"/>
      <c r="L1" s="175"/>
      <c r="M1" s="175"/>
      <c r="N1" s="175"/>
      <c r="O1" s="175"/>
      <c r="P1" s="175"/>
      <c r="Q1" s="174" t="s">
        <v>89</v>
      </c>
      <c r="R1" s="175"/>
      <c r="S1" s="176"/>
      <c r="T1" s="176"/>
      <c r="U1" s="175"/>
      <c r="V1" s="175"/>
      <c r="W1" s="176"/>
      <c r="X1" s="176"/>
      <c r="Y1" s="176"/>
      <c r="Z1" s="175"/>
      <c r="AA1" s="177"/>
      <c r="AB1" s="175"/>
      <c r="AC1" s="175"/>
      <c r="AD1" s="175"/>
      <c r="AE1" s="175"/>
      <c r="AF1" s="177"/>
    </row>
    <row r="2" spans="1:32" x14ac:dyDescent="0.2">
      <c r="A2" s="179"/>
      <c r="B2" s="180"/>
      <c r="C2" s="181"/>
      <c r="D2" s="181"/>
      <c r="E2" s="182"/>
      <c r="F2" s="183"/>
      <c r="G2" s="181"/>
      <c r="H2" s="181"/>
      <c r="I2" s="181"/>
      <c r="J2" s="182"/>
      <c r="K2" s="183"/>
      <c r="L2" s="182"/>
      <c r="M2" s="182"/>
      <c r="N2" s="182"/>
      <c r="O2" s="182"/>
      <c r="P2" s="183"/>
      <c r="Q2" s="184"/>
      <c r="R2" s="182"/>
      <c r="S2" s="182"/>
      <c r="T2" s="182"/>
      <c r="U2" s="183"/>
      <c r="V2" s="182"/>
      <c r="W2" s="182"/>
      <c r="X2" s="182"/>
      <c r="Y2" s="182"/>
      <c r="Z2" s="183"/>
      <c r="AA2" s="182"/>
      <c r="AB2" s="182"/>
      <c r="AC2" s="182"/>
      <c r="AD2" s="182"/>
      <c r="AE2" s="183"/>
      <c r="AF2" s="185"/>
    </row>
    <row r="3" spans="1:32" x14ac:dyDescent="0.2">
      <c r="A3" s="186"/>
      <c r="B3" s="187" t="s">
        <v>94</v>
      </c>
      <c r="C3" s="181"/>
      <c r="D3" s="181"/>
      <c r="E3" s="188"/>
      <c r="F3" s="188"/>
      <c r="G3" s="187" t="s">
        <v>95</v>
      </c>
      <c r="H3" s="181"/>
      <c r="I3" s="181"/>
      <c r="J3" s="188"/>
      <c r="K3" s="188"/>
      <c r="L3" s="187" t="s">
        <v>52</v>
      </c>
      <c r="M3" s="181"/>
      <c r="N3" s="181"/>
      <c r="O3" s="188"/>
      <c r="P3" s="188"/>
      <c r="Q3" s="189" t="s">
        <v>54</v>
      </c>
      <c r="R3" s="181"/>
      <c r="S3" s="181"/>
      <c r="T3" s="188"/>
      <c r="U3" s="188"/>
      <c r="V3" s="187" t="s">
        <v>96</v>
      </c>
      <c r="W3" s="181"/>
      <c r="X3" s="181"/>
      <c r="Y3" s="188"/>
      <c r="Z3" s="188"/>
      <c r="AA3" s="187" t="s">
        <v>58</v>
      </c>
      <c r="AB3" s="181"/>
      <c r="AC3" s="181"/>
      <c r="AD3" s="188"/>
      <c r="AE3" s="188"/>
      <c r="AF3" s="190"/>
    </row>
    <row r="4" spans="1:32" x14ac:dyDescent="0.2">
      <c r="A4" s="191" t="s">
        <v>37</v>
      </c>
      <c r="B4" s="192" t="s">
        <v>40</v>
      </c>
      <c r="C4" s="192" t="s">
        <v>41</v>
      </c>
      <c r="D4" s="192" t="s">
        <v>42</v>
      </c>
      <c r="E4" s="193" t="s">
        <v>44</v>
      </c>
      <c r="F4" s="193" t="s">
        <v>45</v>
      </c>
      <c r="G4" s="192" t="s">
        <v>40</v>
      </c>
      <c r="H4" s="192" t="s">
        <v>41</v>
      </c>
      <c r="I4" s="192" t="s">
        <v>42</v>
      </c>
      <c r="J4" s="193" t="s">
        <v>44</v>
      </c>
      <c r="K4" s="193" t="s">
        <v>45</v>
      </c>
      <c r="L4" s="192" t="s">
        <v>40</v>
      </c>
      <c r="M4" s="192" t="s">
        <v>41</v>
      </c>
      <c r="N4" s="192" t="s">
        <v>42</v>
      </c>
      <c r="O4" s="193" t="s">
        <v>44</v>
      </c>
      <c r="P4" s="193" t="s">
        <v>45</v>
      </c>
      <c r="Q4" s="194" t="s">
        <v>40</v>
      </c>
      <c r="R4" s="192" t="s">
        <v>41</v>
      </c>
      <c r="S4" s="192" t="s">
        <v>42</v>
      </c>
      <c r="T4" s="193" t="s">
        <v>44</v>
      </c>
      <c r="U4" s="193" t="s">
        <v>45</v>
      </c>
      <c r="V4" s="192" t="s">
        <v>40</v>
      </c>
      <c r="W4" s="192" t="s">
        <v>41</v>
      </c>
      <c r="X4" s="192" t="s">
        <v>42</v>
      </c>
      <c r="Y4" s="193" t="s">
        <v>44</v>
      </c>
      <c r="Z4" s="193" t="s">
        <v>45</v>
      </c>
      <c r="AA4" s="192" t="s">
        <v>40</v>
      </c>
      <c r="AB4" s="192" t="s">
        <v>41</v>
      </c>
      <c r="AC4" s="192" t="s">
        <v>42</v>
      </c>
      <c r="AD4" s="193" t="s">
        <v>44</v>
      </c>
      <c r="AE4" s="193" t="s">
        <v>45</v>
      </c>
      <c r="AF4" s="195" t="s">
        <v>97</v>
      </c>
    </row>
    <row r="5" spans="1:32" x14ac:dyDescent="0.2">
      <c r="A5" s="196">
        <v>25</v>
      </c>
      <c r="B5" s="197">
        <v>49.52</v>
      </c>
      <c r="C5" s="197">
        <v>194</v>
      </c>
      <c r="D5" s="197">
        <v>0.30370000000000003</v>
      </c>
      <c r="E5" s="197">
        <f t="shared" ref="E5:E30" si="0">IF(B5="","",LN(2)/B5)</f>
        <v>1.3997317862680639E-2</v>
      </c>
      <c r="F5" s="197">
        <f t="shared" ref="F5:F30" si="1">IF(E5="","",(LN(10)/LN(2))*E5)</f>
        <v>4.6498083461107544E-2</v>
      </c>
      <c r="G5" s="197">
        <v>0.39040000000000002</v>
      </c>
      <c r="H5" s="197">
        <v>1.645</v>
      </c>
      <c r="I5" s="197">
        <v>0.2757</v>
      </c>
      <c r="J5" s="197">
        <f t="shared" ref="J5:J30" si="2">IF(G5="","",LN(2)/G5)</f>
        <v>1.775479458401499</v>
      </c>
      <c r="K5" s="197">
        <f t="shared" ref="K5:K30" si="3">IF(J5="","",(LN(10)/LN(2))*J5)</f>
        <v>5.8980150947593382</v>
      </c>
      <c r="L5" s="197">
        <v>0.15759999999999999</v>
      </c>
      <c r="M5" s="197">
        <v>0.71750000000000003</v>
      </c>
      <c r="N5" s="197">
        <v>0.30480000000000002</v>
      </c>
      <c r="O5" s="197">
        <f t="shared" ref="O5:O30" si="4">IF(L5="","",LN(2)/L5)</f>
        <v>4.3981420086290948</v>
      </c>
      <c r="P5" s="197">
        <f t="shared" ref="P5:P30" si="5">IF(O5="","",(LN(10)/LN(2))*O5)</f>
        <v>14.610311503769328</v>
      </c>
      <c r="Q5" s="186">
        <v>9.3640000000000008</v>
      </c>
      <c r="R5" s="197">
        <v>41.25</v>
      </c>
      <c r="S5" s="197">
        <v>0.32019999999999998</v>
      </c>
      <c r="T5" s="197">
        <f t="shared" ref="T5:T30" si="6">IF(Q5="","",LN(2)/Q5)</f>
        <v>7.4022552387862581E-2</v>
      </c>
      <c r="U5" s="197">
        <f t="shared" ref="U5:U30" si="7">IF(T5="","",(LN(10)/LN(2))*T5)</f>
        <v>0.24589759643251233</v>
      </c>
      <c r="V5" s="197">
        <v>0.38040000000000002</v>
      </c>
      <c r="W5" s="197">
        <v>1.5429999999999999</v>
      </c>
      <c r="X5" s="197">
        <v>0.28689999999999999</v>
      </c>
      <c r="Y5" s="197">
        <f t="shared" ref="Y5:Y30" si="8">IF(V5="","",LN(2)/V5)</f>
        <v>1.8221534715035363</v>
      </c>
      <c r="Z5" s="197">
        <f t="shared" ref="Z5:Z30" si="9">IF(Y5="","",(LN(10)/LN(2))*Y5)</f>
        <v>6.0530628101841364</v>
      </c>
      <c r="AA5" s="197">
        <v>2.23E-2</v>
      </c>
      <c r="AB5" s="197">
        <v>4.3400000000000001E-2</v>
      </c>
      <c r="AC5" s="197">
        <v>0.19370000000000001</v>
      </c>
      <c r="AD5" s="197">
        <f t="shared" ref="AD5:AD30" si="10">IF(AA5="","",LN(2)/AA5)</f>
        <v>31.082833208966157</v>
      </c>
      <c r="AE5" s="197">
        <f t="shared" ref="AE5:AE30" si="11">IF(AD5="","",(LN(10)/LN(2))*AD5)</f>
        <v>103.2549369055626</v>
      </c>
      <c r="AF5" s="190">
        <f>0.1965*A5-3.429</f>
        <v>1.4835000000000007</v>
      </c>
    </row>
    <row r="6" spans="1:32" x14ac:dyDescent="0.2">
      <c r="A6" s="196">
        <v>30</v>
      </c>
      <c r="B6" s="197">
        <v>38.799999999999997</v>
      </c>
      <c r="C6" s="197">
        <v>178</v>
      </c>
      <c r="D6" s="197">
        <v>0.3473</v>
      </c>
      <c r="E6" s="197">
        <f t="shared" si="0"/>
        <v>1.7864618055668694E-2</v>
      </c>
      <c r="F6" s="197">
        <f t="shared" si="1"/>
        <v>5.9344976623557887E-2</v>
      </c>
      <c r="G6" s="197">
        <v>0.31730000000000003</v>
      </c>
      <c r="H6" s="197">
        <v>1.698</v>
      </c>
      <c r="I6" s="197">
        <v>0.35930000000000001</v>
      </c>
      <c r="J6" s="197">
        <f t="shared" si="2"/>
        <v>2.1845167997477</v>
      </c>
      <c r="K6" s="197">
        <f t="shared" si="3"/>
        <v>7.2568077308353152</v>
      </c>
      <c r="L6" s="197">
        <v>0.1208</v>
      </c>
      <c r="M6" s="197">
        <v>0.70430000000000004</v>
      </c>
      <c r="N6" s="197">
        <v>0.36130000000000001</v>
      </c>
      <c r="O6" s="197">
        <f t="shared" si="4"/>
        <v>5.7379733490061691</v>
      </c>
      <c r="P6" s="197">
        <f t="shared" si="5"/>
        <v>19.061134875778524</v>
      </c>
      <c r="Q6" s="186">
        <v>7.4059999999999997</v>
      </c>
      <c r="R6" s="197">
        <v>41.93</v>
      </c>
      <c r="S6" s="197">
        <v>0.39589999999999997</v>
      </c>
      <c r="T6" s="197">
        <f t="shared" si="6"/>
        <v>9.3592651979468713E-2</v>
      </c>
      <c r="U6" s="197">
        <f t="shared" si="7"/>
        <v>0.31090806008561245</v>
      </c>
      <c r="V6" s="197">
        <v>0.30609999999999998</v>
      </c>
      <c r="W6" s="197">
        <v>1.599</v>
      </c>
      <c r="X6" s="197">
        <v>0.36930000000000002</v>
      </c>
      <c r="Y6" s="197">
        <f t="shared" si="8"/>
        <v>2.2644468492647674</v>
      </c>
      <c r="Z6" s="197">
        <f t="shared" si="9"/>
        <v>7.5223296079517992</v>
      </c>
      <c r="AA6" s="197">
        <v>2.1659999999999999E-2</v>
      </c>
      <c r="AB6" s="197">
        <v>3.9660000000000001E-2</v>
      </c>
      <c r="AC6" s="197">
        <v>0.2843</v>
      </c>
      <c r="AD6" s="197">
        <f t="shared" si="10"/>
        <v>32.001254873497011</v>
      </c>
      <c r="AE6" s="197">
        <f t="shared" si="11"/>
        <v>106.30586763592085</v>
      </c>
      <c r="AF6" s="190">
        <f>0.1965*A6-3.429</f>
        <v>2.4660000000000006</v>
      </c>
    </row>
    <row r="7" spans="1:32" x14ac:dyDescent="0.2">
      <c r="A7" s="196">
        <v>35</v>
      </c>
      <c r="B7" s="197">
        <v>29.55</v>
      </c>
      <c r="C7" s="197">
        <v>164.7</v>
      </c>
      <c r="D7" s="197">
        <v>0.39479999999999998</v>
      </c>
      <c r="E7" s="197">
        <f t="shared" si="0"/>
        <v>2.345675737935517E-2</v>
      </c>
      <c r="F7" s="197">
        <f t="shared" si="1"/>
        <v>7.7921661353436408E-2</v>
      </c>
      <c r="G7" s="197">
        <v>0.25280000000000002</v>
      </c>
      <c r="H7" s="197">
        <v>1.8069999999999999</v>
      </c>
      <c r="I7" s="197">
        <v>0.46479999999999999</v>
      </c>
      <c r="J7" s="197">
        <f t="shared" si="2"/>
        <v>2.741879669936492</v>
      </c>
      <c r="K7" s="197">
        <f t="shared" si="3"/>
        <v>9.1083271083625217</v>
      </c>
      <c r="L7" s="197">
        <v>8.8779999999999998E-2</v>
      </c>
      <c r="M7" s="197">
        <v>0.69879999999999998</v>
      </c>
      <c r="N7" s="197">
        <v>0.42449999999999999</v>
      </c>
      <c r="O7" s="197">
        <f t="shared" si="4"/>
        <v>7.8074699319660432</v>
      </c>
      <c r="P7" s="197">
        <f t="shared" si="5"/>
        <v>25.935853716986326</v>
      </c>
      <c r="Q7" s="186">
        <v>5.7160000000000002</v>
      </c>
      <c r="R7" s="197">
        <v>43.41</v>
      </c>
      <c r="S7" s="197">
        <v>0.48570000000000002</v>
      </c>
      <c r="T7" s="197">
        <f t="shared" si="6"/>
        <v>0.12126437728480498</v>
      </c>
      <c r="U7" s="197">
        <f t="shared" si="7"/>
        <v>0.40283154181141456</v>
      </c>
      <c r="V7" s="197">
        <v>0.23960000000000001</v>
      </c>
      <c r="W7" s="197">
        <v>1.694</v>
      </c>
      <c r="X7" s="197">
        <v>0.46829999999999999</v>
      </c>
      <c r="Y7" s="197">
        <f t="shared" si="8"/>
        <v>2.892934810350356</v>
      </c>
      <c r="Z7" s="197">
        <f t="shared" si="9"/>
        <v>9.6101214231804928</v>
      </c>
      <c r="AA7" s="197">
        <v>1.9009999999999999E-2</v>
      </c>
      <c r="AB7" s="197">
        <v>3.8730000000000001E-2</v>
      </c>
      <c r="AC7" s="197">
        <v>0.37319999999999998</v>
      </c>
      <c r="AD7" s="197">
        <f t="shared" si="10"/>
        <v>36.462239903205962</v>
      </c>
      <c r="AE7" s="197">
        <f t="shared" si="11"/>
        <v>121.12493913698296</v>
      </c>
      <c r="AF7" s="190">
        <f>0.1965*A7-3.429</f>
        <v>3.4485000000000006</v>
      </c>
    </row>
    <row r="8" spans="1:32" x14ac:dyDescent="0.2">
      <c r="A8" s="196">
        <v>40</v>
      </c>
      <c r="B8" s="197"/>
      <c r="C8" s="197"/>
      <c r="D8" s="197"/>
      <c r="E8" s="197" t="str">
        <f t="shared" si="0"/>
        <v/>
      </c>
      <c r="F8" s="197" t="str">
        <f t="shared" si="1"/>
        <v/>
      </c>
      <c r="G8" s="197">
        <v>0.12970000000000001</v>
      </c>
      <c r="H8" s="197">
        <v>0.17799999999999999</v>
      </c>
      <c r="I8" s="197">
        <v>0.21890000000000001</v>
      </c>
      <c r="J8" s="197">
        <f t="shared" si="2"/>
        <v>5.3442342371622606</v>
      </c>
      <c r="K8" s="197">
        <f t="shared" si="3"/>
        <v>17.753161858088248</v>
      </c>
      <c r="L8" s="197"/>
      <c r="M8" s="197"/>
      <c r="N8" s="197"/>
      <c r="O8" s="197" t="str">
        <f t="shared" si="4"/>
        <v/>
      </c>
      <c r="P8" s="197" t="str">
        <f t="shared" si="5"/>
        <v/>
      </c>
      <c r="Q8" s="186"/>
      <c r="R8" s="197"/>
      <c r="S8" s="197"/>
      <c r="T8" s="197" t="str">
        <f t="shared" si="6"/>
        <v/>
      </c>
      <c r="U8" s="197" t="str">
        <f t="shared" si="7"/>
        <v/>
      </c>
      <c r="V8" s="197"/>
      <c r="W8" s="197"/>
      <c r="X8" s="197"/>
      <c r="Y8" s="197" t="str">
        <f t="shared" si="8"/>
        <v/>
      </c>
      <c r="Z8" s="197" t="str">
        <f t="shared" si="9"/>
        <v/>
      </c>
      <c r="AA8" s="197"/>
      <c r="AB8" s="197"/>
      <c r="AC8" s="197"/>
      <c r="AD8" s="197" t="str">
        <f t="shared" si="10"/>
        <v/>
      </c>
      <c r="AE8" s="197" t="str">
        <f t="shared" si="11"/>
        <v/>
      </c>
      <c r="AF8" s="190">
        <f t="shared" ref="AF8:AF30" si="12">1.222-0.05664*A8+0.001227*A8^2-0.000003136*A8^3</f>
        <v>0.71889599999999998</v>
      </c>
    </row>
    <row r="9" spans="1:32" x14ac:dyDescent="0.2">
      <c r="A9" s="196">
        <v>45</v>
      </c>
      <c r="B9" s="197"/>
      <c r="C9" s="197"/>
      <c r="D9" s="197"/>
      <c r="E9" s="197" t="str">
        <f t="shared" si="0"/>
        <v/>
      </c>
      <c r="F9" s="197" t="str">
        <f t="shared" si="1"/>
        <v/>
      </c>
      <c r="G9" s="197">
        <v>0.1095</v>
      </c>
      <c r="H9" s="197">
        <v>0.1741</v>
      </c>
      <c r="I9" s="197">
        <v>0.22689999999999999</v>
      </c>
      <c r="J9" s="197">
        <f t="shared" si="2"/>
        <v>6.3301112379903683</v>
      </c>
      <c r="K9" s="197">
        <f t="shared" si="3"/>
        <v>21.028174365242428</v>
      </c>
      <c r="L9" s="197"/>
      <c r="M9" s="197"/>
      <c r="N9" s="197"/>
      <c r="O9" s="197" t="str">
        <f t="shared" si="4"/>
        <v/>
      </c>
      <c r="P9" s="197" t="str">
        <f t="shared" si="5"/>
        <v/>
      </c>
      <c r="Q9" s="186"/>
      <c r="R9" s="197"/>
      <c r="S9" s="197"/>
      <c r="T9" s="197" t="str">
        <f t="shared" si="6"/>
        <v/>
      </c>
      <c r="U9" s="197" t="str">
        <f t="shared" si="7"/>
        <v/>
      </c>
      <c r="V9" s="197"/>
      <c r="W9" s="197"/>
      <c r="X9" s="197"/>
      <c r="Y9" s="197" t="str">
        <f t="shared" si="8"/>
        <v/>
      </c>
      <c r="Z9" s="197" t="str">
        <f t="shared" si="9"/>
        <v/>
      </c>
      <c r="AA9" s="197"/>
      <c r="AB9" s="197"/>
      <c r="AC9" s="197"/>
      <c r="AD9" s="197" t="str">
        <f t="shared" si="10"/>
        <v/>
      </c>
      <c r="AE9" s="197" t="str">
        <f t="shared" si="11"/>
        <v/>
      </c>
      <c r="AF9" s="190">
        <f t="shared" si="12"/>
        <v>0.87210700000000019</v>
      </c>
    </row>
    <row r="10" spans="1:32" x14ac:dyDescent="0.2">
      <c r="A10" s="196">
        <v>50</v>
      </c>
      <c r="B10" s="197">
        <v>8.8010000000000002</v>
      </c>
      <c r="C10" s="197">
        <v>27.28</v>
      </c>
      <c r="D10" s="197">
        <v>0.29570000000000002</v>
      </c>
      <c r="E10" s="197">
        <f t="shared" si="0"/>
        <v>7.8757775316435089E-2</v>
      </c>
      <c r="F10" s="197">
        <f t="shared" si="1"/>
        <v>0.26162766651449215</v>
      </c>
      <c r="G10" s="197">
        <v>9.3200000000000005E-2</v>
      </c>
      <c r="H10" s="197">
        <v>0.17119999999999999</v>
      </c>
      <c r="I10" s="197">
        <v>0.2324</v>
      </c>
      <c r="J10" s="197">
        <f t="shared" si="2"/>
        <v>7.4372015081539189</v>
      </c>
      <c r="K10" s="197">
        <f t="shared" si="3"/>
        <v>24.705848637275167</v>
      </c>
      <c r="L10" s="197">
        <v>3.8830000000000003E-2</v>
      </c>
      <c r="M10" s="197">
        <v>8.7300000000000003E-2</v>
      </c>
      <c r="N10" s="197">
        <v>0.51049999999999995</v>
      </c>
      <c r="O10" s="197">
        <f t="shared" si="4"/>
        <v>17.85081587844309</v>
      </c>
      <c r="P10" s="197">
        <f t="shared" si="5"/>
        <v>59.299126783261535</v>
      </c>
      <c r="Q10" s="186">
        <v>1.8169999999999999</v>
      </c>
      <c r="R10" s="197">
        <v>4.84</v>
      </c>
      <c r="S10" s="197">
        <v>0.40210000000000001</v>
      </c>
      <c r="T10" s="197">
        <f t="shared" si="6"/>
        <v>0.38147891059985983</v>
      </c>
      <c r="U10" s="197">
        <f t="shared" si="7"/>
        <v>1.2672455107286988</v>
      </c>
      <c r="V10" s="197">
        <v>9.7210000000000005E-2</v>
      </c>
      <c r="W10" s="197">
        <v>0.1799</v>
      </c>
      <c r="X10" s="197">
        <v>0.49120000000000003</v>
      </c>
      <c r="Y10" s="197">
        <f t="shared" si="8"/>
        <v>7.1304102516196401</v>
      </c>
      <c r="Z10" s="197">
        <f t="shared" si="9"/>
        <v>23.686710142928153</v>
      </c>
      <c r="AA10" s="197">
        <v>1.076E-2</v>
      </c>
      <c r="AB10" s="197">
        <v>1.8619999999999999E-3</v>
      </c>
      <c r="AC10" s="197">
        <v>1.17</v>
      </c>
      <c r="AD10" s="197">
        <f t="shared" si="10"/>
        <v>64.418882951667769</v>
      </c>
      <c r="AE10" s="197">
        <f t="shared" si="11"/>
        <v>213.9948971184057</v>
      </c>
      <c r="AF10" s="190">
        <f t="shared" si="12"/>
        <v>1.0654999999999997</v>
      </c>
    </row>
    <row r="11" spans="1:32" x14ac:dyDescent="0.2">
      <c r="A11" s="196">
        <v>55</v>
      </c>
      <c r="B11" s="197">
        <v>7.8390000000000004</v>
      </c>
      <c r="C11" s="197">
        <v>25.92</v>
      </c>
      <c r="D11" s="197">
        <v>0.34989999999999999</v>
      </c>
      <c r="E11" s="197">
        <f t="shared" si="0"/>
        <v>8.8422908605682513E-2</v>
      </c>
      <c r="F11" s="197">
        <f t="shared" si="1"/>
        <v>0.2937345443288743</v>
      </c>
      <c r="G11" s="197">
        <v>7.4219999999999994E-2</v>
      </c>
      <c r="H11" s="197">
        <v>0.16969999999999999</v>
      </c>
      <c r="I11" s="197">
        <v>0.24540000000000001</v>
      </c>
      <c r="J11" s="197">
        <f t="shared" si="2"/>
        <v>9.3390889323625075</v>
      </c>
      <c r="K11" s="197">
        <f t="shared" si="3"/>
        <v>31.023781905066638</v>
      </c>
      <c r="L11" s="197">
        <v>3.4189999999999998E-2</v>
      </c>
      <c r="M11" s="197">
        <v>8.3150000000000002E-2</v>
      </c>
      <c r="N11" s="197">
        <v>0.56059999999999999</v>
      </c>
      <c r="O11" s="197">
        <f t="shared" si="4"/>
        <v>20.273389311492991</v>
      </c>
      <c r="P11" s="197">
        <f t="shared" si="5"/>
        <v>67.346741532437733</v>
      </c>
      <c r="Q11" s="186">
        <v>1.4930000000000001</v>
      </c>
      <c r="R11" s="197">
        <v>4.5149999999999997</v>
      </c>
      <c r="S11" s="197">
        <v>0.42930000000000001</v>
      </c>
      <c r="T11" s="197">
        <f t="shared" si="6"/>
        <v>0.46426468892159761</v>
      </c>
      <c r="U11" s="197">
        <f t="shared" si="7"/>
        <v>1.5422539135927968</v>
      </c>
      <c r="V11" s="197">
        <v>8.5519999999999999E-2</v>
      </c>
      <c r="W11" s="197">
        <v>0.1661</v>
      </c>
      <c r="X11" s="197">
        <v>0.51119999999999999</v>
      </c>
      <c r="Y11" s="197">
        <f t="shared" si="8"/>
        <v>8.1050886407851408</v>
      </c>
      <c r="Z11" s="197">
        <f t="shared" si="9"/>
        <v>26.924521667376585</v>
      </c>
      <c r="AA11" s="197">
        <v>1.0120000000000001E-2</v>
      </c>
      <c r="AB11" s="197">
        <v>1.4040000000000001E-3</v>
      </c>
      <c r="AC11" s="197">
        <v>1.2689999999999999</v>
      </c>
      <c r="AD11" s="197">
        <f t="shared" si="10"/>
        <v>68.49280440315664</v>
      </c>
      <c r="AE11" s="197">
        <f t="shared" si="11"/>
        <v>227.52817124447091</v>
      </c>
      <c r="AF11" s="190">
        <f t="shared" si="12"/>
        <v>1.2967229999999998</v>
      </c>
    </row>
    <row r="12" spans="1:32" x14ac:dyDescent="0.2">
      <c r="A12" s="196">
        <v>60</v>
      </c>
      <c r="B12" s="197">
        <v>6.9509999999999996</v>
      </c>
      <c r="C12" s="197">
        <v>24.89</v>
      </c>
      <c r="D12" s="197">
        <v>0.41980000000000001</v>
      </c>
      <c r="E12" s="197">
        <f t="shared" si="0"/>
        <v>9.971905920873908E-2</v>
      </c>
      <c r="F12" s="197">
        <f t="shared" si="1"/>
        <v>0.33125954438124672</v>
      </c>
      <c r="G12" s="197">
        <v>6.2509999999999996E-2</v>
      </c>
      <c r="H12" s="197">
        <v>0.16919999999999999</v>
      </c>
      <c r="I12" s="197">
        <v>0.27329999999999999</v>
      </c>
      <c r="J12" s="197">
        <f t="shared" si="2"/>
        <v>11.088580716044557</v>
      </c>
      <c r="K12" s="197">
        <f t="shared" si="3"/>
        <v>36.835467813054642</v>
      </c>
      <c r="L12" s="197">
        <v>2.9850000000000002E-2</v>
      </c>
      <c r="M12" s="197">
        <v>7.961E-2</v>
      </c>
      <c r="N12" s="197">
        <v>0.6169</v>
      </c>
      <c r="O12" s="197">
        <f t="shared" si="4"/>
        <v>23.221011074035015</v>
      </c>
      <c r="P12" s="197">
        <f t="shared" si="5"/>
        <v>77.138529078527483</v>
      </c>
      <c r="Q12" s="186">
        <v>1.1830000000000001</v>
      </c>
      <c r="R12" s="197">
        <v>4.2190000000000003</v>
      </c>
      <c r="S12" s="197">
        <v>0.45710000000000001</v>
      </c>
      <c r="T12" s="197">
        <f t="shared" si="6"/>
        <v>0.58592322955194021</v>
      </c>
      <c r="U12" s="197">
        <f t="shared" si="7"/>
        <v>1.9463948376957276</v>
      </c>
      <c r="V12" s="197">
        <v>7.4520000000000003E-2</v>
      </c>
      <c r="W12" s="197">
        <v>0.15390000000000001</v>
      </c>
      <c r="X12" s="197">
        <v>0.53039999999999998</v>
      </c>
      <c r="Y12" s="197">
        <f t="shared" si="8"/>
        <v>9.3014919559842362</v>
      </c>
      <c r="Z12" s="197">
        <f t="shared" si="9"/>
        <v>30.898887452952842</v>
      </c>
      <c r="AA12" s="197">
        <v>9.5119999999999996E-3</v>
      </c>
      <c r="AB12" s="197">
        <v>9.6719999999999998E-4</v>
      </c>
      <c r="AC12" s="197">
        <v>1.333</v>
      </c>
      <c r="AD12" s="197">
        <f t="shared" si="10"/>
        <v>72.870813767866409</v>
      </c>
      <c r="AE12" s="197">
        <f t="shared" si="11"/>
        <v>242.07160355278026</v>
      </c>
      <c r="AF12" s="190">
        <f t="shared" si="12"/>
        <v>1.5634240000000001</v>
      </c>
    </row>
    <row r="13" spans="1:32" x14ac:dyDescent="0.2">
      <c r="A13" s="196">
        <v>65</v>
      </c>
      <c r="B13" s="198">
        <v>6.13</v>
      </c>
      <c r="C13" s="198">
        <v>24.09</v>
      </c>
      <c r="D13" s="198">
        <v>0.50190000000000001</v>
      </c>
      <c r="E13" s="197">
        <f t="shared" si="0"/>
        <v>0.1130745808417529</v>
      </c>
      <c r="F13" s="197">
        <f t="shared" si="1"/>
        <v>0.37562562691583129</v>
      </c>
      <c r="G13" s="198">
        <v>5.5280000000000003E-2</v>
      </c>
      <c r="H13" s="198">
        <v>0.1696</v>
      </c>
      <c r="I13" s="198">
        <v>0.32169999999999999</v>
      </c>
      <c r="J13" s="197">
        <f t="shared" si="2"/>
        <v>12.53884190593244</v>
      </c>
      <c r="K13" s="197">
        <f t="shared" si="3"/>
        <v>41.653131204667979</v>
      </c>
      <c r="L13" s="198">
        <v>2.6089999999999999E-2</v>
      </c>
      <c r="M13" s="198">
        <v>7.5969999999999996E-2</v>
      </c>
      <c r="N13" s="198">
        <v>0.67559999999999998</v>
      </c>
      <c r="O13" s="197">
        <f t="shared" si="4"/>
        <v>26.56754237485417</v>
      </c>
      <c r="P13" s="197">
        <f t="shared" si="5"/>
        <v>88.255465427138589</v>
      </c>
      <c r="Q13" s="186">
        <v>0.91720000000000002</v>
      </c>
      <c r="R13" s="198">
        <v>3.9820000000000002</v>
      </c>
      <c r="S13" s="198">
        <v>0.49220000000000003</v>
      </c>
      <c r="T13" s="197">
        <f t="shared" si="6"/>
        <v>0.75572086846919462</v>
      </c>
      <c r="U13" s="197">
        <f t="shared" si="7"/>
        <v>2.5104503848604947</v>
      </c>
      <c r="V13" s="198">
        <v>6.5140000000000003E-2</v>
      </c>
      <c r="W13" s="198">
        <v>0.14430000000000001</v>
      </c>
      <c r="X13" s="198">
        <v>0.55820000000000003</v>
      </c>
      <c r="Y13" s="197">
        <f t="shared" si="8"/>
        <v>10.640883950874198</v>
      </c>
      <c r="Z13" s="197">
        <f t="shared" si="9"/>
        <v>35.348251350845032</v>
      </c>
      <c r="AA13" s="198">
        <v>8.9899999999999997E-3</v>
      </c>
      <c r="AB13" s="198">
        <v>6.4700000000000001E-4</v>
      </c>
      <c r="AC13" s="198">
        <v>1.353</v>
      </c>
      <c r="AD13" s="197">
        <f t="shared" si="10"/>
        <v>77.102022309226399</v>
      </c>
      <c r="AE13" s="197">
        <f t="shared" si="11"/>
        <v>256.1273740816514</v>
      </c>
      <c r="AF13" s="190">
        <f t="shared" si="12"/>
        <v>1.863251</v>
      </c>
    </row>
    <row r="14" spans="1:32" x14ac:dyDescent="0.2">
      <c r="A14" s="196">
        <v>70</v>
      </c>
      <c r="B14" s="198">
        <v>5.3689999999999998</v>
      </c>
      <c r="C14" s="198">
        <v>23.49</v>
      </c>
      <c r="D14" s="198">
        <v>0.58809999999999996</v>
      </c>
      <c r="E14" s="197">
        <f t="shared" si="0"/>
        <v>0.12910172854534277</v>
      </c>
      <c r="F14" s="197">
        <f t="shared" si="1"/>
        <v>0.42886665915329597</v>
      </c>
      <c r="G14" s="198">
        <v>5.0869999999999999E-2</v>
      </c>
      <c r="H14" s="198">
        <v>0.1696</v>
      </c>
      <c r="I14" s="198">
        <v>0.38469999999999999</v>
      </c>
      <c r="J14" s="197">
        <f t="shared" si="2"/>
        <v>13.625853755847166</v>
      </c>
      <c r="K14" s="197">
        <f t="shared" si="3"/>
        <v>45.264106408375191</v>
      </c>
      <c r="L14" s="198">
        <v>2.3019999999999999E-2</v>
      </c>
      <c r="M14" s="198">
        <v>7.1629999999999999E-2</v>
      </c>
      <c r="N14" s="198">
        <v>0.72989999999999999</v>
      </c>
      <c r="O14" s="197">
        <f t="shared" si="4"/>
        <v>30.110650762812568</v>
      </c>
      <c r="P14" s="197">
        <f t="shared" si="5"/>
        <v>100.02541672432866</v>
      </c>
      <c r="Q14" s="186">
        <v>0.71489999999999998</v>
      </c>
      <c r="R14" s="198">
        <v>3.798</v>
      </c>
      <c r="S14" s="198">
        <v>0.53779999999999994</v>
      </c>
      <c r="T14" s="197">
        <f t="shared" si="6"/>
        <v>0.96957222067414361</v>
      </c>
      <c r="U14" s="197">
        <f t="shared" si="7"/>
        <v>3.2208491998797673</v>
      </c>
      <c r="V14" s="198">
        <v>5.7910000000000003E-2</v>
      </c>
      <c r="W14" s="198">
        <v>0.13569999999999999</v>
      </c>
      <c r="X14" s="198">
        <v>0.59670000000000001</v>
      </c>
      <c r="Y14" s="197">
        <f t="shared" si="8"/>
        <v>11.969386644101974</v>
      </c>
      <c r="Z14" s="197">
        <f t="shared" si="9"/>
        <v>39.761441771611914</v>
      </c>
      <c r="AA14" s="198">
        <v>8.5500000000000003E-3</v>
      </c>
      <c r="AB14" s="198">
        <v>5.3899999999999998E-4</v>
      </c>
      <c r="AC14" s="198">
        <v>1.194</v>
      </c>
      <c r="AD14" s="197">
        <f t="shared" si="10"/>
        <v>81.069845679525756</v>
      </c>
      <c r="AE14" s="197">
        <f t="shared" si="11"/>
        <v>269.30819801099949</v>
      </c>
      <c r="AF14" s="190">
        <f t="shared" si="12"/>
        <v>2.1938519999999997</v>
      </c>
    </row>
    <row r="15" spans="1:32" x14ac:dyDescent="0.2">
      <c r="A15" s="196">
        <v>75</v>
      </c>
      <c r="B15" s="198">
        <v>4.6660000000000004</v>
      </c>
      <c r="C15" s="198">
        <v>22.69</v>
      </c>
      <c r="D15" s="198">
        <v>0.66180000000000005</v>
      </c>
      <c r="E15" s="197">
        <f t="shared" si="0"/>
        <v>0.14855276051434746</v>
      </c>
      <c r="F15" s="197">
        <f t="shared" si="1"/>
        <v>0.49348158872568487</v>
      </c>
      <c r="G15" s="198">
        <v>4.7969999999999999E-2</v>
      </c>
      <c r="H15" s="198">
        <v>0.1663</v>
      </c>
      <c r="I15" s="198">
        <v>0.44919999999999999</v>
      </c>
      <c r="J15" s="197">
        <f t="shared" si="2"/>
        <v>14.449597259952998</v>
      </c>
      <c r="K15" s="197">
        <f t="shared" si="3"/>
        <v>48.000523097645321</v>
      </c>
      <c r="L15" s="198">
        <v>2.0660000000000001E-2</v>
      </c>
      <c r="M15" s="198">
        <v>6.6489999999999994E-2</v>
      </c>
      <c r="N15" s="198">
        <v>0.77500000000000002</v>
      </c>
      <c r="O15" s="197">
        <f t="shared" si="4"/>
        <v>33.550202350432976</v>
      </c>
      <c r="P15" s="197">
        <f t="shared" si="5"/>
        <v>111.45135977705932</v>
      </c>
      <c r="Q15" s="184">
        <v>0.57930000000000004</v>
      </c>
      <c r="R15" s="198">
        <v>3.629</v>
      </c>
      <c r="S15" s="198">
        <v>0.59079999999999999</v>
      </c>
      <c r="T15" s="197">
        <f t="shared" si="6"/>
        <v>1.1965254282063615</v>
      </c>
      <c r="U15" s="197">
        <f t="shared" si="7"/>
        <v>3.9747714362058444</v>
      </c>
      <c r="V15" s="198">
        <v>5.2909999999999999E-2</v>
      </c>
      <c r="W15" s="198">
        <v>0.128</v>
      </c>
      <c r="X15" s="198">
        <v>0.64780000000000004</v>
      </c>
      <c r="Y15" s="197">
        <f t="shared" si="8"/>
        <v>13.100494813077779</v>
      </c>
      <c r="Z15" s="197">
        <f t="shared" si="9"/>
        <v>43.518901776489244</v>
      </c>
      <c r="AA15" s="198">
        <v>5.2030000000000002E-3</v>
      </c>
      <c r="AB15" s="198">
        <v>6.4210000000000005E-4</v>
      </c>
      <c r="AC15" s="198">
        <v>1.0620000000000001</v>
      </c>
      <c r="AD15" s="197">
        <f t="shared" si="10"/>
        <v>133.22067664038926</v>
      </c>
      <c r="AE15" s="197">
        <f t="shared" si="11"/>
        <v>442.54950855161366</v>
      </c>
      <c r="AF15" s="190">
        <f t="shared" si="12"/>
        <v>2.5528750000000002</v>
      </c>
    </row>
    <row r="16" spans="1:32" x14ac:dyDescent="0.2">
      <c r="A16" s="196">
        <v>80</v>
      </c>
      <c r="B16" s="198">
        <v>4.04</v>
      </c>
      <c r="C16" s="198">
        <v>21.69</v>
      </c>
      <c r="D16" s="198">
        <v>0.71870000000000001</v>
      </c>
      <c r="E16" s="197">
        <f t="shared" si="0"/>
        <v>0.17157108429701615</v>
      </c>
      <c r="F16" s="197">
        <f t="shared" si="1"/>
        <v>0.56994680519654595</v>
      </c>
      <c r="G16" s="198">
        <v>4.5830000000000003E-2</v>
      </c>
      <c r="H16" s="198">
        <v>0.15490000000000001</v>
      </c>
      <c r="I16" s="198">
        <v>0.49259999999999998</v>
      </c>
      <c r="J16" s="197">
        <f t="shared" si="2"/>
        <v>15.124311162119687</v>
      </c>
      <c r="K16" s="197">
        <f t="shared" si="3"/>
        <v>50.241874165263923</v>
      </c>
      <c r="L16" s="198">
        <v>1.8859999999999998E-2</v>
      </c>
      <c r="M16" s="198">
        <v>6.0929999999999998E-2</v>
      </c>
      <c r="N16" s="198">
        <v>0.81030000000000002</v>
      </c>
      <c r="O16" s="197">
        <f t="shared" si="4"/>
        <v>36.752236509010885</v>
      </c>
      <c r="P16" s="197">
        <f t="shared" si="5"/>
        <v>122.08828700922831</v>
      </c>
      <c r="Q16" s="184">
        <v>0.49209999999999998</v>
      </c>
      <c r="R16" s="198">
        <v>3.4279999999999999</v>
      </c>
      <c r="S16" s="198">
        <v>0.64270000000000005</v>
      </c>
      <c r="T16" s="197">
        <f t="shared" si="6"/>
        <v>1.4085494423083627</v>
      </c>
      <c r="U16" s="197">
        <f t="shared" si="7"/>
        <v>4.6790999654420764</v>
      </c>
      <c r="V16" s="198">
        <v>4.9549999999999997E-2</v>
      </c>
      <c r="W16" s="198">
        <v>0.1208</v>
      </c>
      <c r="X16" s="198">
        <v>0.7097</v>
      </c>
      <c r="Y16" s="197">
        <f t="shared" si="8"/>
        <v>13.988843199998897</v>
      </c>
      <c r="Z16" s="197">
        <f t="shared" si="9"/>
        <v>46.469931241050375</v>
      </c>
      <c r="AA16" s="198">
        <v>7.9030000000000003E-3</v>
      </c>
      <c r="AB16" s="198">
        <v>8.6399999999999997E-4</v>
      </c>
      <c r="AC16" s="198">
        <v>0.97030000000000005</v>
      </c>
      <c r="AD16" s="197">
        <f t="shared" si="10"/>
        <v>87.706843041875899</v>
      </c>
      <c r="AE16" s="197">
        <f t="shared" si="11"/>
        <v>291.35582601468377</v>
      </c>
      <c r="AF16" s="190">
        <f t="shared" si="12"/>
        <v>2.9379679999999997</v>
      </c>
    </row>
    <row r="17" spans="1:32" x14ac:dyDescent="0.2">
      <c r="A17" s="196">
        <v>85</v>
      </c>
      <c r="B17" s="198">
        <v>3.504</v>
      </c>
      <c r="C17" s="198">
        <v>20.37</v>
      </c>
      <c r="D17" s="198">
        <v>0.755</v>
      </c>
      <c r="E17" s="197">
        <f t="shared" si="0"/>
        <v>0.19781597618719901</v>
      </c>
      <c r="F17" s="197">
        <f t="shared" si="1"/>
        <v>0.65713044891382588</v>
      </c>
      <c r="G17" s="198">
        <v>4.3979999999999998E-2</v>
      </c>
      <c r="H17" s="198">
        <v>0.1348</v>
      </c>
      <c r="I17" s="198">
        <v>0.49430000000000002</v>
      </c>
      <c r="J17" s="197">
        <f t="shared" si="2"/>
        <v>15.760508880398939</v>
      </c>
      <c r="K17" s="197">
        <f t="shared" si="3"/>
        <v>52.355277239519012</v>
      </c>
      <c r="L17" s="198">
        <v>1.746E-2</v>
      </c>
      <c r="M17" s="198">
        <v>5.5579999999999997E-2</v>
      </c>
      <c r="N17" s="198">
        <v>0.83919999999999995</v>
      </c>
      <c r="O17" s="197">
        <f t="shared" si="4"/>
        <v>39.699151234819318</v>
      </c>
      <c r="P17" s="197">
        <f t="shared" si="5"/>
        <v>131.87772583012864</v>
      </c>
      <c r="Q17" s="184">
        <v>0.4355</v>
      </c>
      <c r="R17" s="198">
        <v>3.1779999999999999</v>
      </c>
      <c r="S17" s="198">
        <v>0.68610000000000004</v>
      </c>
      <c r="T17" s="197">
        <f t="shared" si="6"/>
        <v>1.5916123549022854</v>
      </c>
      <c r="U17" s="197">
        <f t="shared" si="7"/>
        <v>5.287221797919738</v>
      </c>
      <c r="V17" s="198">
        <v>4.7210000000000002E-2</v>
      </c>
      <c r="W17" s="198">
        <v>0.114</v>
      </c>
      <c r="X17" s="198">
        <v>0.77859999999999996</v>
      </c>
      <c r="Y17" s="197">
        <f t="shared" si="8"/>
        <v>14.682210984112375</v>
      </c>
      <c r="Z17" s="197">
        <f t="shared" si="9"/>
        <v>48.773249163186733</v>
      </c>
      <c r="AA17" s="198">
        <v>7.6860000000000001E-3</v>
      </c>
      <c r="AB17" s="198">
        <v>1.0560000000000001E-3</v>
      </c>
      <c r="AC17" s="198">
        <v>1.0149999999999999</v>
      </c>
      <c r="AD17" s="197">
        <f t="shared" si="10"/>
        <v>90.183083601345984</v>
      </c>
      <c r="AE17" s="197">
        <f t="shared" si="11"/>
        <v>299.58171909888699</v>
      </c>
      <c r="AF17" s="190">
        <f t="shared" si="12"/>
        <v>3.3467790000000015</v>
      </c>
    </row>
    <row r="18" spans="1:32" x14ac:dyDescent="0.2">
      <c r="A18" s="196">
        <v>90</v>
      </c>
      <c r="B18" s="198">
        <v>3.0670000000000002</v>
      </c>
      <c r="C18" s="198">
        <v>18.829999999999998</v>
      </c>
      <c r="D18" s="198">
        <v>0.77259999999999995</v>
      </c>
      <c r="E18" s="197">
        <f t="shared" si="0"/>
        <v>0.22600168912942459</v>
      </c>
      <c r="F18" s="197">
        <f t="shared" si="1"/>
        <v>0.75076136061103538</v>
      </c>
      <c r="G18" s="198">
        <v>4.2279999999999998E-2</v>
      </c>
      <c r="H18" s="198">
        <v>0.1137</v>
      </c>
      <c r="I18" s="198">
        <v>0.46899999999999997</v>
      </c>
      <c r="J18" s="197">
        <f t="shared" si="2"/>
        <v>16.394209568589055</v>
      </c>
      <c r="K18" s="197">
        <f t="shared" si="3"/>
        <v>54.460385359367208</v>
      </c>
      <c r="L18" s="198">
        <v>1.6629999999999999E-2</v>
      </c>
      <c r="M18" s="198">
        <v>5.0389999999999997E-2</v>
      </c>
      <c r="N18" s="198">
        <v>0.85850000000000004</v>
      </c>
      <c r="O18" s="197">
        <f t="shared" si="4"/>
        <v>41.680527995186132</v>
      </c>
      <c r="P18" s="197">
        <f t="shared" si="5"/>
        <v>138.45971695694806</v>
      </c>
      <c r="Q18" s="184">
        <v>0.39710000000000001</v>
      </c>
      <c r="R18" s="198">
        <v>2.9129999999999998</v>
      </c>
      <c r="S18" s="198">
        <v>0.72040000000000004</v>
      </c>
      <c r="T18" s="197">
        <f t="shared" si="6"/>
        <v>1.7455229930998371</v>
      </c>
      <c r="U18" s="197">
        <f t="shared" si="7"/>
        <v>5.7985018710502283</v>
      </c>
      <c r="V18" s="198">
        <v>4.5499999999999999E-2</v>
      </c>
      <c r="W18" s="198">
        <v>0.1077</v>
      </c>
      <c r="X18" s="198">
        <v>0.85219999999999996</v>
      </c>
      <c r="Y18" s="197">
        <f t="shared" si="8"/>
        <v>15.234003968350446</v>
      </c>
      <c r="Z18" s="197">
        <f t="shared" si="9"/>
        <v>50.606265780088918</v>
      </c>
      <c r="AA18" s="198">
        <v>7.5110000000000003E-3</v>
      </c>
      <c r="AB18" s="198">
        <v>1.1590000000000001E-3</v>
      </c>
      <c r="AC18" s="198">
        <v>1.081</v>
      </c>
      <c r="AD18" s="197">
        <f t="shared" si="10"/>
        <v>92.284273806409971</v>
      </c>
      <c r="AE18" s="197">
        <f t="shared" si="11"/>
        <v>306.56172187379121</v>
      </c>
      <c r="AF18" s="190">
        <f t="shared" si="12"/>
        <v>3.7769560000000002</v>
      </c>
    </row>
    <row r="19" spans="1:32" x14ac:dyDescent="0.2">
      <c r="A19" s="196">
        <v>95</v>
      </c>
      <c r="B19" s="198">
        <v>2.7309999999999999</v>
      </c>
      <c r="C19" s="198">
        <v>17.07</v>
      </c>
      <c r="D19" s="198">
        <v>0.77139999999999997</v>
      </c>
      <c r="E19" s="197">
        <f t="shared" si="0"/>
        <v>0.25380709650675404</v>
      </c>
      <c r="F19" s="197">
        <f t="shared" si="1"/>
        <v>0.84312892456757438</v>
      </c>
      <c r="G19" s="198">
        <v>4.0680000000000001E-2</v>
      </c>
      <c r="H19" s="198">
        <v>9.7049999999999997E-2</v>
      </c>
      <c r="I19" s="198">
        <v>0.44059999999999999</v>
      </c>
      <c r="J19" s="197">
        <f t="shared" si="2"/>
        <v>17.039016237953422</v>
      </c>
      <c r="K19" s="197">
        <f t="shared" si="3"/>
        <v>56.602386750099448</v>
      </c>
      <c r="L19" s="198">
        <v>1.5429999999999999E-2</v>
      </c>
      <c r="M19" s="198">
        <v>4.5710000000000001E-2</v>
      </c>
      <c r="N19" s="198">
        <v>0.87629999999999997</v>
      </c>
      <c r="O19" s="197">
        <f t="shared" si="4"/>
        <v>44.922046698635469</v>
      </c>
      <c r="P19" s="197">
        <f t="shared" si="5"/>
        <v>149.22780900803926</v>
      </c>
      <c r="Q19" s="184">
        <v>0.36809999999999998</v>
      </c>
      <c r="R19" s="198">
        <v>2.6539999999999999</v>
      </c>
      <c r="S19" s="198">
        <v>0.74609999999999999</v>
      </c>
      <c r="T19" s="197">
        <f t="shared" si="6"/>
        <v>1.8830404253190582</v>
      </c>
      <c r="U19" s="197">
        <f t="shared" si="7"/>
        <v>6.2553248926760281</v>
      </c>
      <c r="V19" s="198">
        <v>4.41E-2</v>
      </c>
      <c r="W19" s="198">
        <v>0.1013</v>
      </c>
      <c r="X19" s="198">
        <v>0.92220000000000002</v>
      </c>
      <c r="Y19" s="197">
        <f t="shared" si="8"/>
        <v>15.717623141948872</v>
      </c>
      <c r="Z19" s="197">
        <f t="shared" si="9"/>
        <v>52.212813900091739</v>
      </c>
      <c r="AA19" s="198">
        <v>7.345E-3</v>
      </c>
      <c r="AB19" s="198">
        <v>1.1329999999999999E-3</v>
      </c>
      <c r="AC19" s="198">
        <v>1.1160000000000001</v>
      </c>
      <c r="AD19" s="197">
        <f t="shared" si="10"/>
        <v>94.369936087126661</v>
      </c>
      <c r="AE19" s="197">
        <f t="shared" si="11"/>
        <v>313.49014200055086</v>
      </c>
      <c r="AF19" s="190">
        <f t="shared" si="12"/>
        <v>4.2261469999999983</v>
      </c>
    </row>
    <row r="20" spans="1:32" x14ac:dyDescent="0.2">
      <c r="A20" s="196">
        <v>100</v>
      </c>
      <c r="B20" s="198">
        <v>2.5</v>
      </c>
      <c r="C20" s="198">
        <v>15.28</v>
      </c>
      <c r="D20" s="198">
        <v>0.75570000000000004</v>
      </c>
      <c r="E20" s="197">
        <f t="shared" si="0"/>
        <v>0.2772588722239781</v>
      </c>
      <c r="F20" s="197">
        <f t="shared" si="1"/>
        <v>0.92103403719761834</v>
      </c>
      <c r="G20" s="198">
        <v>3.925E-2</v>
      </c>
      <c r="H20" s="198">
        <v>8.5669999999999996E-2</v>
      </c>
      <c r="I20" s="198">
        <v>0.42730000000000001</v>
      </c>
      <c r="J20" s="197">
        <f t="shared" si="2"/>
        <v>17.659800778597333</v>
      </c>
      <c r="K20" s="197">
        <f t="shared" si="3"/>
        <v>58.6645883565362</v>
      </c>
      <c r="L20" s="198">
        <v>1.4659999999999999E-2</v>
      </c>
      <c r="M20" s="198">
        <v>4.1709999999999997E-2</v>
      </c>
      <c r="N20" s="198">
        <v>0.89390000000000003</v>
      </c>
      <c r="O20" s="197">
        <f t="shared" si="4"/>
        <v>47.281526641196812</v>
      </c>
      <c r="P20" s="197">
        <f t="shared" si="5"/>
        <v>157.06583171855701</v>
      </c>
      <c r="Q20" s="184">
        <v>0.34150000000000003</v>
      </c>
      <c r="R20" s="198">
        <v>2.42</v>
      </c>
      <c r="S20" s="198">
        <v>0.76449999999999996</v>
      </c>
      <c r="T20" s="197">
        <f t="shared" si="6"/>
        <v>2.0297135594727531</v>
      </c>
      <c r="U20" s="197">
        <f t="shared" si="7"/>
        <v>6.7425624977863707</v>
      </c>
      <c r="V20" s="198">
        <v>4.2779999999999999E-2</v>
      </c>
      <c r="W20" s="198">
        <v>9.4659999999999994E-2</v>
      </c>
      <c r="X20" s="198">
        <v>0.97909999999999997</v>
      </c>
      <c r="Y20" s="197">
        <f t="shared" si="8"/>
        <v>16.202598891069314</v>
      </c>
      <c r="Z20" s="197">
        <f t="shared" si="9"/>
        <v>53.823868466433979</v>
      </c>
      <c r="AA20" s="198">
        <v>7.2300000000000003E-3</v>
      </c>
      <c r="AB20" s="198">
        <v>9.343E-4</v>
      </c>
      <c r="AC20" s="198">
        <v>1.3089999999999999</v>
      </c>
      <c r="AD20" s="197">
        <f t="shared" si="10"/>
        <v>95.870979330559507</v>
      </c>
      <c r="AE20" s="197">
        <f t="shared" si="11"/>
        <v>318.47649972255124</v>
      </c>
      <c r="AF20" s="190">
        <f t="shared" si="12"/>
        <v>4.6919999999999993</v>
      </c>
    </row>
    <row r="21" spans="1:32" x14ac:dyDescent="0.2">
      <c r="A21" s="196">
        <v>105</v>
      </c>
      <c r="B21" s="198">
        <v>2.3639999999999999</v>
      </c>
      <c r="C21" s="198">
        <v>13.41</v>
      </c>
      <c r="D21" s="198">
        <v>0.72389999999999999</v>
      </c>
      <c r="E21" s="197">
        <f t="shared" si="0"/>
        <v>0.29320946724193964</v>
      </c>
      <c r="F21" s="197">
        <f t="shared" si="1"/>
        <v>0.97402076691795514</v>
      </c>
      <c r="G21" s="198">
        <v>3.8080000000000003E-2</v>
      </c>
      <c r="H21" s="198">
        <v>7.8619999999999995E-2</v>
      </c>
      <c r="I21" s="198">
        <v>0.43940000000000001</v>
      </c>
      <c r="J21" s="197">
        <f t="shared" si="2"/>
        <v>18.202394447477552</v>
      </c>
      <c r="K21" s="197">
        <f t="shared" si="3"/>
        <v>60.467045509297414</v>
      </c>
      <c r="L21" s="198">
        <v>1.397E-2</v>
      </c>
      <c r="M21" s="198">
        <v>3.8150000000000003E-2</v>
      </c>
      <c r="N21" s="198">
        <v>0.90800000000000003</v>
      </c>
      <c r="O21" s="197">
        <f t="shared" si="4"/>
        <v>49.616834685751272</v>
      </c>
      <c r="P21" s="197">
        <f t="shared" si="5"/>
        <v>164.82355712197892</v>
      </c>
      <c r="Q21" s="184">
        <v>0.3135</v>
      </c>
      <c r="R21" s="198">
        <v>2.2269999999999999</v>
      </c>
      <c r="S21" s="198">
        <v>0.77880000000000005</v>
      </c>
      <c r="T21" s="197">
        <f t="shared" si="6"/>
        <v>2.2109957912597937</v>
      </c>
      <c r="U21" s="197">
        <f t="shared" si="7"/>
        <v>7.3447690366636236</v>
      </c>
      <c r="V21" s="198">
        <v>4.1430000000000002E-2</v>
      </c>
      <c r="W21" s="198">
        <v>8.7510000000000004E-2</v>
      </c>
      <c r="X21" s="198">
        <v>1.014</v>
      </c>
      <c r="Y21" s="197">
        <f t="shared" si="8"/>
        <v>16.730561925173674</v>
      </c>
      <c r="Z21" s="197">
        <f t="shared" si="9"/>
        <v>55.577723702487233</v>
      </c>
      <c r="AA21" s="198">
        <v>7.0499999999999998E-3</v>
      </c>
      <c r="AB21" s="198">
        <v>6.1990000000000005E-4</v>
      </c>
      <c r="AC21" s="198">
        <v>1.365</v>
      </c>
      <c r="AD21" s="197">
        <f t="shared" si="10"/>
        <v>98.318749015595074</v>
      </c>
      <c r="AE21" s="197">
        <f t="shared" si="11"/>
        <v>326.60781460908453</v>
      </c>
      <c r="AF21" s="190">
        <f t="shared" si="12"/>
        <v>5.1721629999999994</v>
      </c>
    </row>
    <row r="22" spans="1:32" x14ac:dyDescent="0.2">
      <c r="A22" s="196">
        <v>110</v>
      </c>
      <c r="B22" s="198">
        <v>2.2959999999999998</v>
      </c>
      <c r="C22" s="198">
        <v>11.7</v>
      </c>
      <c r="D22" s="198">
        <v>0.68269999999999997</v>
      </c>
      <c r="E22" s="197">
        <f t="shared" si="0"/>
        <v>0.301893371324018</v>
      </c>
      <c r="F22" s="197">
        <f t="shared" si="1"/>
        <v>1.0028680718615182</v>
      </c>
      <c r="G22" s="198">
        <v>3.7150000000000002E-2</v>
      </c>
      <c r="H22" s="198">
        <v>7.4359999999999996E-2</v>
      </c>
      <c r="I22" s="198">
        <v>0.47520000000000001</v>
      </c>
      <c r="J22" s="197">
        <f t="shared" si="2"/>
        <v>18.658066771465553</v>
      </c>
      <c r="K22" s="197">
        <f t="shared" si="3"/>
        <v>61.980756204415769</v>
      </c>
      <c r="L22" s="198">
        <v>1.336E-2</v>
      </c>
      <c r="M22" s="198">
        <v>3.5209999999999998E-2</v>
      </c>
      <c r="N22" s="198">
        <v>0.9244</v>
      </c>
      <c r="O22" s="197">
        <f t="shared" si="4"/>
        <v>51.882273994007882</v>
      </c>
      <c r="P22" s="197">
        <f t="shared" si="5"/>
        <v>172.34918360733877</v>
      </c>
      <c r="Q22" s="184">
        <v>0.28489999999999999</v>
      </c>
      <c r="R22" s="198">
        <v>2.0609999999999999</v>
      </c>
      <c r="S22" s="198">
        <v>0.78969999999999996</v>
      </c>
      <c r="T22" s="197">
        <f t="shared" si="6"/>
        <v>2.4329490367144446</v>
      </c>
      <c r="U22" s="197">
        <f t="shared" si="7"/>
        <v>8.08208175849086</v>
      </c>
      <c r="V22" s="198">
        <v>4.0079999999999998E-2</v>
      </c>
      <c r="W22" s="198">
        <v>8.047E-2</v>
      </c>
      <c r="X22" s="198">
        <v>1.03</v>
      </c>
      <c r="Y22" s="197">
        <f t="shared" si="8"/>
        <v>17.294091331335963</v>
      </c>
      <c r="Z22" s="197">
        <f t="shared" si="9"/>
        <v>57.449727869112927</v>
      </c>
      <c r="AA22" s="198">
        <v>6.9210000000000001E-3</v>
      </c>
      <c r="AB22" s="198">
        <v>1.9760000000000001E-4</v>
      </c>
      <c r="AC22" s="198">
        <v>3.3090000000000002</v>
      </c>
      <c r="AD22" s="197">
        <f t="shared" si="10"/>
        <v>100.15130480565601</v>
      </c>
      <c r="AE22" s="197">
        <f t="shared" si="11"/>
        <v>332.69543317353646</v>
      </c>
      <c r="AF22" s="190">
        <f t="shared" si="12"/>
        <v>5.6642840000000003</v>
      </c>
    </row>
    <row r="23" spans="1:32" x14ac:dyDescent="0.2">
      <c r="A23" s="196">
        <v>115</v>
      </c>
      <c r="B23" s="198">
        <v>2.2650000000000001</v>
      </c>
      <c r="C23" s="198">
        <v>10.210000000000001</v>
      </c>
      <c r="D23" s="198">
        <v>0.63629999999999998</v>
      </c>
      <c r="E23" s="197">
        <f t="shared" si="0"/>
        <v>0.30602524528032904</v>
      </c>
      <c r="F23" s="197">
        <f t="shared" si="1"/>
        <v>1.0165938600415214</v>
      </c>
      <c r="G23" s="198">
        <v>3.6360000000000003E-2</v>
      </c>
      <c r="H23" s="198">
        <v>7.2010000000000005E-2</v>
      </c>
      <c r="I23" s="198">
        <v>0.53190000000000004</v>
      </c>
      <c r="J23" s="197">
        <f t="shared" si="2"/>
        <v>19.063453810779571</v>
      </c>
      <c r="K23" s="197">
        <f t="shared" si="3"/>
        <v>63.327422799616215</v>
      </c>
      <c r="L23" s="198">
        <v>1.2829999999999999E-2</v>
      </c>
      <c r="M23" s="198">
        <v>6.2710000000000002E-2</v>
      </c>
      <c r="N23" s="198">
        <v>0.94230000000000003</v>
      </c>
      <c r="O23" s="197">
        <f t="shared" si="4"/>
        <v>54.025501212778281</v>
      </c>
      <c r="P23" s="197">
        <f t="shared" si="5"/>
        <v>179.46883031909945</v>
      </c>
      <c r="Q23" s="184">
        <v>0.25790000000000002</v>
      </c>
      <c r="R23" s="198">
        <v>1.9219999999999999</v>
      </c>
      <c r="S23" s="198">
        <v>0.80079999999999996</v>
      </c>
      <c r="T23" s="197">
        <f t="shared" si="6"/>
        <v>2.6876587070955611</v>
      </c>
      <c r="U23" s="197">
        <f t="shared" si="7"/>
        <v>8.9282089685693897</v>
      </c>
      <c r="V23" s="198">
        <v>3.8780000000000002E-2</v>
      </c>
      <c r="W23" s="198">
        <v>7.3940000000000006E-2</v>
      </c>
      <c r="X23" s="198">
        <v>1.0329999999999999</v>
      </c>
      <c r="Y23" s="197">
        <f t="shared" si="8"/>
        <v>17.873831370808283</v>
      </c>
      <c r="Z23" s="197">
        <f t="shared" si="9"/>
        <v>59.375582593967138</v>
      </c>
      <c r="AA23" s="198">
        <v>6.8640000000000003E-3</v>
      </c>
      <c r="AB23" s="198">
        <v>-3.9080000000000001E-4</v>
      </c>
      <c r="AC23" s="198">
        <v>0.64690000000000003</v>
      </c>
      <c r="AD23" s="197">
        <f t="shared" si="10"/>
        <v>100.98298085080788</v>
      </c>
      <c r="AE23" s="197">
        <f t="shared" si="11"/>
        <v>335.45820119377123</v>
      </c>
      <c r="AF23" s="190">
        <f t="shared" si="12"/>
        <v>6.1660109999999984</v>
      </c>
    </row>
    <row r="24" spans="1:32" x14ac:dyDescent="0.2">
      <c r="A24" s="196">
        <v>120</v>
      </c>
      <c r="B24" s="198">
        <v>2.246</v>
      </c>
      <c r="C24" s="198">
        <v>8.9499999999999993</v>
      </c>
      <c r="D24" s="198">
        <v>0.58730000000000004</v>
      </c>
      <c r="E24" s="197">
        <f t="shared" si="0"/>
        <v>0.30861406080140041</v>
      </c>
      <c r="F24" s="197">
        <f t="shared" si="1"/>
        <v>1.0251937190534488</v>
      </c>
      <c r="G24" s="198">
        <v>3.5659999999999997E-2</v>
      </c>
      <c r="H24" s="198">
        <v>7.109E-2</v>
      </c>
      <c r="I24" s="198">
        <v>0.60729999999999995</v>
      </c>
      <c r="J24" s="197">
        <f t="shared" si="2"/>
        <v>19.437666308467339</v>
      </c>
      <c r="K24" s="197">
        <f t="shared" si="3"/>
        <v>64.570529809143181</v>
      </c>
      <c r="L24" s="198">
        <v>1.235E-2</v>
      </c>
      <c r="M24" s="198">
        <v>3.0470000000000001E-2</v>
      </c>
      <c r="N24" s="198">
        <v>0.95660000000000001</v>
      </c>
      <c r="O24" s="197">
        <f t="shared" si="4"/>
        <v>56.125277778133224</v>
      </c>
      <c r="P24" s="197">
        <f t="shared" si="5"/>
        <v>186.44413708453814</v>
      </c>
      <c r="Q24" s="184">
        <v>0.2336</v>
      </c>
      <c r="R24" s="198">
        <v>1.7969999999999999</v>
      </c>
      <c r="S24" s="198">
        <v>0.81159999999999999</v>
      </c>
      <c r="T24" s="197">
        <f t="shared" si="6"/>
        <v>2.9672396428079848</v>
      </c>
      <c r="U24" s="197">
        <f t="shared" si="7"/>
        <v>9.8569567337073867</v>
      </c>
      <c r="V24" s="198">
        <v>3.7580000000000002E-2</v>
      </c>
      <c r="W24" s="198">
        <v>6.8080000000000002E-2</v>
      </c>
      <c r="X24" s="198">
        <v>1.0309999999999999</v>
      </c>
      <c r="Y24" s="197">
        <f t="shared" si="8"/>
        <v>18.44457638530988</v>
      </c>
      <c r="Z24" s="197">
        <f t="shared" si="9"/>
        <v>61.271556492656885</v>
      </c>
      <c r="AA24" s="198">
        <v>6.7260000000000002E-3</v>
      </c>
      <c r="AB24" s="198">
        <v>-8.3080000000000003E-4</v>
      </c>
      <c r="AC24" s="198">
        <v>1.006</v>
      </c>
      <c r="AD24" s="197">
        <f t="shared" si="10"/>
        <v>103.05488857566834</v>
      </c>
      <c r="AE24" s="197">
        <f t="shared" si="11"/>
        <v>342.34092967499936</v>
      </c>
      <c r="AF24" s="190">
        <f t="shared" si="12"/>
        <v>6.6749920000000014</v>
      </c>
    </row>
    <row r="25" spans="1:32" x14ac:dyDescent="0.2">
      <c r="A25" s="196">
        <v>125</v>
      </c>
      <c r="B25" s="198">
        <v>2.2189999999999999</v>
      </c>
      <c r="C25" s="198">
        <v>7.923</v>
      </c>
      <c r="D25" s="198">
        <v>0.53859999999999997</v>
      </c>
      <c r="E25" s="197">
        <f t="shared" si="0"/>
        <v>0.31236916654346342</v>
      </c>
      <c r="F25" s="197">
        <f t="shared" si="1"/>
        <v>1.0376679103172808</v>
      </c>
      <c r="G25" s="198">
        <v>3.5020000000000003E-2</v>
      </c>
      <c r="H25" s="198">
        <v>7.1129999999999999E-2</v>
      </c>
      <c r="I25" s="198">
        <v>0.69740000000000002</v>
      </c>
      <c r="J25" s="197">
        <f t="shared" si="2"/>
        <v>19.792894933179475</v>
      </c>
      <c r="K25" s="197">
        <f t="shared" si="3"/>
        <v>65.750573757682631</v>
      </c>
      <c r="L25" s="198">
        <v>1.192E-2</v>
      </c>
      <c r="M25" s="198">
        <v>2.8629999999999999E-2</v>
      </c>
      <c r="N25" s="198">
        <v>0.96840000000000004</v>
      </c>
      <c r="O25" s="197">
        <f t="shared" si="4"/>
        <v>58.149931255028967</v>
      </c>
      <c r="P25" s="197">
        <f t="shared" si="5"/>
        <v>193.16989035184949</v>
      </c>
      <c r="Q25" s="184">
        <v>0.21299999999999999</v>
      </c>
      <c r="R25" s="198">
        <v>1.677</v>
      </c>
      <c r="S25" s="198">
        <v>0.82169999999999999</v>
      </c>
      <c r="T25" s="197">
        <f t="shared" si="6"/>
        <v>3.2542121153049077</v>
      </c>
      <c r="U25" s="197">
        <f t="shared" si="7"/>
        <v>10.810258652554207</v>
      </c>
      <c r="V25" s="198">
        <v>3.6519999999999997E-2</v>
      </c>
      <c r="W25" s="198">
        <v>6.3039999999999999E-2</v>
      </c>
      <c r="X25" s="198">
        <v>1.0309999999999999</v>
      </c>
      <c r="Y25" s="197">
        <f t="shared" si="8"/>
        <v>18.979933750272327</v>
      </c>
      <c r="Z25" s="197">
        <f t="shared" si="9"/>
        <v>63.049975164130508</v>
      </c>
      <c r="AA25" s="198">
        <v>6.5839999999999996E-3</v>
      </c>
      <c r="AB25" s="198">
        <v>-1.214E-3</v>
      </c>
      <c r="AC25" s="198">
        <v>1.1919999999999999</v>
      </c>
      <c r="AD25" s="197">
        <f t="shared" si="10"/>
        <v>105.27751831104881</v>
      </c>
      <c r="AE25" s="197">
        <f t="shared" si="11"/>
        <v>349.7243458374918</v>
      </c>
      <c r="AF25" s="190">
        <f t="shared" si="12"/>
        <v>7.1888749999999995</v>
      </c>
    </row>
    <row r="26" spans="1:32" x14ac:dyDescent="0.2">
      <c r="A26" s="196">
        <v>130</v>
      </c>
      <c r="B26" s="198">
        <v>2.17</v>
      </c>
      <c r="C26" s="198">
        <v>7.0940000000000003</v>
      </c>
      <c r="D26" s="198">
        <v>0.4909</v>
      </c>
      <c r="E26" s="197">
        <f t="shared" si="0"/>
        <v>0.31942266385250934</v>
      </c>
      <c r="F26" s="197">
        <f t="shared" si="1"/>
        <v>1.0610991211954128</v>
      </c>
      <c r="G26" s="198">
        <v>3.4450000000000001E-2</v>
      </c>
      <c r="H26" s="198">
        <v>7.1599999999999997E-2</v>
      </c>
      <c r="I26" s="198">
        <v>0.79690000000000005</v>
      </c>
      <c r="J26" s="197">
        <f t="shared" si="2"/>
        <v>20.120382599708137</v>
      </c>
      <c r="K26" s="197">
        <f t="shared" si="3"/>
        <v>66.838464237853287</v>
      </c>
      <c r="L26" s="198">
        <v>1.155E-2</v>
      </c>
      <c r="M26" s="198">
        <v>2.7019999999999999E-2</v>
      </c>
      <c r="N26" s="198">
        <v>0.98019999999999996</v>
      </c>
      <c r="O26" s="197">
        <f t="shared" si="4"/>
        <v>60.012742905622972</v>
      </c>
      <c r="P26" s="197">
        <f t="shared" si="5"/>
        <v>199.35801670944122</v>
      </c>
      <c r="Q26" s="184">
        <v>0.19689999999999999</v>
      </c>
      <c r="R26" s="198">
        <v>1.5569999999999999</v>
      </c>
      <c r="S26" s="198">
        <v>0.83089999999999997</v>
      </c>
      <c r="T26" s="197">
        <f t="shared" si="6"/>
        <v>3.5203005615030234</v>
      </c>
      <c r="U26" s="197">
        <f t="shared" si="7"/>
        <v>11.694185337704651</v>
      </c>
      <c r="V26" s="198">
        <v>3.5610000000000003E-2</v>
      </c>
      <c r="W26" s="198">
        <v>5.8740000000000001E-2</v>
      </c>
      <c r="X26" s="198">
        <v>1.0369999999999999</v>
      </c>
      <c r="Y26" s="197">
        <f t="shared" si="8"/>
        <v>19.464958735185206</v>
      </c>
      <c r="Z26" s="197">
        <f t="shared" si="9"/>
        <v>64.661193288234927</v>
      </c>
      <c r="AA26" s="198">
        <v>6.4720000000000003E-3</v>
      </c>
      <c r="AB26" s="198">
        <v>-1.539E-3</v>
      </c>
      <c r="AC26" s="198">
        <v>1.2849999999999999</v>
      </c>
      <c r="AD26" s="197">
        <f t="shared" si="10"/>
        <v>107.09937894931169</v>
      </c>
      <c r="AE26" s="197">
        <f t="shared" si="11"/>
        <v>355.77643587670667</v>
      </c>
      <c r="AF26" s="190">
        <f t="shared" si="12"/>
        <v>7.7053080000000005</v>
      </c>
    </row>
    <row r="27" spans="1:32" x14ac:dyDescent="0.2">
      <c r="A27" s="196">
        <v>135</v>
      </c>
      <c r="B27" s="198">
        <v>2.1019999999999999</v>
      </c>
      <c r="C27" s="198">
        <v>6.45</v>
      </c>
      <c r="D27" s="198">
        <v>0.44690000000000002</v>
      </c>
      <c r="E27" s="197">
        <f t="shared" si="0"/>
        <v>0.32975603261652964</v>
      </c>
      <c r="F27" s="197">
        <f t="shared" si="1"/>
        <v>1.0954258292074432</v>
      </c>
      <c r="G27" s="198">
        <v>3.3939999999999998E-2</v>
      </c>
      <c r="H27" s="198">
        <v>7.263E-2</v>
      </c>
      <c r="I27" s="198">
        <v>0.90990000000000004</v>
      </c>
      <c r="J27" s="197">
        <f t="shared" si="2"/>
        <v>20.4227218786077</v>
      </c>
      <c r="K27" s="197">
        <f t="shared" si="3"/>
        <v>67.842813582617737</v>
      </c>
      <c r="L27" s="198">
        <v>1.1220000000000001E-2</v>
      </c>
      <c r="M27" s="198">
        <v>2.5610000000000001E-2</v>
      </c>
      <c r="N27" s="198">
        <v>0.99009999999999998</v>
      </c>
      <c r="O27" s="197">
        <f t="shared" si="4"/>
        <v>61.777823579317754</v>
      </c>
      <c r="P27" s="197">
        <f t="shared" si="5"/>
        <v>205.22148778913061</v>
      </c>
      <c r="Q27" s="184">
        <v>0.18379999999999999</v>
      </c>
      <c r="R27" s="198">
        <v>1.44</v>
      </c>
      <c r="S27" s="198">
        <v>0.83909999999999996</v>
      </c>
      <c r="T27" s="197">
        <f t="shared" si="6"/>
        <v>3.7712033762782662</v>
      </c>
      <c r="U27" s="197">
        <f t="shared" si="7"/>
        <v>12.52766644719285</v>
      </c>
      <c r="V27" s="198">
        <v>3.4810000000000001E-2</v>
      </c>
      <c r="W27" s="198">
        <v>5.5190000000000003E-2</v>
      </c>
      <c r="X27" s="198">
        <v>1.0489999999999999</v>
      </c>
      <c r="Y27" s="197">
        <f t="shared" si="8"/>
        <v>19.912300504451171</v>
      </c>
      <c r="Z27" s="197">
        <f t="shared" si="9"/>
        <v>66.147230479576152</v>
      </c>
      <c r="AA27" s="198">
        <v>6.306E-3</v>
      </c>
      <c r="AB27" s="198">
        <v>-1.7309999999999999E-3</v>
      </c>
      <c r="AC27" s="198">
        <v>1.4650000000000001</v>
      </c>
      <c r="AD27" s="197">
        <f t="shared" si="10"/>
        <v>109.91867753884321</v>
      </c>
      <c r="AE27" s="197">
        <f t="shared" si="11"/>
        <v>365.14194306914777</v>
      </c>
      <c r="AF27" s="190">
        <f t="shared" si="12"/>
        <v>8.221938999999999</v>
      </c>
    </row>
    <row r="28" spans="1:32" x14ac:dyDescent="0.2">
      <c r="A28" s="196">
        <v>140</v>
      </c>
      <c r="B28" s="198">
        <v>2.0089999999999999</v>
      </c>
      <c r="C28" s="198">
        <v>5.9160000000000004</v>
      </c>
      <c r="D28" s="198">
        <v>0.40179999999999999</v>
      </c>
      <c r="E28" s="197">
        <f t="shared" si="0"/>
        <v>0.34502099579887774</v>
      </c>
      <c r="F28" s="197">
        <f t="shared" si="1"/>
        <v>1.1461349392703066</v>
      </c>
      <c r="G28" s="198">
        <v>3.3450000000000001E-2</v>
      </c>
      <c r="H28" s="198">
        <v>7.4759999999999993E-2</v>
      </c>
      <c r="I28" s="198">
        <v>1.0469999999999999</v>
      </c>
      <c r="J28" s="197">
        <f t="shared" si="2"/>
        <v>20.721888805977436</v>
      </c>
      <c r="K28" s="197">
        <f t="shared" si="3"/>
        <v>68.836624603708387</v>
      </c>
      <c r="L28" s="198">
        <v>1.0880000000000001E-2</v>
      </c>
      <c r="M28" s="198">
        <v>2.436E-2</v>
      </c>
      <c r="N28" s="198">
        <v>0.99639999999999995</v>
      </c>
      <c r="O28" s="197">
        <f t="shared" si="4"/>
        <v>63.708380566171435</v>
      </c>
      <c r="P28" s="197">
        <f t="shared" si="5"/>
        <v>211.63465928254095</v>
      </c>
      <c r="Q28" s="184">
        <v>0.1724</v>
      </c>
      <c r="R28" s="198">
        <v>1.3280000000000001</v>
      </c>
      <c r="S28" s="198">
        <v>0.8458</v>
      </c>
      <c r="T28" s="197">
        <f t="shared" si="6"/>
        <v>4.0205752932711443</v>
      </c>
      <c r="U28" s="197">
        <f t="shared" si="7"/>
        <v>13.356062024327411</v>
      </c>
      <c r="V28" s="198">
        <v>3.4070000000000003E-2</v>
      </c>
      <c r="W28" s="198">
        <v>5.1450000000000003E-2</v>
      </c>
      <c r="X28" s="198">
        <v>1.0569999999999999</v>
      </c>
      <c r="Y28" s="197">
        <f t="shared" si="8"/>
        <v>20.344795437626804</v>
      </c>
      <c r="Z28" s="197">
        <f t="shared" si="9"/>
        <v>67.583947548988718</v>
      </c>
      <c r="AA28" s="198">
        <v>6.1910000000000003E-3</v>
      </c>
      <c r="AB28" s="198">
        <v>-1.8489999999999999E-3</v>
      </c>
      <c r="AC28" s="198">
        <v>1.53</v>
      </c>
      <c r="AD28" s="197">
        <f t="shared" si="10"/>
        <v>111.96045559036428</v>
      </c>
      <c r="AE28" s="197">
        <f t="shared" si="11"/>
        <v>371.92458294201998</v>
      </c>
      <c r="AF28" s="190">
        <f t="shared" si="12"/>
        <v>8.7364160000000002</v>
      </c>
    </row>
    <row r="29" spans="1:32" x14ac:dyDescent="0.2">
      <c r="A29" s="196">
        <v>145</v>
      </c>
      <c r="B29" s="198">
        <v>1.895</v>
      </c>
      <c r="C29" s="198">
        <v>5.4980000000000002</v>
      </c>
      <c r="D29" s="198">
        <v>0.35799999999999998</v>
      </c>
      <c r="E29" s="197">
        <f t="shared" si="0"/>
        <v>0.36577687628493155</v>
      </c>
      <c r="F29" s="197">
        <f t="shared" si="1"/>
        <v>1.2150844817910531</v>
      </c>
      <c r="G29" s="198">
        <v>3.2960000000000003E-2</v>
      </c>
      <c r="H29" s="198">
        <v>7.8750000000000001E-2</v>
      </c>
      <c r="I29" s="198">
        <v>1.224</v>
      </c>
      <c r="J29" s="197">
        <f t="shared" si="2"/>
        <v>21.029950866503192</v>
      </c>
      <c r="K29" s="197">
        <f t="shared" si="3"/>
        <v>69.859984617537791</v>
      </c>
      <c r="L29" s="198">
        <v>1.056E-2</v>
      </c>
      <c r="M29" s="198">
        <v>2.3130000000000001E-2</v>
      </c>
      <c r="N29" s="198">
        <v>0.99870000000000003</v>
      </c>
      <c r="O29" s="197">
        <f t="shared" si="4"/>
        <v>65.638937553025116</v>
      </c>
      <c r="P29" s="197">
        <f t="shared" si="5"/>
        <v>218.0478307759513</v>
      </c>
      <c r="Q29" s="184">
        <v>0.16159999999999999</v>
      </c>
      <c r="R29" s="198">
        <v>1.2250000000000001</v>
      </c>
      <c r="S29" s="198">
        <v>0.85189999999999999</v>
      </c>
      <c r="T29" s="197">
        <f t="shared" si="6"/>
        <v>4.2892771074254039</v>
      </c>
      <c r="U29" s="197">
        <f t="shared" si="7"/>
        <v>14.24867012991365</v>
      </c>
      <c r="V29" s="198">
        <v>3.3360000000000001E-2</v>
      </c>
      <c r="W29" s="198">
        <v>4.795E-2</v>
      </c>
      <c r="X29" s="198">
        <v>1.0629999999999999</v>
      </c>
      <c r="Y29" s="197">
        <f t="shared" si="8"/>
        <v>20.777793182252555</v>
      </c>
      <c r="Z29" s="197">
        <f t="shared" si="9"/>
        <v>69.022334921883868</v>
      </c>
      <c r="AA29" s="198">
        <v>6.1149999999999998E-3</v>
      </c>
      <c r="AB29" s="198">
        <v>-1.869E-3</v>
      </c>
      <c r="AC29" s="198">
        <v>1.498</v>
      </c>
      <c r="AD29" s="197">
        <f t="shared" si="10"/>
        <v>113.35195103187985</v>
      </c>
      <c r="AE29" s="197">
        <f t="shared" si="11"/>
        <v>376.54703074309822</v>
      </c>
      <c r="AF29" s="190">
        <f t="shared" si="12"/>
        <v>9.2463870000000004</v>
      </c>
    </row>
    <row r="30" spans="1:32" x14ac:dyDescent="0.2">
      <c r="A30" s="196">
        <v>150</v>
      </c>
      <c r="B30" s="198">
        <v>1.7569999999999999</v>
      </c>
      <c r="C30" s="198">
        <v>5.1769999999999996</v>
      </c>
      <c r="D30" s="198">
        <v>0.31559999999999999</v>
      </c>
      <c r="E30" s="197">
        <f t="shared" si="0"/>
        <v>0.39450607886166494</v>
      </c>
      <c r="F30" s="197">
        <f t="shared" si="1"/>
        <v>1.3105208269744142</v>
      </c>
      <c r="G30" s="198">
        <v>3.243E-2</v>
      </c>
      <c r="H30" s="198">
        <v>8.5989999999999997E-2</v>
      </c>
      <c r="I30" s="198">
        <v>1.4670000000000001</v>
      </c>
      <c r="J30" s="197">
        <f t="shared" si="2"/>
        <v>21.373641090346755</v>
      </c>
      <c r="K30" s="197">
        <f t="shared" si="3"/>
        <v>71.001698828061848</v>
      </c>
      <c r="L30" s="198">
        <v>1.03E-2</v>
      </c>
      <c r="M30" s="198">
        <v>2.198E-2</v>
      </c>
      <c r="N30" s="198">
        <v>1.0129999999999999</v>
      </c>
      <c r="O30" s="197">
        <f t="shared" si="4"/>
        <v>67.295842772810218</v>
      </c>
      <c r="P30" s="197">
        <f t="shared" si="5"/>
        <v>223.55195077612095</v>
      </c>
      <c r="Q30" s="184">
        <v>0.15010000000000001</v>
      </c>
      <c r="R30" s="198">
        <v>1.1319999999999999</v>
      </c>
      <c r="S30" s="198">
        <v>0.85660000000000003</v>
      </c>
      <c r="T30" s="197">
        <f t="shared" si="6"/>
        <v>4.6179026019983027</v>
      </c>
      <c r="U30" s="197">
        <f t="shared" si="7"/>
        <v>15.340340393031617</v>
      </c>
      <c r="V30" s="198">
        <v>3.2660000000000002E-2</v>
      </c>
      <c r="W30" s="198">
        <v>4.4909999999999999E-2</v>
      </c>
      <c r="X30" s="198">
        <v>1.073</v>
      </c>
      <c r="Y30" s="197">
        <f t="shared" si="8"/>
        <v>21.223122491118961</v>
      </c>
      <c r="Z30" s="197">
        <f t="shared" si="9"/>
        <v>70.501686864483943</v>
      </c>
      <c r="AA30" s="198">
        <v>6.0200000000000002E-3</v>
      </c>
      <c r="AB30" s="198">
        <v>-1.7520000000000001E-3</v>
      </c>
      <c r="AC30" s="198">
        <v>1.4830000000000001</v>
      </c>
      <c r="AD30" s="197">
        <f t="shared" si="10"/>
        <v>115.14072766776499</v>
      </c>
      <c r="AE30" s="197">
        <f t="shared" si="11"/>
        <v>382.48921810532318</v>
      </c>
      <c r="AF30" s="190">
        <f t="shared" si="12"/>
        <v>9.7495000000000012</v>
      </c>
    </row>
    <row r="31" spans="1:32" ht="13.5" thickBot="1" x14ac:dyDescent="0.25">
      <c r="A31" s="199"/>
      <c r="B31" s="200"/>
      <c r="C31" s="200"/>
      <c r="D31" s="200"/>
      <c r="E31" s="200"/>
      <c r="F31" s="201"/>
      <c r="G31" s="200"/>
      <c r="H31" s="200"/>
      <c r="I31" s="200"/>
      <c r="J31" s="200"/>
      <c r="K31" s="201"/>
      <c r="L31" s="200"/>
      <c r="M31" s="200"/>
      <c r="N31" s="200"/>
      <c r="O31" s="200"/>
      <c r="P31" s="201"/>
      <c r="Q31" s="202"/>
      <c r="R31" s="200"/>
      <c r="S31" s="200"/>
      <c r="T31" s="200"/>
      <c r="U31" s="201"/>
      <c r="V31" s="200"/>
      <c r="W31" s="200"/>
      <c r="X31" s="200"/>
      <c r="Y31" s="200"/>
      <c r="Z31" s="201"/>
      <c r="AA31" s="200"/>
      <c r="AB31" s="200"/>
      <c r="AC31" s="200"/>
      <c r="AD31" s="200"/>
      <c r="AE31" s="201"/>
      <c r="AF31" s="203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opLeftCell="A19" zoomScaleNormal="100" workbookViewId="0">
      <selection activeCell="O29" sqref="O29"/>
    </sheetView>
  </sheetViews>
  <sheetFormatPr defaultRowHeight="12.75" x14ac:dyDescent="0.2"/>
  <cols>
    <col min="1" max="1" width="18.5" style="210" customWidth="1"/>
    <col min="2" max="2" width="10.6640625" style="210" customWidth="1"/>
    <col min="3" max="3" width="8.33203125" style="210" customWidth="1"/>
    <col min="4" max="4" width="13" style="210" customWidth="1"/>
    <col min="5" max="5" width="12.33203125" style="210" customWidth="1"/>
    <col min="6" max="6" width="14.1640625" style="210" customWidth="1"/>
    <col min="7" max="7" width="13.83203125" style="210" customWidth="1"/>
    <col min="8" max="8" width="9.5" style="210" bestFit="1" customWidth="1"/>
    <col min="9" max="9" width="10.1640625" style="210" bestFit="1" customWidth="1"/>
    <col min="10" max="10" width="9.33203125" style="210" customWidth="1"/>
    <col min="11" max="11" width="9.33203125" style="210"/>
    <col min="12" max="15" width="9.33203125" style="210" customWidth="1"/>
    <col min="16" max="16" width="10" style="210" bestFit="1" customWidth="1"/>
    <col min="17" max="16384" width="9.33203125" style="210"/>
  </cols>
  <sheetData>
    <row r="1" spans="1:19" x14ac:dyDescent="0.2">
      <c r="A1" s="209" t="s">
        <v>128</v>
      </c>
      <c r="B1" s="209"/>
      <c r="C1" s="209"/>
      <c r="D1" s="209"/>
      <c r="J1" s="266" t="s">
        <v>142</v>
      </c>
      <c r="K1" s="265"/>
      <c r="L1" s="265"/>
      <c r="M1" s="265"/>
      <c r="N1" s="265"/>
      <c r="O1" s="265"/>
      <c r="P1" s="265"/>
      <c r="Q1" s="265"/>
      <c r="R1" s="265"/>
      <c r="S1" s="264"/>
    </row>
    <row r="2" spans="1:19" x14ac:dyDescent="0.2">
      <c r="A2" s="211" t="s">
        <v>129</v>
      </c>
      <c r="B2" s="209"/>
      <c r="C2" s="209"/>
      <c r="D2" s="209"/>
      <c r="J2" s="278" t="s">
        <v>143</v>
      </c>
      <c r="K2" s="216"/>
      <c r="L2" s="216"/>
      <c r="M2" s="216"/>
      <c r="N2" s="216"/>
      <c r="O2" s="216"/>
      <c r="P2" s="216"/>
      <c r="Q2" s="216"/>
      <c r="R2" s="216"/>
      <c r="S2" s="276"/>
    </row>
    <row r="3" spans="1:19" x14ac:dyDescent="0.2">
      <c r="A3" s="209" t="s">
        <v>130</v>
      </c>
      <c r="B3" s="209"/>
      <c r="C3" s="209"/>
      <c r="D3" s="209"/>
      <c r="J3" s="278" t="s">
        <v>144</v>
      </c>
      <c r="K3" s="216"/>
      <c r="L3" s="216"/>
      <c r="M3" s="216"/>
      <c r="N3" s="216"/>
      <c r="O3" s="216"/>
      <c r="P3" s="216"/>
      <c r="Q3" s="216"/>
      <c r="R3" s="216"/>
      <c r="S3" s="276"/>
    </row>
    <row r="4" spans="1:19" x14ac:dyDescent="0.2">
      <c r="J4" s="278" t="s">
        <v>145</v>
      </c>
      <c r="K4" s="216"/>
      <c r="L4" s="216"/>
      <c r="M4" s="216"/>
      <c r="N4" s="216"/>
      <c r="O4" s="216"/>
      <c r="P4" s="216"/>
      <c r="Q4" s="216"/>
      <c r="R4" s="216"/>
      <c r="S4" s="276"/>
    </row>
    <row r="5" spans="1:19" x14ac:dyDescent="0.2">
      <c r="J5" s="281" t="s">
        <v>181</v>
      </c>
      <c r="K5" s="216"/>
      <c r="L5" s="216"/>
      <c r="M5" s="216"/>
      <c r="N5" s="216"/>
      <c r="O5" s="216"/>
      <c r="P5" s="216"/>
      <c r="Q5" s="216"/>
      <c r="R5" s="216"/>
      <c r="S5" s="276"/>
    </row>
    <row r="6" spans="1:19" x14ac:dyDescent="0.2">
      <c r="A6" s="209" t="s">
        <v>131</v>
      </c>
      <c r="J6" s="281" t="s">
        <v>180</v>
      </c>
      <c r="K6" s="216"/>
      <c r="L6" s="216"/>
      <c r="M6" s="216"/>
      <c r="N6" s="216"/>
      <c r="O6" s="216"/>
      <c r="P6" s="216"/>
      <c r="Q6" s="216"/>
      <c r="R6" s="216"/>
      <c r="S6" s="276"/>
    </row>
    <row r="7" spans="1:19" x14ac:dyDescent="0.2">
      <c r="J7" s="278"/>
      <c r="K7" s="216"/>
      <c r="L7" s="216"/>
      <c r="M7" s="216"/>
      <c r="N7" s="216"/>
      <c r="O7" s="216"/>
      <c r="P7" s="216"/>
      <c r="Q7" s="216"/>
      <c r="R7" s="216"/>
      <c r="S7" s="276"/>
    </row>
    <row r="8" spans="1:19" ht="13.5" thickBot="1" x14ac:dyDescent="0.25">
      <c r="J8" s="275"/>
      <c r="K8" s="274"/>
      <c r="L8" s="274"/>
      <c r="M8" s="274"/>
      <c r="N8" s="274"/>
      <c r="O8" s="274"/>
      <c r="P8" s="274"/>
      <c r="Q8" s="274"/>
      <c r="R8" s="274"/>
      <c r="S8" s="271"/>
    </row>
    <row r="9" spans="1:19" ht="13.5" thickBot="1" x14ac:dyDescent="0.25">
      <c r="A9" s="209" t="s">
        <v>132</v>
      </c>
    </row>
    <row r="10" spans="1:19" x14ac:dyDescent="0.2">
      <c r="J10" s="266" t="s">
        <v>146</v>
      </c>
      <c r="K10" s="265"/>
      <c r="L10" s="265"/>
      <c r="M10" s="265"/>
      <c r="N10" s="265"/>
      <c r="O10" s="265"/>
      <c r="P10" s="265"/>
      <c r="Q10" s="265"/>
      <c r="R10" s="265"/>
      <c r="S10" s="264"/>
    </row>
    <row r="11" spans="1:19" x14ac:dyDescent="0.2">
      <c r="J11" s="278" t="s">
        <v>147</v>
      </c>
      <c r="K11" s="216"/>
      <c r="L11" s="216"/>
      <c r="M11" s="216"/>
      <c r="N11" s="216"/>
      <c r="O11" s="216"/>
      <c r="P11" s="216"/>
      <c r="Q11" s="216"/>
      <c r="R11" s="216"/>
      <c r="S11" s="276"/>
    </row>
    <row r="12" spans="1:19" x14ac:dyDescent="0.2">
      <c r="J12" s="278" t="s">
        <v>148</v>
      </c>
      <c r="K12" s="216"/>
      <c r="L12" s="216"/>
      <c r="M12" s="216"/>
      <c r="N12" s="216"/>
      <c r="O12" s="216"/>
      <c r="P12" s="216"/>
      <c r="Q12" s="216"/>
      <c r="R12" s="216"/>
      <c r="S12" s="276"/>
    </row>
    <row r="13" spans="1:19" ht="13.5" thickBot="1" x14ac:dyDescent="0.25">
      <c r="A13" s="212" t="s">
        <v>133</v>
      </c>
      <c r="B13" s="213" t="s">
        <v>134</v>
      </c>
      <c r="C13" s="214"/>
      <c r="J13" s="278"/>
      <c r="K13" s="216"/>
      <c r="L13" s="216"/>
      <c r="M13" s="216"/>
      <c r="N13" s="216"/>
      <c r="O13" s="216"/>
      <c r="P13" s="216"/>
      <c r="Q13" s="216"/>
      <c r="R13" s="216"/>
      <c r="S13" s="276"/>
    </row>
    <row r="14" spans="1:19" ht="13.5" thickTop="1" x14ac:dyDescent="0.2">
      <c r="A14" s="280"/>
      <c r="B14" s="217"/>
      <c r="C14" s="218"/>
      <c r="J14" s="278" t="s">
        <v>149</v>
      </c>
      <c r="K14" s="216"/>
      <c r="L14" s="216"/>
      <c r="M14" s="216"/>
      <c r="N14" s="216"/>
      <c r="O14" s="216"/>
      <c r="P14" s="216"/>
      <c r="Q14" s="216"/>
      <c r="R14" s="216"/>
      <c r="S14" s="276"/>
    </row>
    <row r="15" spans="1:19" x14ac:dyDescent="0.2">
      <c r="A15" s="280"/>
      <c r="B15" s="217"/>
      <c r="C15" s="218"/>
      <c r="J15" s="278" t="s">
        <v>150</v>
      </c>
      <c r="K15" s="216"/>
      <c r="L15" s="216"/>
      <c r="M15" s="216"/>
      <c r="N15" s="216"/>
      <c r="O15" s="216"/>
      <c r="P15" s="216"/>
      <c r="Q15" s="216"/>
      <c r="R15" s="216"/>
      <c r="S15" s="276"/>
    </row>
    <row r="16" spans="1:19" ht="13.5" thickBot="1" x14ac:dyDescent="0.25">
      <c r="A16" s="219"/>
      <c r="B16" s="221"/>
      <c r="C16" s="222"/>
      <c r="J16" s="275" t="s">
        <v>151</v>
      </c>
      <c r="K16" s="274"/>
      <c r="L16" s="274"/>
      <c r="M16" s="274"/>
      <c r="N16" s="274"/>
      <c r="O16" s="274"/>
      <c r="P16" s="274"/>
      <c r="Q16" s="274"/>
      <c r="R16" s="274"/>
      <c r="S16" s="271"/>
    </row>
    <row r="17" spans="1:22" ht="13.5" thickBot="1" x14ac:dyDescent="0.25"/>
    <row r="18" spans="1:22" x14ac:dyDescent="0.2">
      <c r="A18" s="223" t="s">
        <v>135</v>
      </c>
      <c r="B18" s="224"/>
      <c r="C18" s="224"/>
      <c r="D18" s="224"/>
      <c r="E18" s="224"/>
      <c r="F18" s="224"/>
      <c r="G18" s="215"/>
      <c r="H18" s="216"/>
      <c r="I18" s="216"/>
      <c r="J18" s="266" t="s">
        <v>152</v>
      </c>
      <c r="K18" s="265"/>
      <c r="L18" s="265"/>
      <c r="M18" s="265"/>
      <c r="N18" s="264"/>
      <c r="P18" s="279"/>
      <c r="Q18" s="294" t="s">
        <v>176</v>
      </c>
      <c r="R18" s="294"/>
      <c r="S18" s="294"/>
      <c r="T18" s="294"/>
      <c r="U18" s="294"/>
      <c r="V18" s="295"/>
    </row>
    <row r="19" spans="1:22" x14ac:dyDescent="0.2">
      <c r="A19" s="215"/>
      <c r="B19" s="269" t="s">
        <v>136</v>
      </c>
      <c r="C19" s="39"/>
      <c r="D19" s="216"/>
      <c r="E19" s="269" t="s">
        <v>139</v>
      </c>
      <c r="F19" s="235">
        <f>+C19*C20*5</f>
        <v>0</v>
      </c>
      <c r="G19" s="215"/>
      <c r="H19" s="216"/>
      <c r="I19" s="216"/>
      <c r="J19" s="278" t="s">
        <v>153</v>
      </c>
      <c r="K19" s="216"/>
      <c r="L19" s="261">
        <v>5</v>
      </c>
      <c r="M19" s="277" t="s">
        <v>179</v>
      </c>
      <c r="N19" s="276"/>
      <c r="P19" s="215"/>
      <c r="Q19" s="296" t="s">
        <v>175</v>
      </c>
      <c r="R19" s="296"/>
      <c r="S19" s="296"/>
      <c r="T19" s="297" t="s">
        <v>95</v>
      </c>
      <c r="U19" s="297"/>
      <c r="V19" s="298"/>
    </row>
    <row r="20" spans="1:22" ht="13.5" thickBot="1" x14ac:dyDescent="0.25">
      <c r="A20" s="215"/>
      <c r="B20" s="269" t="s">
        <v>137</v>
      </c>
      <c r="C20" s="39"/>
      <c r="D20" s="216"/>
      <c r="E20" s="270" t="s">
        <v>140</v>
      </c>
      <c r="F20" s="235">
        <f>+F19*52</f>
        <v>0</v>
      </c>
      <c r="G20" s="215"/>
      <c r="H20" s="216"/>
      <c r="I20" s="216"/>
      <c r="J20" s="275" t="s">
        <v>154</v>
      </c>
      <c r="K20" s="274"/>
      <c r="L20" s="273">
        <v>1</v>
      </c>
      <c r="M20" s="272" t="s">
        <v>179</v>
      </c>
      <c r="N20" s="271"/>
      <c r="P20" s="29" t="s">
        <v>37</v>
      </c>
      <c r="Q20" s="15" t="s">
        <v>40</v>
      </c>
      <c r="R20" s="15" t="s">
        <v>41</v>
      </c>
      <c r="S20" s="251" t="s">
        <v>42</v>
      </c>
      <c r="T20" s="15" t="s">
        <v>40</v>
      </c>
      <c r="U20" s="15" t="s">
        <v>41</v>
      </c>
      <c r="V20" s="251" t="s">
        <v>42</v>
      </c>
    </row>
    <row r="21" spans="1:22" ht="13.5" thickBot="1" x14ac:dyDescent="0.25">
      <c r="A21" s="215"/>
      <c r="B21" s="268" t="s">
        <v>178</v>
      </c>
      <c r="C21" s="39"/>
      <c r="D21" s="216"/>
      <c r="E21" s="270" t="s">
        <v>141</v>
      </c>
      <c r="F21" s="235">
        <f>+F20*C22</f>
        <v>0</v>
      </c>
      <c r="G21" s="215"/>
      <c r="H21" s="216"/>
      <c r="I21" s="216"/>
      <c r="P21" s="248">
        <v>120</v>
      </c>
      <c r="Q21" s="248">
        <v>2.246</v>
      </c>
      <c r="R21" s="248">
        <v>5.73</v>
      </c>
      <c r="S21" s="248">
        <v>0.54700000000000004</v>
      </c>
      <c r="T21" s="258">
        <v>3.8300000000000001E-2</v>
      </c>
      <c r="U21" s="248">
        <v>1.4200000000000001E-2</v>
      </c>
      <c r="V21" s="248">
        <v>0.65800000000000003</v>
      </c>
    </row>
    <row r="22" spans="1:22" x14ac:dyDescent="0.2">
      <c r="A22" s="215"/>
      <c r="B22" s="269" t="s">
        <v>138</v>
      </c>
      <c r="C22" s="39"/>
      <c r="D22" s="216"/>
      <c r="E22" s="268" t="s">
        <v>177</v>
      </c>
      <c r="F22" s="267">
        <f>+F19*C22/60</f>
        <v>0</v>
      </c>
      <c r="G22" s="215"/>
      <c r="H22" s="216"/>
      <c r="I22" s="216"/>
      <c r="J22" s="266" t="s">
        <v>155</v>
      </c>
      <c r="K22" s="265"/>
      <c r="L22" s="264"/>
      <c r="P22" s="248">
        <v>130</v>
      </c>
      <c r="Q22" s="262">
        <f>AVERAGE(Q21,Q23)</f>
        <v>2.1274999999999999</v>
      </c>
      <c r="R22" s="248">
        <f t="shared" ref="R22:S22" si="0">AVERAGE(R21,R23)</f>
        <v>4.8600000000000003</v>
      </c>
      <c r="S22" s="262">
        <f t="shared" si="0"/>
        <v>0.44450000000000001</v>
      </c>
      <c r="T22" s="263">
        <f>AVERAGE(T21,T23)</f>
        <v>3.5949999999999996E-2</v>
      </c>
      <c r="U22" s="248">
        <f t="shared" ref="U22:V22" si="1">AVERAGE(U21,U23)</f>
        <v>1.32E-2</v>
      </c>
      <c r="V22" s="262">
        <f t="shared" si="1"/>
        <v>0.58850000000000002</v>
      </c>
    </row>
    <row r="23" spans="1:22" x14ac:dyDescent="0.2">
      <c r="A23" s="219"/>
      <c r="B23" s="230" t="s">
        <v>116</v>
      </c>
      <c r="C23" s="39"/>
      <c r="D23" s="220"/>
      <c r="E23" s="220"/>
      <c r="F23" s="220"/>
      <c r="G23" s="215"/>
      <c r="H23" s="216"/>
      <c r="I23" s="216"/>
      <c r="J23" s="260" t="s">
        <v>156</v>
      </c>
      <c r="K23" s="226"/>
      <c r="L23" s="259">
        <v>0.27</v>
      </c>
      <c r="M23" s="216"/>
      <c r="N23" s="216"/>
      <c r="O23" s="216"/>
      <c r="P23" s="248">
        <v>140</v>
      </c>
      <c r="Q23" s="248">
        <v>2.0089999999999999</v>
      </c>
      <c r="R23" s="248">
        <v>3.99</v>
      </c>
      <c r="S23" s="248">
        <v>0.34200000000000003</v>
      </c>
      <c r="T23" s="258">
        <v>3.3599999999999998E-2</v>
      </c>
      <c r="U23" s="248">
        <v>1.2200000000000001E-2</v>
      </c>
      <c r="V23" s="248">
        <v>0.51900000000000002</v>
      </c>
    </row>
    <row r="24" spans="1:22" ht="13.5" thickBot="1" x14ac:dyDescent="0.25">
      <c r="J24" s="257" t="s">
        <v>157</v>
      </c>
      <c r="K24" s="256"/>
      <c r="L24" s="255">
        <v>0.79730000000000001</v>
      </c>
      <c r="M24" s="216"/>
      <c r="N24" s="216"/>
      <c r="O24" s="216"/>
      <c r="P24" s="254"/>
      <c r="Q24" s="294" t="s">
        <v>176</v>
      </c>
      <c r="R24" s="294"/>
      <c r="S24" s="294"/>
      <c r="T24" s="294"/>
      <c r="U24" s="294"/>
      <c r="V24" s="295"/>
    </row>
    <row r="25" spans="1:22" x14ac:dyDescent="0.2">
      <c r="A25" s="223" t="s">
        <v>158</v>
      </c>
      <c r="B25" s="227"/>
      <c r="C25" s="227"/>
      <c r="D25" s="227"/>
      <c r="E25" s="227"/>
      <c r="F25" s="227"/>
      <c r="G25" s="227"/>
      <c r="H25" s="228"/>
      <c r="I25" s="229"/>
      <c r="M25" s="216"/>
      <c r="N25" s="216"/>
      <c r="O25" s="216"/>
      <c r="P25" s="215"/>
      <c r="Q25" s="242" t="s">
        <v>175</v>
      </c>
      <c r="R25" s="242"/>
      <c r="S25" s="242"/>
      <c r="T25" s="253" t="s">
        <v>95</v>
      </c>
      <c r="U25" s="253"/>
      <c r="V25" s="252"/>
    </row>
    <row r="26" spans="1:22" x14ac:dyDescent="0.2">
      <c r="A26" s="282"/>
      <c r="B26" s="250"/>
      <c r="C26" s="250"/>
      <c r="D26" s="250"/>
      <c r="E26" s="250" t="s">
        <v>159</v>
      </c>
      <c r="F26" s="250"/>
      <c r="G26" s="250"/>
      <c r="H26" s="249" t="s">
        <v>160</v>
      </c>
      <c r="L26" s="210" t="s">
        <v>114</v>
      </c>
      <c r="P26" s="29" t="s">
        <v>37</v>
      </c>
      <c r="Q26" s="251" t="s">
        <v>40</v>
      </c>
      <c r="R26" s="251" t="s">
        <v>41</v>
      </c>
      <c r="S26" s="251" t="s">
        <v>42</v>
      </c>
      <c r="T26" s="251" t="s">
        <v>40</v>
      </c>
      <c r="U26" s="251" t="s">
        <v>41</v>
      </c>
      <c r="V26" s="251" t="s">
        <v>42</v>
      </c>
    </row>
    <row r="27" spans="1:22" x14ac:dyDescent="0.2">
      <c r="A27" s="282"/>
      <c r="B27" s="250" t="s">
        <v>113</v>
      </c>
      <c r="C27" s="235"/>
      <c r="D27" s="250"/>
      <c r="E27" s="250" t="s">
        <v>161</v>
      </c>
      <c r="F27" s="250" t="s">
        <v>162</v>
      </c>
      <c r="G27" s="250" t="s">
        <v>162</v>
      </c>
      <c r="H27" s="249" t="s">
        <v>48</v>
      </c>
      <c r="L27" s="210" t="s">
        <v>163</v>
      </c>
      <c r="P27" s="248">
        <f>C23</f>
        <v>0</v>
      </c>
      <c r="Q27" s="248" t="str">
        <f>IF($C$23="","",VLOOKUP($C$23,$P$21:$S$23,2))</f>
        <v/>
      </c>
      <c r="R27" s="248" t="str">
        <f>IF($C$23="","",VLOOKUP($C$23,$P$21:$S$23,3))</f>
        <v/>
      </c>
      <c r="S27" s="248" t="str">
        <f>IF($C$23="","",VLOOKUP($C$23,$P$21:$S$23,4))</f>
        <v/>
      </c>
      <c r="T27" s="248" t="str">
        <f>IF($C$23="","",VLOOKUP($C$23,$P$21:$V$23,5))</f>
        <v/>
      </c>
      <c r="U27" s="248" t="str">
        <f>IF($C$23="","",VLOOKUP($C$23,$P$21:$V$23,6))</f>
        <v/>
      </c>
      <c r="V27" s="248" t="str">
        <f>IF($C$23="","",VLOOKUP($C$23,$P$21:$V$23,7))</f>
        <v/>
      </c>
    </row>
    <row r="28" spans="1:22" ht="13.5" thickBot="1" x14ac:dyDescent="0.25">
      <c r="A28" s="283" t="s">
        <v>165</v>
      </c>
      <c r="B28" s="247" t="s">
        <v>166</v>
      </c>
      <c r="C28" s="247" t="s">
        <v>74</v>
      </c>
      <c r="D28" s="247" t="s">
        <v>167</v>
      </c>
      <c r="E28" s="247" t="s">
        <v>168</v>
      </c>
      <c r="F28" s="247" t="s">
        <v>169</v>
      </c>
      <c r="G28" s="247" t="s">
        <v>170</v>
      </c>
      <c r="H28" s="246" t="s">
        <v>123</v>
      </c>
      <c r="J28" s="210" t="s">
        <v>164</v>
      </c>
      <c r="K28" s="210" t="s">
        <v>159</v>
      </c>
      <c r="L28" s="210" t="s">
        <v>168</v>
      </c>
      <c r="M28" s="236" t="s">
        <v>174</v>
      </c>
      <c r="O28" s="236" t="s">
        <v>173</v>
      </c>
      <c r="P28" s="236" t="s">
        <v>172</v>
      </c>
    </row>
    <row r="29" spans="1:22" x14ac:dyDescent="0.2">
      <c r="A29" s="284"/>
      <c r="B29" s="207"/>
      <c r="C29" s="207"/>
      <c r="D29" s="207"/>
      <c r="E29" s="235" t="str">
        <f t="shared" ref="E29:E44" si="2">IF(A29="","",IF(C29="U",$L$20,IF(OR(C29="",C29="C"),$L$19,"")))</f>
        <v/>
      </c>
      <c r="F29" s="207"/>
      <c r="G29" s="207"/>
      <c r="H29" s="240" t="e">
        <f t="shared" ref="H29:H44" si="3">O29</f>
        <v>#VALUE!</v>
      </c>
      <c r="J29" s="243" t="e">
        <f t="shared" ref="J29:J43" si="4">+(G29/B29)^2</f>
        <v>#DIV/0!</v>
      </c>
      <c r="K29" s="245" t="e">
        <f t="shared" ref="K29:K44" si="5">+J29*F29</f>
        <v>#DIV/0!</v>
      </c>
      <c r="L29" s="234" t="e">
        <f t="shared" ref="L29:L44" si="6">IF(AND($F$21="",K29=""),"",$F$21*K29/100)</f>
        <v>#DIV/0!</v>
      </c>
      <c r="M29" s="243" t="e">
        <f t="shared" ref="M29:M44" si="7">+E29/(D29*L29)</f>
        <v>#VALUE!</v>
      </c>
      <c r="N29" s="243" t="e">
        <f t="shared" ref="N29:N44" si="8">(LN(M29)/LN(2))*$L$23</f>
        <v>#VALUE!</v>
      </c>
      <c r="O29" s="237" t="e">
        <f>IF(M29&gt;1,0,LN((M29^(-$S$27)+($R$27/$Q$27))/(1+($R$27/$Q$27)))/($Q$27*$S$27))</f>
        <v>#VALUE!</v>
      </c>
      <c r="P29" s="237" t="e">
        <f>IF(M29&gt;1,0,LN((M29^(-$V$27)+($U$27/$T$27))/(1+($U$27/$T$27)))/($T$27*$V$27))</f>
        <v>#VALUE!</v>
      </c>
    </row>
    <row r="30" spans="1:22" x14ac:dyDescent="0.2">
      <c r="A30" s="284"/>
      <c r="B30" s="207"/>
      <c r="C30" s="207"/>
      <c r="D30" s="207"/>
      <c r="E30" s="235" t="str">
        <f t="shared" si="2"/>
        <v/>
      </c>
      <c r="F30" s="207"/>
      <c r="G30" s="207"/>
      <c r="H30" s="240" t="e">
        <f t="shared" si="3"/>
        <v>#VALUE!</v>
      </c>
      <c r="J30" s="243" t="e">
        <f t="shared" si="4"/>
        <v>#DIV/0!</v>
      </c>
      <c r="K30" s="244" t="e">
        <f t="shared" si="5"/>
        <v>#DIV/0!</v>
      </c>
      <c r="L30" s="234" t="e">
        <f t="shared" si="6"/>
        <v>#DIV/0!</v>
      </c>
      <c r="M30" s="243" t="e">
        <f t="shared" si="7"/>
        <v>#VALUE!</v>
      </c>
      <c r="N30" s="243" t="e">
        <f t="shared" si="8"/>
        <v>#VALUE!</v>
      </c>
      <c r="O30" s="237" t="e">
        <f t="shared" ref="O30:O44" si="9">IF(M30&gt;1,0,LN((M30^(-$S$27)+($R$27/$Q$27))/(1+($R$27/$Q$27)))/($Q$27*$S$27))</f>
        <v>#VALUE!</v>
      </c>
      <c r="P30" s="237" t="e">
        <f t="shared" ref="P30:P44" si="10">IF(M30&gt;1,0,LN((M30^(-$V$27)+($U$27/$T$27))/(1+($U$27/$T$27)))/($T$27*$V$27))</f>
        <v>#VALUE!</v>
      </c>
    </row>
    <row r="31" spans="1:22" x14ac:dyDescent="0.2">
      <c r="A31" s="284"/>
      <c r="B31" s="207"/>
      <c r="C31" s="207"/>
      <c r="D31" s="207"/>
      <c r="E31" s="235" t="str">
        <f t="shared" si="2"/>
        <v/>
      </c>
      <c r="F31" s="207"/>
      <c r="G31" s="207"/>
      <c r="H31" s="240" t="e">
        <f t="shared" si="3"/>
        <v>#VALUE!</v>
      </c>
      <c r="J31" s="243" t="e">
        <f t="shared" si="4"/>
        <v>#DIV/0!</v>
      </c>
      <c r="K31" s="244" t="e">
        <f t="shared" si="5"/>
        <v>#DIV/0!</v>
      </c>
      <c r="L31" s="234" t="e">
        <f t="shared" si="6"/>
        <v>#DIV/0!</v>
      </c>
      <c r="M31" s="243" t="e">
        <f t="shared" si="7"/>
        <v>#VALUE!</v>
      </c>
      <c r="N31" s="243" t="e">
        <f t="shared" si="8"/>
        <v>#VALUE!</v>
      </c>
      <c r="O31" s="237" t="e">
        <f t="shared" si="9"/>
        <v>#VALUE!</v>
      </c>
      <c r="P31" s="237" t="e">
        <f>IF(M31&gt;1,0,LN((M31^(-$V$27)+($U$27/$T$27))/(1+($U$27/$T$27)))/($T$27*$V$27))</f>
        <v>#VALUE!</v>
      </c>
    </row>
    <row r="32" spans="1:22" x14ac:dyDescent="0.2">
      <c r="A32" s="284"/>
      <c r="B32" s="207"/>
      <c r="C32" s="207"/>
      <c r="D32" s="207"/>
      <c r="E32" s="235" t="str">
        <f t="shared" si="2"/>
        <v/>
      </c>
      <c r="F32" s="207"/>
      <c r="G32" s="207"/>
      <c r="H32" s="240" t="e">
        <f t="shared" si="3"/>
        <v>#VALUE!</v>
      </c>
      <c r="J32" s="243" t="e">
        <f t="shared" si="4"/>
        <v>#DIV/0!</v>
      </c>
      <c r="K32" s="244" t="e">
        <f t="shared" si="5"/>
        <v>#DIV/0!</v>
      </c>
      <c r="L32" s="234" t="e">
        <f t="shared" si="6"/>
        <v>#DIV/0!</v>
      </c>
      <c r="M32" s="243" t="e">
        <f t="shared" si="7"/>
        <v>#VALUE!</v>
      </c>
      <c r="N32" s="243" t="e">
        <f t="shared" si="8"/>
        <v>#VALUE!</v>
      </c>
      <c r="O32" s="237" t="e">
        <f t="shared" si="9"/>
        <v>#VALUE!</v>
      </c>
      <c r="P32" s="237" t="e">
        <f t="shared" si="10"/>
        <v>#VALUE!</v>
      </c>
    </row>
    <row r="33" spans="1:16" x14ac:dyDescent="0.2">
      <c r="A33" s="284"/>
      <c r="B33" s="207"/>
      <c r="C33" s="207"/>
      <c r="D33" s="207"/>
      <c r="E33" s="235" t="str">
        <f t="shared" si="2"/>
        <v/>
      </c>
      <c r="F33" s="207"/>
      <c r="G33" s="207"/>
      <c r="H33" s="240" t="e">
        <f t="shared" si="3"/>
        <v>#VALUE!</v>
      </c>
      <c r="J33" s="243" t="e">
        <f t="shared" si="4"/>
        <v>#DIV/0!</v>
      </c>
      <c r="K33" s="244" t="e">
        <f t="shared" si="5"/>
        <v>#DIV/0!</v>
      </c>
      <c r="L33" s="234" t="e">
        <f t="shared" si="6"/>
        <v>#DIV/0!</v>
      </c>
      <c r="M33" s="243" t="e">
        <f t="shared" si="7"/>
        <v>#VALUE!</v>
      </c>
      <c r="N33" s="243" t="e">
        <f t="shared" si="8"/>
        <v>#VALUE!</v>
      </c>
      <c r="O33" s="237" t="e">
        <f t="shared" si="9"/>
        <v>#VALUE!</v>
      </c>
      <c r="P33" s="237" t="e">
        <f t="shared" si="10"/>
        <v>#VALUE!</v>
      </c>
    </row>
    <row r="34" spans="1:16" x14ac:dyDescent="0.2">
      <c r="A34" s="284"/>
      <c r="B34" s="207"/>
      <c r="C34" s="207"/>
      <c r="D34" s="207"/>
      <c r="E34" s="235" t="str">
        <f t="shared" si="2"/>
        <v/>
      </c>
      <c r="F34" s="207"/>
      <c r="G34" s="207"/>
      <c r="H34" s="240" t="e">
        <f t="shared" si="3"/>
        <v>#VALUE!</v>
      </c>
      <c r="J34" s="243" t="e">
        <f t="shared" si="4"/>
        <v>#DIV/0!</v>
      </c>
      <c r="K34" s="244" t="e">
        <f t="shared" si="5"/>
        <v>#DIV/0!</v>
      </c>
      <c r="L34" s="234" t="e">
        <f t="shared" si="6"/>
        <v>#DIV/0!</v>
      </c>
      <c r="M34" s="243" t="e">
        <f t="shared" si="7"/>
        <v>#VALUE!</v>
      </c>
      <c r="N34" s="243" t="e">
        <f t="shared" si="8"/>
        <v>#VALUE!</v>
      </c>
      <c r="O34" s="237" t="e">
        <f t="shared" si="9"/>
        <v>#VALUE!</v>
      </c>
      <c r="P34" s="237" t="e">
        <f t="shared" si="10"/>
        <v>#VALUE!</v>
      </c>
    </row>
    <row r="35" spans="1:16" x14ac:dyDescent="0.2">
      <c r="A35" s="284"/>
      <c r="B35" s="207"/>
      <c r="C35" s="207"/>
      <c r="D35" s="207"/>
      <c r="E35" s="235" t="str">
        <f t="shared" si="2"/>
        <v/>
      </c>
      <c r="F35" s="207"/>
      <c r="G35" s="207"/>
      <c r="H35" s="240" t="e">
        <f t="shared" si="3"/>
        <v>#VALUE!</v>
      </c>
      <c r="J35" s="243" t="e">
        <f t="shared" si="4"/>
        <v>#DIV/0!</v>
      </c>
      <c r="K35" s="244" t="e">
        <f t="shared" si="5"/>
        <v>#DIV/0!</v>
      </c>
      <c r="L35" s="234" t="e">
        <f t="shared" si="6"/>
        <v>#DIV/0!</v>
      </c>
      <c r="M35" s="243" t="e">
        <f t="shared" si="7"/>
        <v>#VALUE!</v>
      </c>
      <c r="N35" s="243" t="e">
        <f t="shared" si="8"/>
        <v>#VALUE!</v>
      </c>
      <c r="O35" s="237" t="e">
        <f t="shared" si="9"/>
        <v>#VALUE!</v>
      </c>
      <c r="P35" s="237" t="e">
        <f t="shared" si="10"/>
        <v>#VALUE!</v>
      </c>
    </row>
    <row r="36" spans="1:16" x14ac:dyDescent="0.2">
      <c r="A36" s="284"/>
      <c r="B36" s="207"/>
      <c r="C36" s="207"/>
      <c r="D36" s="207"/>
      <c r="E36" s="242" t="str">
        <f t="shared" si="2"/>
        <v/>
      </c>
      <c r="F36" s="207"/>
      <c r="G36" s="207"/>
      <c r="H36" s="240" t="e">
        <f t="shared" si="3"/>
        <v>#VALUE!</v>
      </c>
      <c r="J36" s="243" t="e">
        <f t="shared" si="4"/>
        <v>#DIV/0!</v>
      </c>
      <c r="K36" s="244" t="e">
        <f t="shared" si="5"/>
        <v>#DIV/0!</v>
      </c>
      <c r="L36" s="234" t="e">
        <f t="shared" si="6"/>
        <v>#DIV/0!</v>
      </c>
      <c r="M36" s="243" t="e">
        <f t="shared" si="7"/>
        <v>#VALUE!</v>
      </c>
      <c r="N36" s="243" t="e">
        <f t="shared" si="8"/>
        <v>#VALUE!</v>
      </c>
      <c r="O36" s="237" t="e">
        <f t="shared" si="9"/>
        <v>#VALUE!</v>
      </c>
      <c r="P36" s="237" t="e">
        <f t="shared" si="10"/>
        <v>#VALUE!</v>
      </c>
    </row>
    <row r="37" spans="1:16" x14ac:dyDescent="0.2">
      <c r="A37" s="284"/>
      <c r="B37" s="207"/>
      <c r="C37" s="207"/>
      <c r="D37" s="207"/>
      <c r="E37" s="242" t="str">
        <f t="shared" si="2"/>
        <v/>
      </c>
      <c r="F37" s="207"/>
      <c r="G37" s="207"/>
      <c r="H37" s="240" t="e">
        <f t="shared" si="3"/>
        <v>#VALUE!</v>
      </c>
      <c r="J37" s="243" t="e">
        <f t="shared" si="4"/>
        <v>#DIV/0!</v>
      </c>
      <c r="K37" s="244" t="e">
        <f t="shared" si="5"/>
        <v>#DIV/0!</v>
      </c>
      <c r="L37" s="234" t="e">
        <f t="shared" si="6"/>
        <v>#DIV/0!</v>
      </c>
      <c r="M37" s="243" t="e">
        <f t="shared" si="7"/>
        <v>#VALUE!</v>
      </c>
      <c r="N37" s="243" t="e">
        <f t="shared" si="8"/>
        <v>#VALUE!</v>
      </c>
      <c r="O37" s="237" t="e">
        <f t="shared" si="9"/>
        <v>#VALUE!</v>
      </c>
      <c r="P37" s="237" t="e">
        <f t="shared" si="10"/>
        <v>#VALUE!</v>
      </c>
    </row>
    <row r="38" spans="1:16" x14ac:dyDescent="0.2">
      <c r="A38" s="284"/>
      <c r="B38" s="207"/>
      <c r="C38" s="207"/>
      <c r="D38" s="207"/>
      <c r="E38" s="242" t="str">
        <f t="shared" si="2"/>
        <v/>
      </c>
      <c r="F38" s="207"/>
      <c r="G38" s="207"/>
      <c r="H38" s="240" t="e">
        <f t="shared" si="3"/>
        <v>#VALUE!</v>
      </c>
      <c r="J38" s="233" t="e">
        <f t="shared" si="4"/>
        <v>#DIV/0!</v>
      </c>
      <c r="K38" s="235" t="e">
        <f t="shared" si="5"/>
        <v>#DIV/0!</v>
      </c>
      <c r="L38" s="234" t="e">
        <f t="shared" si="6"/>
        <v>#DIV/0!</v>
      </c>
      <c r="M38" s="233" t="e">
        <f t="shared" si="7"/>
        <v>#VALUE!</v>
      </c>
      <c r="N38" s="233" t="e">
        <f t="shared" si="8"/>
        <v>#VALUE!</v>
      </c>
      <c r="O38" s="237" t="e">
        <f t="shared" si="9"/>
        <v>#VALUE!</v>
      </c>
      <c r="P38" s="237" t="e">
        <f t="shared" si="10"/>
        <v>#VALUE!</v>
      </c>
    </row>
    <row r="39" spans="1:16" x14ac:dyDescent="0.2">
      <c r="A39" s="284"/>
      <c r="B39" s="207"/>
      <c r="C39" s="207"/>
      <c r="D39" s="207"/>
      <c r="E39" s="242" t="str">
        <f t="shared" si="2"/>
        <v/>
      </c>
      <c r="F39" s="207"/>
      <c r="G39" s="207"/>
      <c r="H39" s="240" t="e">
        <f t="shared" si="3"/>
        <v>#VALUE!</v>
      </c>
      <c r="J39" s="233" t="e">
        <f t="shared" si="4"/>
        <v>#DIV/0!</v>
      </c>
      <c r="K39" s="235" t="e">
        <f t="shared" si="5"/>
        <v>#DIV/0!</v>
      </c>
      <c r="L39" s="234" t="e">
        <f t="shared" si="6"/>
        <v>#DIV/0!</v>
      </c>
      <c r="M39" s="233" t="e">
        <f t="shared" si="7"/>
        <v>#VALUE!</v>
      </c>
      <c r="N39" s="233" t="e">
        <f t="shared" si="8"/>
        <v>#VALUE!</v>
      </c>
      <c r="O39" s="237" t="e">
        <f t="shared" si="9"/>
        <v>#VALUE!</v>
      </c>
      <c r="P39" s="237" t="e">
        <f t="shared" si="10"/>
        <v>#VALUE!</v>
      </c>
    </row>
    <row r="40" spans="1:16" x14ac:dyDescent="0.2">
      <c r="A40" s="284"/>
      <c r="B40" s="207"/>
      <c r="C40" s="207"/>
      <c r="D40" s="207"/>
      <c r="E40" s="242" t="str">
        <f t="shared" si="2"/>
        <v/>
      </c>
      <c r="F40" s="207"/>
      <c r="G40" s="207"/>
      <c r="H40" s="240" t="e">
        <f t="shared" si="3"/>
        <v>#VALUE!</v>
      </c>
      <c r="J40" s="233" t="e">
        <f t="shared" si="4"/>
        <v>#DIV/0!</v>
      </c>
      <c r="K40" s="235" t="e">
        <f t="shared" si="5"/>
        <v>#DIV/0!</v>
      </c>
      <c r="L40" s="234" t="e">
        <f t="shared" si="6"/>
        <v>#DIV/0!</v>
      </c>
      <c r="M40" s="233" t="e">
        <f t="shared" si="7"/>
        <v>#VALUE!</v>
      </c>
      <c r="N40" s="233" t="e">
        <f t="shared" si="8"/>
        <v>#VALUE!</v>
      </c>
      <c r="O40" s="237" t="e">
        <f t="shared" si="9"/>
        <v>#VALUE!</v>
      </c>
      <c r="P40" s="237" t="e">
        <f t="shared" si="10"/>
        <v>#VALUE!</v>
      </c>
    </row>
    <row r="41" spans="1:16" x14ac:dyDescent="0.2">
      <c r="A41" s="284"/>
      <c r="B41" s="207"/>
      <c r="C41" s="207"/>
      <c r="D41" s="207"/>
      <c r="E41" s="242" t="str">
        <f t="shared" si="2"/>
        <v/>
      </c>
      <c r="F41" s="207"/>
      <c r="G41" s="207"/>
      <c r="H41" s="240" t="e">
        <f t="shared" si="3"/>
        <v>#VALUE!</v>
      </c>
      <c r="J41" s="233" t="e">
        <f t="shared" si="4"/>
        <v>#DIV/0!</v>
      </c>
      <c r="K41" s="235" t="e">
        <f t="shared" si="5"/>
        <v>#DIV/0!</v>
      </c>
      <c r="L41" s="234" t="e">
        <f t="shared" si="6"/>
        <v>#DIV/0!</v>
      </c>
      <c r="M41" s="233" t="e">
        <f t="shared" si="7"/>
        <v>#VALUE!</v>
      </c>
      <c r="N41" s="233" t="e">
        <f t="shared" si="8"/>
        <v>#VALUE!</v>
      </c>
      <c r="O41" s="237" t="e">
        <f t="shared" si="9"/>
        <v>#VALUE!</v>
      </c>
      <c r="P41" s="237" t="e">
        <f t="shared" si="10"/>
        <v>#VALUE!</v>
      </c>
    </row>
    <row r="42" spans="1:16" x14ac:dyDescent="0.2">
      <c r="A42" s="284"/>
      <c r="B42" s="207"/>
      <c r="C42" s="207"/>
      <c r="D42" s="207"/>
      <c r="E42" s="242" t="str">
        <f t="shared" si="2"/>
        <v/>
      </c>
      <c r="F42" s="207"/>
      <c r="G42" s="207"/>
      <c r="H42" s="240" t="e">
        <f t="shared" si="3"/>
        <v>#VALUE!</v>
      </c>
      <c r="J42" s="233" t="e">
        <f t="shared" si="4"/>
        <v>#DIV/0!</v>
      </c>
      <c r="K42" s="235" t="e">
        <f t="shared" si="5"/>
        <v>#DIV/0!</v>
      </c>
      <c r="L42" s="234" t="e">
        <f t="shared" si="6"/>
        <v>#DIV/0!</v>
      </c>
      <c r="M42" s="233" t="e">
        <f t="shared" si="7"/>
        <v>#VALUE!</v>
      </c>
      <c r="N42" s="233" t="e">
        <f t="shared" si="8"/>
        <v>#VALUE!</v>
      </c>
      <c r="O42" s="237" t="e">
        <f t="shared" si="9"/>
        <v>#VALUE!</v>
      </c>
      <c r="P42" s="237" t="e">
        <f t="shared" si="10"/>
        <v>#VALUE!</v>
      </c>
    </row>
    <row r="43" spans="1:16" x14ac:dyDescent="0.2">
      <c r="A43" s="284"/>
      <c r="B43" s="207"/>
      <c r="C43" s="207"/>
      <c r="D43" s="207"/>
      <c r="E43" s="241" t="str">
        <f t="shared" si="2"/>
        <v/>
      </c>
      <c r="F43" s="207"/>
      <c r="G43" s="207"/>
      <c r="H43" s="240" t="e">
        <f t="shared" si="3"/>
        <v>#VALUE!</v>
      </c>
      <c r="J43" s="233" t="e">
        <f t="shared" si="4"/>
        <v>#DIV/0!</v>
      </c>
      <c r="K43" s="235" t="e">
        <f t="shared" si="5"/>
        <v>#DIV/0!</v>
      </c>
      <c r="L43" s="234" t="e">
        <f t="shared" si="6"/>
        <v>#DIV/0!</v>
      </c>
      <c r="M43" s="233" t="e">
        <f t="shared" si="7"/>
        <v>#VALUE!</v>
      </c>
      <c r="N43" s="233" t="e">
        <f t="shared" si="8"/>
        <v>#VALUE!</v>
      </c>
      <c r="O43" s="237" t="e">
        <f t="shared" si="9"/>
        <v>#VALUE!</v>
      </c>
      <c r="P43" s="237" t="e">
        <f t="shared" si="10"/>
        <v>#VALUE!</v>
      </c>
    </row>
    <row r="44" spans="1:16" x14ac:dyDescent="0.2">
      <c r="A44" s="285"/>
      <c r="B44" s="286"/>
      <c r="C44" s="286"/>
      <c r="D44" s="286"/>
      <c r="E44" s="239" t="str">
        <f t="shared" si="2"/>
        <v/>
      </c>
      <c r="F44" s="286"/>
      <c r="G44" s="286"/>
      <c r="H44" s="238" t="e">
        <f t="shared" si="3"/>
        <v>#VALUE!</v>
      </c>
      <c r="J44" s="233" t="e">
        <f>+(G44/C44)^2</f>
        <v>#DIV/0!</v>
      </c>
      <c r="K44" s="235" t="e">
        <f t="shared" si="5"/>
        <v>#DIV/0!</v>
      </c>
      <c r="L44" s="234" t="e">
        <f t="shared" si="6"/>
        <v>#DIV/0!</v>
      </c>
      <c r="M44" s="233" t="e">
        <f t="shared" si="7"/>
        <v>#VALUE!</v>
      </c>
      <c r="N44" s="233" t="e">
        <f t="shared" si="8"/>
        <v>#VALUE!</v>
      </c>
      <c r="O44" s="237" t="e">
        <f t="shared" si="9"/>
        <v>#VALUE!</v>
      </c>
      <c r="P44" s="237" t="e">
        <f t="shared" si="10"/>
        <v>#VALUE!</v>
      </c>
    </row>
    <row r="45" spans="1:16" x14ac:dyDescent="0.2">
      <c r="A45" s="216"/>
      <c r="B45" s="216"/>
      <c r="C45" s="216"/>
      <c r="D45" s="216"/>
      <c r="E45" s="216"/>
      <c r="F45" s="216"/>
      <c r="G45" s="216"/>
      <c r="H45" s="216"/>
      <c r="I45" s="225"/>
      <c r="J45" s="233"/>
      <c r="K45" s="235"/>
      <c r="L45" s="234"/>
      <c r="M45" s="233"/>
      <c r="N45" s="233"/>
      <c r="O45" s="232"/>
    </row>
    <row r="46" spans="1:16" x14ac:dyDescent="0.2">
      <c r="I46" s="231"/>
      <c r="J46" s="233"/>
      <c r="K46" s="235"/>
      <c r="L46" s="234"/>
      <c r="M46" s="233"/>
      <c r="N46" s="233"/>
      <c r="O46" s="232"/>
    </row>
    <row r="47" spans="1:16" x14ac:dyDescent="0.2">
      <c r="J47" s="233"/>
      <c r="K47" s="235"/>
      <c r="L47" s="234"/>
      <c r="M47" s="233"/>
      <c r="N47" s="233"/>
      <c r="O47" s="232"/>
    </row>
    <row r="48" spans="1:16" x14ac:dyDescent="0.2">
      <c r="J48" s="233"/>
      <c r="K48" s="235"/>
      <c r="L48" s="234"/>
      <c r="M48" s="233"/>
      <c r="N48" s="233"/>
      <c r="O48" s="232"/>
    </row>
    <row r="49" spans="1:15" x14ac:dyDescent="0.2">
      <c r="A49" s="236" t="s">
        <v>102</v>
      </c>
      <c r="J49" s="233"/>
      <c r="K49" s="235"/>
      <c r="L49" s="234"/>
      <c r="M49" s="233"/>
      <c r="N49" s="233"/>
      <c r="O49" s="232"/>
    </row>
    <row r="50" spans="1:15" x14ac:dyDescent="0.2">
      <c r="A50" s="210" t="s">
        <v>171</v>
      </c>
      <c r="J50" s="233"/>
      <c r="K50" s="235"/>
      <c r="L50" s="234"/>
      <c r="M50" s="233"/>
      <c r="N50" s="233"/>
      <c r="O50" s="232"/>
    </row>
    <row r="51" spans="1:15" x14ac:dyDescent="0.2">
      <c r="J51" s="233"/>
      <c r="K51" s="235"/>
      <c r="L51" s="234"/>
      <c r="M51" s="233"/>
      <c r="N51" s="233"/>
      <c r="O51" s="232"/>
    </row>
    <row r="52" spans="1:15" x14ac:dyDescent="0.2">
      <c r="J52" s="233"/>
      <c r="K52" s="235"/>
      <c r="L52" s="234"/>
      <c r="M52" s="233"/>
      <c r="N52" s="233"/>
      <c r="O52" s="232"/>
    </row>
    <row r="53" spans="1:15" x14ac:dyDescent="0.2">
      <c r="J53" s="233"/>
      <c r="K53" s="235"/>
      <c r="L53" s="234"/>
      <c r="M53" s="233"/>
      <c r="N53" s="233"/>
      <c r="O53" s="232"/>
    </row>
    <row r="54" spans="1:15" x14ac:dyDescent="0.2">
      <c r="J54" s="233"/>
      <c r="K54" s="235"/>
      <c r="L54" s="234"/>
      <c r="M54" s="233"/>
      <c r="N54" s="233"/>
      <c r="O54" s="232"/>
    </row>
    <row r="55" spans="1:15" x14ac:dyDescent="0.2">
      <c r="J55" s="233"/>
      <c r="K55" s="235"/>
      <c r="L55" s="234"/>
      <c r="M55" s="233"/>
      <c r="N55" s="233"/>
      <c r="O55" s="232"/>
    </row>
    <row r="56" spans="1:15" x14ac:dyDescent="0.2">
      <c r="J56" s="233"/>
      <c r="K56" s="235"/>
      <c r="L56" s="234"/>
      <c r="M56" s="233"/>
      <c r="N56" s="233"/>
      <c r="O56" s="232"/>
    </row>
    <row r="57" spans="1:15" x14ac:dyDescent="0.2">
      <c r="J57" s="233"/>
      <c r="K57" s="235"/>
      <c r="L57" s="234"/>
      <c r="M57" s="233"/>
      <c r="N57" s="233"/>
      <c r="O57" s="232"/>
    </row>
    <row r="58" spans="1:15" x14ac:dyDescent="0.2">
      <c r="J58" s="233"/>
      <c r="K58" s="235"/>
      <c r="L58" s="234"/>
      <c r="M58" s="233"/>
      <c r="N58" s="233"/>
      <c r="O58" s="232"/>
    </row>
    <row r="59" spans="1:15" x14ac:dyDescent="0.2">
      <c r="J59" s="233"/>
      <c r="K59" s="235"/>
      <c r="L59" s="234"/>
      <c r="M59" s="233"/>
      <c r="N59" s="233"/>
      <c r="O59" s="232"/>
    </row>
    <row r="60" spans="1:15" x14ac:dyDescent="0.2">
      <c r="J60" s="233"/>
      <c r="K60" s="235"/>
      <c r="L60" s="234"/>
      <c r="M60" s="233"/>
      <c r="N60" s="233"/>
      <c r="O60" s="232"/>
    </row>
    <row r="61" spans="1:15" x14ac:dyDescent="0.2">
      <c r="J61" s="233"/>
      <c r="K61" s="235"/>
      <c r="L61" s="234"/>
      <c r="M61" s="233"/>
      <c r="N61" s="233"/>
      <c r="O61" s="232"/>
    </row>
    <row r="62" spans="1:15" x14ac:dyDescent="0.2">
      <c r="J62" s="233"/>
      <c r="K62" s="235"/>
      <c r="L62" s="234"/>
      <c r="M62" s="233"/>
      <c r="N62" s="233"/>
      <c r="O62" s="232"/>
    </row>
    <row r="64" spans="1:15" x14ac:dyDescent="0.2">
      <c r="J64"/>
    </row>
    <row r="65" spans="10:11" x14ac:dyDescent="0.2">
      <c r="J65"/>
      <c r="K65" s="216"/>
    </row>
    <row r="66" spans="10:11" x14ac:dyDescent="0.2">
      <c r="J66"/>
      <c r="K66" s="216"/>
    </row>
    <row r="67" spans="10:11" x14ac:dyDescent="0.2">
      <c r="J67"/>
      <c r="K67" s="216"/>
    </row>
    <row r="68" spans="10:11" x14ac:dyDescent="0.2">
      <c r="J68"/>
      <c r="K68" s="216"/>
    </row>
    <row r="69" spans="10:11" x14ac:dyDescent="0.2">
      <c r="J69"/>
      <c r="K69" s="216"/>
    </row>
    <row r="70" spans="10:11" x14ac:dyDescent="0.2">
      <c r="J70"/>
      <c r="K70" s="216"/>
    </row>
    <row r="71" spans="10:11" x14ac:dyDescent="0.2">
      <c r="J71" s="216"/>
      <c r="K71" s="216"/>
    </row>
  </sheetData>
  <mergeCells count="4">
    <mergeCell ref="Q18:V18"/>
    <mergeCell ref="Q19:S19"/>
    <mergeCell ref="T19:V19"/>
    <mergeCell ref="Q24:V24"/>
  </mergeCells>
  <pageMargins left="0.75" right="0.75" top="1" bottom="1" header="0.5" footer="0.5"/>
  <pageSetup scale="58" fitToHeight="3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Table</vt:lpstr>
      <vt:lpstr>ShieldEvaluation</vt:lpstr>
      <vt:lpstr>FitParameters</vt:lpstr>
      <vt:lpstr>CT</vt:lpstr>
      <vt:lpstr>FitParams</vt:lpstr>
      <vt:lpstr>inch_value</vt:lpstr>
      <vt:lpstr>minimum_Pb</vt:lpstr>
      <vt:lpstr>mm_value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2014-10-13T14:56:35Z</cp:lastPrinted>
  <dcterms:created xsi:type="dcterms:W3CDTF">1996-02-05T18:29:10Z</dcterms:created>
  <dcterms:modified xsi:type="dcterms:W3CDTF">2015-09-15T13:49:50Z</dcterms:modified>
</cp:coreProperties>
</file>