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ugenem\Documents\GitHub\EquipTestingSpreadsheets\"/>
    </mc:Choice>
  </mc:AlternateContent>
  <xr:revisionPtr revIDLastSave="0" documentId="13_ncr:1_{1FD8DA39-6632-4DB1-A508-CCDD1FC45F1D}" xr6:coauthVersionLast="45" xr6:coauthVersionMax="45" xr10:uidLastSave="{00000000-0000-0000-0000-000000000000}"/>
  <bookViews>
    <workbookView xWindow="-120" yWindow="-120" windowWidth="20730" windowHeight="11760" tabRatio="500" xr2:uid="{00000000-000D-0000-FFFF-FFFF000000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X266" i="1" l="1"/>
  <c r="U266" i="1"/>
  <c r="R266" i="1"/>
  <c r="P304" i="1"/>
  <c r="O298" i="1"/>
  <c r="O297" i="1"/>
  <c r="O296" i="1"/>
  <c r="O295" i="1"/>
  <c r="T308" i="1"/>
  <c r="S308" i="1"/>
  <c r="R308" i="1"/>
  <c r="Q308" i="1"/>
  <c r="P308" i="1"/>
  <c r="T307" i="1"/>
  <c r="S307" i="1"/>
  <c r="R307" i="1"/>
  <c r="Q307" i="1"/>
  <c r="P307" i="1"/>
  <c r="T306" i="1"/>
  <c r="S306" i="1"/>
  <c r="R306" i="1"/>
  <c r="Q306" i="1"/>
  <c r="P306" i="1"/>
  <c r="T305" i="1"/>
  <c r="S305" i="1"/>
  <c r="R305" i="1"/>
  <c r="Q305" i="1"/>
  <c r="P305" i="1"/>
  <c r="T298" i="1"/>
  <c r="S298" i="1"/>
  <c r="R298" i="1"/>
  <c r="Q298" i="1"/>
  <c r="P298" i="1"/>
  <c r="T297" i="1"/>
  <c r="S297" i="1"/>
  <c r="R297" i="1"/>
  <c r="Q297" i="1"/>
  <c r="P297" i="1"/>
  <c r="T296" i="1"/>
  <c r="S296" i="1"/>
  <c r="R296" i="1"/>
  <c r="Q296" i="1"/>
  <c r="P296" i="1"/>
  <c r="T295" i="1"/>
  <c r="S295" i="1"/>
  <c r="R295" i="1"/>
  <c r="Q295" i="1"/>
  <c r="P295" i="1"/>
  <c r="Y156" i="1" l="1"/>
  <c r="Y155" i="1"/>
  <c r="Y154" i="1"/>
  <c r="Y153" i="1"/>
  <c r="Y152" i="1"/>
  <c r="Y151" i="1"/>
  <c r="Y150" i="1"/>
  <c r="Y149" i="1"/>
  <c r="Y148" i="1"/>
  <c r="Y147" i="1"/>
  <c r="Y146" i="1"/>
  <c r="Y145" i="1"/>
  <c r="Y144" i="1"/>
  <c r="Y143" i="1"/>
  <c r="Y142" i="1"/>
  <c r="Y141" i="1"/>
  <c r="V156" i="1"/>
  <c r="V155" i="1"/>
  <c r="V154" i="1"/>
  <c r="V153" i="1"/>
  <c r="V152" i="1"/>
  <c r="V151" i="1"/>
  <c r="V150" i="1"/>
  <c r="V149" i="1"/>
  <c r="V148" i="1"/>
  <c r="V147" i="1"/>
  <c r="V146" i="1"/>
  <c r="V145" i="1"/>
  <c r="V144" i="1"/>
  <c r="V143" i="1"/>
  <c r="V142" i="1"/>
  <c r="V141" i="1"/>
  <c r="S156" i="1"/>
  <c r="S155" i="1"/>
  <c r="S154" i="1"/>
  <c r="S153" i="1"/>
  <c r="S152" i="1"/>
  <c r="S151" i="1"/>
  <c r="S150" i="1"/>
  <c r="S149" i="1"/>
  <c r="S148" i="1"/>
  <c r="S147" i="1"/>
  <c r="S146" i="1"/>
  <c r="S145" i="1"/>
  <c r="S144" i="1"/>
  <c r="S143" i="1"/>
  <c r="S142" i="1"/>
  <c r="S141" i="1"/>
  <c r="Y124" i="1"/>
  <c r="Y123" i="1"/>
  <c r="Y122" i="1"/>
  <c r="Y121" i="1"/>
  <c r="Y120" i="1"/>
  <c r="Y119" i="1"/>
  <c r="Y118" i="1"/>
  <c r="Y117" i="1"/>
  <c r="Y116" i="1"/>
  <c r="Y115" i="1"/>
  <c r="Y114" i="1"/>
  <c r="Y113" i="1"/>
  <c r="Y112" i="1"/>
  <c r="Y111" i="1"/>
  <c r="Y110" i="1"/>
  <c r="Y109" i="1"/>
  <c r="V124" i="1"/>
  <c r="V123" i="1"/>
  <c r="V122" i="1"/>
  <c r="V121" i="1"/>
  <c r="V120" i="1"/>
  <c r="V119" i="1"/>
  <c r="V118" i="1"/>
  <c r="V117" i="1"/>
  <c r="V116" i="1"/>
  <c r="V115" i="1"/>
  <c r="V114" i="1"/>
  <c r="V113" i="1"/>
  <c r="V112" i="1"/>
  <c r="V111" i="1"/>
  <c r="V110" i="1"/>
  <c r="V109" i="1"/>
  <c r="S124" i="1"/>
  <c r="S123" i="1"/>
  <c r="S122" i="1"/>
  <c r="S121" i="1"/>
  <c r="S120" i="1"/>
  <c r="S119" i="1"/>
  <c r="S118" i="1"/>
  <c r="S117" i="1"/>
  <c r="S116" i="1"/>
  <c r="S115" i="1"/>
  <c r="S114" i="1"/>
  <c r="S113" i="1"/>
  <c r="S112" i="1"/>
  <c r="S111" i="1"/>
  <c r="S110" i="1"/>
  <c r="S109" i="1"/>
  <c r="Q304" i="1" l="1"/>
  <c r="O254" i="1" l="1"/>
  <c r="M126" i="1" l="1"/>
  <c r="O48" i="1"/>
  <c r="L126" i="1" s="1"/>
  <c r="F227" i="1" l="1"/>
  <c r="F226" i="1"/>
  <c r="F225" i="1"/>
  <c r="R304" i="1"/>
  <c r="J224" i="1" s="1"/>
  <c r="F224" i="1"/>
  <c r="J228" i="1"/>
  <c r="J227" i="1"/>
  <c r="J226" i="1"/>
  <c r="J225" i="1"/>
  <c r="J232" i="1"/>
  <c r="R309" i="1" l="1"/>
  <c r="R311" i="1" s="1"/>
  <c r="J231" i="1" s="1"/>
  <c r="R310" i="1"/>
  <c r="J230" i="1" s="1"/>
  <c r="J229" i="1"/>
  <c r="U298" i="1"/>
  <c r="U297" i="1"/>
  <c r="U296" i="1"/>
  <c r="U295" i="1"/>
  <c r="X156" i="1" l="1"/>
  <c r="W156" i="1"/>
  <c r="U156" i="1"/>
  <c r="T156" i="1"/>
  <c r="R156" i="1"/>
  <c r="X155" i="1"/>
  <c r="W155" i="1"/>
  <c r="U155" i="1"/>
  <c r="T155" i="1"/>
  <c r="R155" i="1"/>
  <c r="X154" i="1"/>
  <c r="W154" i="1"/>
  <c r="U154" i="1"/>
  <c r="T154" i="1"/>
  <c r="R154" i="1"/>
  <c r="X153" i="1"/>
  <c r="W153" i="1"/>
  <c r="U153" i="1"/>
  <c r="T153" i="1"/>
  <c r="R153" i="1"/>
  <c r="X152" i="1"/>
  <c r="W152" i="1"/>
  <c r="U152" i="1"/>
  <c r="T152" i="1"/>
  <c r="R152" i="1"/>
  <c r="X151" i="1"/>
  <c r="W151" i="1"/>
  <c r="U151" i="1"/>
  <c r="T151" i="1"/>
  <c r="R151" i="1"/>
  <c r="X150" i="1"/>
  <c r="W150" i="1"/>
  <c r="U150" i="1"/>
  <c r="T150" i="1"/>
  <c r="R150" i="1"/>
  <c r="X149" i="1"/>
  <c r="W149" i="1"/>
  <c r="U149" i="1"/>
  <c r="T149" i="1"/>
  <c r="R149" i="1"/>
  <c r="X148" i="1"/>
  <c r="W148" i="1"/>
  <c r="U148" i="1"/>
  <c r="T148" i="1"/>
  <c r="R148" i="1"/>
  <c r="X147" i="1"/>
  <c r="W147" i="1"/>
  <c r="U147" i="1"/>
  <c r="T147" i="1"/>
  <c r="R147" i="1"/>
  <c r="X146" i="1"/>
  <c r="W146" i="1"/>
  <c r="U146" i="1"/>
  <c r="T146" i="1"/>
  <c r="R146" i="1"/>
  <c r="X145" i="1"/>
  <c r="W145" i="1"/>
  <c r="U145" i="1"/>
  <c r="T145" i="1"/>
  <c r="R145" i="1"/>
  <c r="X144" i="1"/>
  <c r="W144" i="1"/>
  <c r="U144" i="1"/>
  <c r="T144" i="1"/>
  <c r="R144" i="1"/>
  <c r="X143" i="1"/>
  <c r="W143" i="1"/>
  <c r="U143" i="1"/>
  <c r="T143" i="1"/>
  <c r="R143" i="1"/>
  <c r="X142" i="1"/>
  <c r="W142" i="1"/>
  <c r="U142" i="1"/>
  <c r="T142" i="1"/>
  <c r="R142" i="1"/>
  <c r="X141" i="1"/>
  <c r="W141" i="1"/>
  <c r="U141" i="1"/>
  <c r="T141" i="1"/>
  <c r="R141" i="1"/>
  <c r="Q156" i="1"/>
  <c r="Q155" i="1"/>
  <c r="Q154" i="1"/>
  <c r="Q153" i="1"/>
  <c r="Q152" i="1"/>
  <c r="Q151" i="1"/>
  <c r="Q150" i="1"/>
  <c r="Q149" i="1"/>
  <c r="Q148" i="1"/>
  <c r="Q147" i="1"/>
  <c r="Q146" i="1"/>
  <c r="Q145" i="1"/>
  <c r="Q144" i="1"/>
  <c r="Q143" i="1"/>
  <c r="Q142" i="1"/>
  <c r="X124" i="1"/>
  <c r="W124" i="1"/>
  <c r="U124" i="1"/>
  <c r="T124" i="1"/>
  <c r="R124" i="1"/>
  <c r="X123" i="1"/>
  <c r="W123" i="1"/>
  <c r="U123" i="1"/>
  <c r="T123" i="1"/>
  <c r="R123" i="1"/>
  <c r="X122" i="1"/>
  <c r="W122" i="1"/>
  <c r="U122" i="1"/>
  <c r="T122" i="1"/>
  <c r="R122" i="1"/>
  <c r="X121" i="1"/>
  <c r="W121" i="1"/>
  <c r="U121" i="1"/>
  <c r="T121" i="1"/>
  <c r="R121" i="1"/>
  <c r="X120" i="1"/>
  <c r="W120" i="1"/>
  <c r="U120" i="1"/>
  <c r="T120" i="1"/>
  <c r="R120" i="1"/>
  <c r="X119" i="1"/>
  <c r="W119" i="1"/>
  <c r="U119" i="1"/>
  <c r="T119" i="1"/>
  <c r="R119" i="1"/>
  <c r="X118" i="1"/>
  <c r="W118" i="1"/>
  <c r="U118" i="1"/>
  <c r="T118" i="1"/>
  <c r="R118" i="1"/>
  <c r="X117" i="1"/>
  <c r="W117" i="1"/>
  <c r="U117" i="1"/>
  <c r="T117" i="1"/>
  <c r="R117" i="1"/>
  <c r="X116" i="1"/>
  <c r="W116" i="1"/>
  <c r="U116" i="1"/>
  <c r="T116" i="1"/>
  <c r="R116" i="1"/>
  <c r="X115" i="1"/>
  <c r="W115" i="1"/>
  <c r="U115" i="1"/>
  <c r="T115" i="1"/>
  <c r="R115" i="1"/>
  <c r="X114" i="1"/>
  <c r="W114" i="1"/>
  <c r="U114" i="1"/>
  <c r="T114" i="1"/>
  <c r="R114" i="1"/>
  <c r="X113" i="1"/>
  <c r="W113" i="1"/>
  <c r="U113" i="1"/>
  <c r="T113" i="1"/>
  <c r="R113" i="1"/>
  <c r="X112" i="1"/>
  <c r="W112" i="1"/>
  <c r="U112" i="1"/>
  <c r="T112" i="1"/>
  <c r="R112" i="1"/>
  <c r="X111" i="1"/>
  <c r="W111" i="1"/>
  <c r="U111" i="1"/>
  <c r="T111" i="1"/>
  <c r="R111" i="1"/>
  <c r="X110" i="1"/>
  <c r="W110" i="1"/>
  <c r="U110" i="1"/>
  <c r="T110" i="1"/>
  <c r="R110" i="1"/>
  <c r="X109" i="1"/>
  <c r="W109" i="1"/>
  <c r="U109" i="1"/>
  <c r="T109" i="1"/>
  <c r="R109" i="1"/>
  <c r="Q124" i="1"/>
  <c r="Q123" i="1"/>
  <c r="Q122" i="1"/>
  <c r="Q121" i="1"/>
  <c r="Q120" i="1"/>
  <c r="Q119" i="1"/>
  <c r="Q118" i="1"/>
  <c r="Q117" i="1"/>
  <c r="Q116" i="1"/>
  <c r="Q115" i="1"/>
  <c r="Q114" i="1"/>
  <c r="Q113" i="1"/>
  <c r="Q112" i="1"/>
  <c r="Q111" i="1"/>
  <c r="Q110" i="1"/>
  <c r="Q109" i="1" l="1"/>
  <c r="L35" i="2" l="1"/>
  <c r="J35" i="2"/>
  <c r="H35" i="2"/>
  <c r="L3" i="2"/>
  <c r="J3" i="2"/>
  <c r="H3" i="2"/>
  <c r="J202" i="1"/>
  <c r="G202" i="1"/>
  <c r="D202" i="1"/>
  <c r="L333" i="1"/>
  <c r="J333" i="1"/>
  <c r="H333" i="1"/>
  <c r="V99" i="1"/>
  <c r="V102" i="1"/>
  <c r="AD82" i="1" s="1"/>
  <c r="V101" i="1"/>
  <c r="K267" i="1" s="1"/>
  <c r="V100" i="1"/>
  <c r="AD80" i="1" s="1"/>
  <c r="L220" i="1"/>
  <c r="I220" i="1"/>
  <c r="K333" i="1" l="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T304" i="1"/>
  <c r="S304" i="1"/>
  <c r="P310" i="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U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s="1"/>
  <c r="S281" i="1"/>
  <c r="I209" i="1" s="1"/>
  <c r="AD255" i="1"/>
  <c r="AC255" i="1" s="1"/>
  <c r="AD253" i="1"/>
  <c r="AC253" i="1" s="1"/>
  <c r="AD251" i="1"/>
  <c r="AC251" i="1" s="1"/>
  <c r="Q247" i="1"/>
  <c r="D327" i="1" s="1"/>
  <c r="AD249" i="1"/>
  <c r="AC249" i="1" s="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s="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V17" i="1"/>
  <c r="AD24" i="1" s="1"/>
  <c r="AC24" i="1" s="1"/>
  <c r="R17" i="1"/>
  <c r="AD21" i="1" s="1"/>
  <c r="AC21" i="1" s="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F17" i="1" l="1"/>
  <c r="F18" i="1"/>
  <c r="K35" i="1"/>
  <c r="AD157" i="1"/>
  <c r="AC157" i="1" s="1"/>
  <c r="E8" i="3"/>
  <c r="U182" i="1" a="1"/>
  <c r="U182" i="1" s="1"/>
  <c r="L139" i="1" s="1"/>
  <c r="L109" i="1"/>
  <c r="M109" i="1"/>
  <c r="W280" i="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39" i="2" s="1"/>
  <c r="I31" i="5"/>
  <c r="W35" i="3"/>
  <c r="K337" i="1"/>
  <c r="K39" i="2" s="1"/>
  <c r="C36" i="5"/>
  <c r="W8" i="3"/>
  <c r="E342" i="1"/>
  <c r="E44" i="2" s="1"/>
  <c r="G36" i="5"/>
  <c r="X24" i="3"/>
  <c r="I342" i="1"/>
  <c r="I44" i="2" s="1"/>
  <c r="K36" i="5"/>
  <c r="M342" i="1"/>
  <c r="M44" i="2" s="1"/>
  <c r="D37" i="5"/>
  <c r="X9" i="3"/>
  <c r="F343" i="1"/>
  <c r="F45" i="2" s="1"/>
  <c r="H37" i="5"/>
  <c r="I106" i="3" a="1"/>
  <c r="I105" i="3"/>
  <c r="I104" i="3"/>
  <c r="J343" i="1"/>
  <c r="J45" i="2" s="1"/>
  <c r="E38" i="5"/>
  <c r="G344" i="1"/>
  <c r="G46" i="2" s="1"/>
  <c r="I38" i="5"/>
  <c r="W42" i="3"/>
  <c r="K344" i="1"/>
  <c r="K46" i="2" s="1"/>
  <c r="D39" i="5"/>
  <c r="X11" i="3"/>
  <c r="F345" i="1"/>
  <c r="F47" i="2" s="1"/>
  <c r="H39" i="5"/>
  <c r="J345" i="1"/>
  <c r="J47" i="2" s="1"/>
  <c r="E40" i="5"/>
  <c r="E106" i="3" a="1"/>
  <c r="E105" i="3"/>
  <c r="E104"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D104"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P104"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G104"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104"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4" i="3"/>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42" i="2" s="1"/>
  <c r="I34" i="5"/>
  <c r="W38" i="3"/>
  <c r="K340" i="1"/>
  <c r="K42" i="2" s="1"/>
  <c r="E35" i="5"/>
  <c r="G341" i="1"/>
  <c r="G43" i="2" s="1"/>
  <c r="I35" i="5"/>
  <c r="W39" i="3"/>
  <c r="K341" i="1"/>
  <c r="K43" i="2" s="1"/>
  <c r="F36" i="5"/>
  <c r="W24" i="3"/>
  <c r="C37" i="5"/>
  <c r="W9" i="3"/>
  <c r="G37" i="5"/>
  <c r="X25" i="3"/>
  <c r="K37" i="5"/>
  <c r="N106" i="3" a="1"/>
  <c r="N105" i="3"/>
  <c r="N104" i="3"/>
  <c r="C38" i="5"/>
  <c r="W10" i="3"/>
  <c r="G38" i="5"/>
  <c r="X26" i="3"/>
  <c r="F39" i="5"/>
  <c r="W27" i="3"/>
  <c r="C40" i="5"/>
  <c r="W12" i="3"/>
  <c r="E346" i="1"/>
  <c r="E48" i="2" s="1"/>
  <c r="G40" i="5"/>
  <c r="X28" i="3"/>
  <c r="I346" i="1"/>
  <c r="I48" i="2" s="1"/>
  <c r="K40" i="5"/>
  <c r="O106" i="3" a="1"/>
  <c r="O105" i="3"/>
  <c r="O104" i="3"/>
  <c r="M346" i="1"/>
  <c r="M48" i="2" s="1"/>
  <c r="C41" i="5"/>
  <c r="W13" i="3"/>
  <c r="E347" i="1"/>
  <c r="E49" i="2" s="1"/>
  <c r="G41" i="5"/>
  <c r="X29" i="3"/>
  <c r="I347" i="1"/>
  <c r="I49" i="2" s="1"/>
  <c r="K41" i="5"/>
  <c r="M347" i="1"/>
  <c r="M49" i="2" s="1"/>
  <c r="D42" i="5"/>
  <c r="X14" i="3"/>
  <c r="E43" i="5"/>
  <c r="F106" i="3" a="1"/>
  <c r="F105" i="3"/>
  <c r="F104"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E442" i="1"/>
  <c r="Q358" i="1"/>
  <c r="W139" i="1"/>
  <c r="F31" i="5"/>
  <c r="W19" i="3"/>
  <c r="H337" i="1"/>
  <c r="H39" i="2" s="1"/>
  <c r="J31" i="5"/>
  <c r="L337" i="1"/>
  <c r="L39" i="2" s="1"/>
  <c r="F32" i="5"/>
  <c r="W20" i="3"/>
  <c r="F33" i="5"/>
  <c r="W21" i="3"/>
  <c r="H339" i="1"/>
  <c r="H41" i="2" s="1"/>
  <c r="J33" i="5"/>
  <c r="L339" i="1"/>
  <c r="L41" i="2" s="1"/>
  <c r="D34" i="5"/>
  <c r="X6" i="3"/>
  <c r="H34" i="5"/>
  <c r="H106" i="3" a="1"/>
  <c r="H105" i="3"/>
  <c r="H104"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K104" i="3"/>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O66" i="3"/>
  <c r="G66" i="3"/>
  <c r="Q65" i="3"/>
  <c r="R65" i="3" s="1"/>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Q71" i="3"/>
  <c r="O68" i="3"/>
  <c r="E67" i="3"/>
  <c r="S64" i="3"/>
  <c r="C64" i="3"/>
  <c r="D64" i="3" s="1"/>
  <c r="I63" i="3"/>
  <c r="E21" i="3"/>
  <c r="E13" i="3"/>
  <c r="G72" i="3"/>
  <c r="M71" i="3"/>
  <c r="K68" i="3"/>
  <c r="Q67" i="3"/>
  <c r="O64" i="3"/>
  <c r="E63" i="3"/>
  <c r="F63" i="3" s="1"/>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L72" i="3" l="1"/>
  <c r="F69" i="3"/>
  <c r="R63" i="3"/>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 r="E12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Eugene Mah</author>
  </authors>
  <commentList>
    <comment ref="A30" authorId="0" shapeId="0" xr:uid="{00000000-0006-0000-0200-000001000000}">
      <text>
        <r>
          <rPr>
            <b/>
            <sz val="9"/>
            <color indexed="81"/>
            <rFont val="Tahoma"/>
            <family val="2"/>
          </rPr>
          <t>Eugene Mah:</t>
        </r>
        <r>
          <rPr>
            <sz val="9"/>
            <color indexed="81"/>
            <rFont val="Tahoma"/>
            <family val="2"/>
          </rPr>
          <t xml:space="preserve">
Nominal contrast values as a function of kVp</t>
        </r>
      </text>
    </comment>
    <comment ref="A46" authorId="0" shapeId="0" xr:uid="{00000000-0006-0000-0200-000002000000}">
      <text>
        <r>
          <rPr>
            <b/>
            <sz val="9"/>
            <color indexed="81"/>
            <rFont val="Tahoma"/>
            <family val="2"/>
          </rPr>
          <t>Eugene Mah:</t>
        </r>
        <r>
          <rPr>
            <sz val="9"/>
            <color indexed="81"/>
            <rFont val="Tahoma"/>
            <family val="2"/>
          </rPr>
          <t xml:space="preserve">
TO.10 nominal contrast values</t>
        </r>
      </text>
    </comment>
    <comment ref="A60" authorId="0" shapeId="0" xr:uid="{00000000-0006-0000-0200-00000300000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<sst xmlns="http://schemas.openxmlformats.org/spreadsheetml/2006/main" count="1201" uniqueCount="473">
  <si>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</si>
  <si>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</si>
  <si>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</si>
  <si>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</si>
  <si>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</si>
  <si>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</si>
  <si>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</si>
  <si>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</si>
  <si>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</si>
  <si>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</si>
  <si>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</si>
  <si>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</si>
  <si>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</si>
  <si>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</si>
  <si>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</si>
  <si>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</si>
  <si>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</si>
  <si>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</si>
  <si>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</si>
  <si>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</si>
  <si>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</si>
  <si>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</si>
  <si>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</si>
  <si>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</si>
  <si>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</si>
  <si>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</si>
  <si>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</si>
  <si>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</si>
  <si>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</si>
  <si>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</si>
  <si>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</si>
  <si>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</si>
  <si>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</si>
  <si>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</si>
  <si>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</si>
  <si>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</si>
  <si>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</si>
  <si>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</si>
  <si>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</si>
  <si>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</si>
  <si>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</si>
  <si>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</si>
  <si>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</si>
  <si>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</si>
  <si>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</si>
  <si>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</si>
  <si>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</si>
  <si>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</si>
  <si>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</si>
  <si>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</si>
  <si>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</si>
  <si>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</si>
  <si>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</si>
  <si>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</si>
  <si>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</si>
  <si>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</si>
  <si>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</si>
  <si>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</si>
  <si>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</si>
  <si>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</si>
  <si>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</si>
  <si>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</si>
  <si>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</si>
  <si>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</si>
  <si>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</si>
  <si>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</si>
  <si>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</si>
  <si>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</si>
  <si>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</si>
  <si>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</si>
  <si>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</si>
  <si>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</si>
  <si>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</si>
  <si>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</si>
  <si>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</si>
  <si>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</si>
  <si>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</si>
  <si>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</si>
  <si>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</si>
  <si>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</si>
  <si>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</si>
  <si>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</si>
  <si>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</si>
  <si>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</si>
  <si>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</si>
  <si>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</si>
  <si>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</si>
  <si>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</si>
  <si>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</si>
  <si>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</si>
  <si>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</si>
  <si>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</si>
  <si>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</si>
  <si>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</si>
  <si>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</si>
  <si>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</si>
  <si>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</si>
  <si>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</si>
  <si>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</si>
  <si>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</si>
  <si>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</si>
  <si>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</si>
  <si>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</si>
  <si>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</si>
  <si>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</si>
  <si>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</si>
  <si>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</si>
  <si>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</si>
  <si>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</si>
  <si>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</si>
  <si>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</si>
  <si>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</si>
  <si>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</si>
  <si>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</si>
  <si>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</si>
  <si>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</si>
  <si>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</si>
  <si>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</si>
  <si>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</si>
  <si>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</si>
  <si>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</si>
  <si>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</si>
  <si>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</si>
  <si>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</si>
  <si>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</si>
  <si>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</si>
  <si>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</si>
  <si>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</si>
  <si>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</si>
  <si>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</si>
  <si>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</si>
  <si>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</si>
  <si>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</si>
  <si>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</si>
  <si>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</si>
  <si>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</si>
  <si>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</si>
  <si>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</si>
  <si>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</si>
  <si>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</si>
  <si>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</si>
  <si>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</si>
  <si>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</si>
  <si>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</si>
  <si>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</si>
  <si>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</si>
  <si>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</si>
  <si>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</si>
  <si>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</si>
  <si>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</si>
  <si>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</si>
  <si>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</si>
  <si>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</si>
  <si>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</si>
  <si>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</si>
  <si>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</si>
  <si>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</si>
  <si>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</si>
  <si>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</si>
  <si>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</si>
  <si>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</si>
  <si>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</si>
  <si>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</si>
  <si>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</si>
  <si>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</si>
  <si>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</si>
  <si>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</si>
  <si>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</si>
  <si>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</si>
  <si>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</si>
  <si>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</si>
  <si>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</si>
  <si>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</si>
  <si>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</si>
  <si>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</si>
  <si>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</si>
  <si>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</si>
  <si>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</si>
  <si>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</si>
  <si>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</si>
  <si>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</si>
  <si>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</si>
  <si>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</si>
  <si>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</si>
  <si>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</si>
  <si>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</si>
  <si>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</si>
  <si>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</si>
  <si>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</si>
  <si>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</si>
  <si>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</si>
  <si>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</si>
  <si>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</si>
  <si>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</si>
  <si>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</si>
  <si>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</si>
  <si>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</si>
  <si>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</si>
  <si>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</si>
  <si>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</si>
  <si>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</si>
  <si>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</si>
  <si>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</si>
  <si>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</si>
  <si>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</si>
  <si>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</si>
  <si>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</si>
  <si>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</si>
  <si>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</si>
  <si>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</si>
  <si>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</si>
  <si>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</si>
  <si>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</si>
  <si>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</si>
  <si>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</si>
  <si>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</si>
  <si>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</si>
  <si>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</si>
  <si>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</si>
  <si>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</si>
  <si>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</si>
  <si>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</si>
  <si>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</si>
  <si>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</si>
  <si>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</si>
  <si>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</si>
  <si>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</si>
  <si>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</si>
  <si>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</si>
  <si>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</si>
  <si>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</si>
  <si>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</si>
  <si>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</si>
  <si>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</si>
  <si>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</si>
  <si>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</si>
  <si>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</si>
  <si>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</si>
  <si>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</si>
  <si>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</si>
  <si>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</si>
  <si>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</si>
  <si>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</si>
  <si>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</si>
  <si>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</si>
  <si>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</si>
  <si>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</si>
  <si>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</si>
  <si>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</si>
  <si>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</si>
  <si>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</si>
  <si>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</si>
  <si>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</si>
  <si>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</si>
  <si>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</si>
  <si>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</si>
  <si>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</si>
  <si>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</si>
  <si>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</si>
  <si>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</si>
  <si>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</si>
  <si>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</si>
  <si>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</si>
  <si>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</si>
  <si>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</si>
  <si>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</si>
  <si>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</si>
  <si>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</si>
  <si>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</si>
  <si>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</si>
  <si>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</si>
  <si>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</si>
  <si>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</si>
  <si>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</si>
  <si>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</si>
  <si>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</si>
  <si>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</si>
  <si>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</si>
  <si>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</si>
  <si>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</si>
  <si>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</si>
  <si>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</si>
  <si>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</si>
  <si>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</si>
  <si>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</si>
  <si>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</si>
  <si>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</si>
  <si>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</si>
  <si>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</si>
  <si>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</si>
  <si>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</si>
  <si>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</si>
  <si>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</si>
  <si>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</si>
  <si>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</si>
  <si>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</si>
  <si>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</si>
  <si>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</si>
  <si>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</si>
  <si>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</si>
  <si>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</si>
  <si>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</si>
  <si>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</si>
  <si>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</si>
  <si>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</si>
  <si>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</si>
  <si>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</si>
  <si>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</si>
  <si>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</si>
  <si>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</si>
  <si>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</si>
  <si>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</si>
  <si>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</si>
  <si>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</si>
  <si>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</si>
  <si>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</si>
  <si>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</si>
  <si>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</si>
  <si>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</si>
  <si>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</si>
  <si>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</si>
  <si>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</si>
  <si>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</si>
  <si>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</si>
  <si>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</si>
  <si>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</si>
  <si>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</si>
  <si>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</si>
  <si>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</si>
  <si>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</si>
  <si>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</si>
  <si>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</si>
  <si>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</si>
  <si>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</si>
  <si>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</si>
  <si>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</si>
  <si>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</si>
  <si>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</si>
  <si>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</si>
  <si>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</si>
  <si>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</si>
  <si>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</si>
  <si>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</si>
  <si>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</si>
  <si>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</si>
  <si>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</si>
  <si>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</si>
  <si>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</si>
  <si>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</si>
  <si>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</si>
  <si>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</si>
  <si>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</si>
  <si>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</si>
  <si>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</si>
  <si>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</si>
  <si>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</si>
  <si>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</si>
  <si>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</si>
  <si>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</si>
  <si>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</si>
  <si>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</si>
  <si>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</si>
  <si>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</si>
  <si>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</si>
  <si>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</si>
  <si>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</si>
  <si>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</si>
  <si>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</si>
  <si>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</si>
  <si>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</si>
  <si>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</si>
  <si>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</si>
  <si>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</si>
  <si>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</si>
  <si>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</si>
  <si>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</si>
  <si>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</si>
  <si>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</si>
  <si>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</si>
  <si>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</si>
  <si>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</si>
  <si>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</si>
  <si>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</si>
  <si>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</si>
  <si>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</si>
  <si>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</si>
  <si>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</si>
  <si>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</si>
  <si>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</si>
  <si>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</si>
  <si>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</si>
  <si>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</si>
  <si>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</si>
  <si>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</si>
  <si>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</si>
  <si>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</si>
  <si>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</si>
  <si>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</si>
  <si>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</si>
  <si>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</si>
  <si>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</si>
  <si>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</si>
  <si>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</si>
  <si>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</si>
  <si>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</si>
  <si>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</si>
  <si>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</si>
  <si>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</si>
  <si>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</si>
  <si>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</si>
  <si>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</si>
  <si>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</si>
  <si>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</si>
  <si>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</si>
  <si>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</si>
  <si>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</si>
  <si>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</si>
  <si>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</si>
  <si>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</si>
  <si>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</si>
  <si>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</si>
  <si>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</si>
  <si>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</si>
  <si>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</si>
  <si>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</si>
  <si>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</si>
  <si>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</si>
  <si>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</si>
  <si>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</si>
  <si>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</si>
  <si>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</si>
  <si>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</si>
  <si>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</si>
  <si>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</si>
  <si>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</si>
  <si>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</si>
  <si>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</si>
  <si>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</si>
  <si>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</si>
  <si>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</si>
  <si>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</si>
  <si>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</si>
  <si>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</si>
  <si>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</si>
  <si>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</si>
  <si>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</si>
  <si>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</si>
  <si>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</si>
  <si>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</si>
  <si>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</si>
  <si>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Exp rate (mGy/min)</t>
  </si>
  <si>
    <t>Exp Rate</t>
  </si>
  <si>
    <t>(mGy/min)</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</si>
  <si>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</si>
  <si>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</si>
  <si>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</si>
  <si>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</si>
  <si>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</si>
  <si>
    <t>Radcal 90-2123</t>
  </si>
  <si>
    <t>Measurements</t>
  </si>
  <si>
    <t>Set kV_x000D_(kV)</t>
  </si>
  <si>
    <t>Tube voltage_x000D_(kV)</t>
  </si>
  <si>
    <t>Exposure_x000D_(mGy)</t>
  </si>
  <si>
    <t>Exposure rate_x000D_(mGy/min)</t>
  </si>
  <si>
    <t>HVL_x000D_(mm Al)</t>
  </si>
  <si>
    <t>Total filtr._x000D_(mm Al)</t>
  </si>
  <si>
    <t>Set frames/s_x000D_(FPS)</t>
  </si>
  <si>
    <t>Frames/s_x000D_(FPS)</t>
  </si>
  <si>
    <t>Exposure/frame_x000D_(µGy/frame)</t>
  </si>
  <si>
    <t>Frame exp. rate_x000D_(mGy/s)</t>
  </si>
  <si>
    <t>Pulse width_x000D_(ms)</t>
  </si>
  <si>
    <t>Duty cycle ∆_x000D_(%)</t>
  </si>
  <si>
    <t>Revision 1.6-20220428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</si>
</sst>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3"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
      <b/>
      <sz val="12"/>
      <color rgb="FFFFFFFF"/>
      <name val="Times New Roman"/>
      <family val="1"/>
    </font>
  </fonts>
  <fills count="13">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
      <patternFill patternType="solid">
        <fgColor rgb="FF000000"/>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cellStyleXfs>
  <cellXfs count="642">
    <xf numFmtId="2" fontId="0" fillId="0" borderId="0" xfId="0">
      <alignment horizontal="center" vertical="center"/>
    </xf>
    <xf numFmtId="2" fontId="3" fillId="0" borderId="0" xfId="0" applyFont="1" applyAlignment="1">
      <alignment horizontal="center" vertical="center"/>
    </xf>
    <xf numFmtId="2" fontId="3" fillId="0" borderId="0" xfId="0" applyFont="1" applyAlignment="1">
      <alignment horizontal="right" vertical="center"/>
    </xf>
    <xf numFmtId="0" fontId="3" fillId="0" borderId="0" xfId="0" applyNumberFormat="1" applyFont="1" applyAlignment="1">
      <alignment horizontal="center" vertical="center"/>
    </xf>
    <xf numFmtId="2" fontId="3" fillId="0" borderId="2" xfId="0" applyFont="1" applyBorder="1" applyAlignment="1">
      <alignment horizontal="center" vertical="center"/>
    </xf>
    <xf numFmtId="2" fontId="3" fillId="0" borderId="3" xfId="0" applyFont="1" applyBorder="1" applyAlignment="1">
      <alignment horizontal="center" vertical="center"/>
    </xf>
    <xf numFmtId="2" fontId="3" fillId="0" borderId="4" xfId="0" applyFont="1" applyBorder="1" applyAlignment="1">
      <alignment horizontal="left"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4" fillId="0" borderId="0" xfId="0" applyFont="1" applyAlignment="1">
      <alignment horizontal="center" vertical="center"/>
    </xf>
    <xf numFmtId="2" fontId="3" fillId="0" borderId="7" xfId="0" applyFont="1" applyBorder="1" applyAlignment="1">
      <alignment horizontal="center" vertical="center"/>
    </xf>
    <xf numFmtId="2" fontId="5" fillId="0" borderId="0" xfId="0" applyFont="1" applyAlignment="1">
      <alignment horizontal="center"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0" xfId="0" applyFont="1" applyBorder="1" applyAlignment="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pplyAlignment="1">
      <alignment horizontal="center" vertical="center"/>
    </xf>
    <xf numFmtId="2" fontId="3" fillId="0" borderId="14" xfId="0" applyFont="1" applyBorder="1" applyAlignment="1">
      <alignment horizontal="center" vertical="center"/>
    </xf>
    <xf numFmtId="2" fontId="3" fillId="0" borderId="15" xfId="0" applyFont="1" applyBorder="1" applyAlignment="1">
      <alignment horizontal="center" vertical="center"/>
    </xf>
    <xf numFmtId="2" fontId="3" fillId="0" borderId="16" xfId="0"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6" fillId="0" borderId="0" xfId="0" applyFont="1" applyAlignment="1">
      <alignment horizontal="right" vertical="center"/>
    </xf>
    <xf numFmtId="165" fontId="3" fillId="0" borderId="19" xfId="0" applyNumberFormat="1" applyFont="1" applyBorder="1" applyAlignment="1">
      <alignment horizontal="center" vertical="center"/>
    </xf>
    <xf numFmtId="2" fontId="3" fillId="6" borderId="12" xfId="0" applyFont="1" applyFill="1" applyBorder="1" applyAlignment="1">
      <alignment horizontal="center" vertical="center"/>
    </xf>
    <xf numFmtId="2" fontId="3" fillId="5" borderId="11" xfId="0" applyFont="1" applyFill="1" applyBorder="1" applyAlignment="1">
      <alignment horizontal="center" vertical="center"/>
    </xf>
    <xf numFmtId="0" fontId="3" fillId="6" borderId="20" xfId="0" applyNumberFormat="1" applyFont="1" applyFill="1" applyBorder="1" applyAlignment="1">
      <alignment horizontal="left" vertical="center"/>
    </xf>
    <xf numFmtId="2" fontId="7" fillId="0" borderId="0" xfId="0" applyFont="1" applyAlignment="1">
      <alignment horizontal="center" vertical="center"/>
    </xf>
    <xf numFmtId="2" fontId="3" fillId="5" borderId="20" xfId="0" applyFont="1" applyFill="1" applyBorder="1" applyAlignment="1">
      <alignment horizontal="left" vertical="center"/>
    </xf>
    <xf numFmtId="2" fontId="8" fillId="0" borderId="0" xfId="0" applyFont="1" applyAlignment="1">
      <alignment horizontal="center" vertical="center"/>
    </xf>
    <xf numFmtId="165" fontId="3" fillId="0" borderId="20" xfId="0" applyNumberFormat="1" applyFont="1" applyBorder="1" applyAlignment="1">
      <alignment horizontal="center" vertical="center"/>
    </xf>
    <xf numFmtId="2" fontId="3" fillId="0" borderId="17" xfId="0" applyFont="1" applyBorder="1" applyAlignment="1">
      <alignment horizontal="center" vertical="center"/>
    </xf>
    <xf numFmtId="2" fontId="3" fillId="0" borderId="21" xfId="0" applyFont="1" applyBorder="1" applyAlignment="1">
      <alignment horizontal="center" vertical="center"/>
    </xf>
    <xf numFmtId="165" fontId="3" fillId="6" borderId="20" xfId="0" applyNumberFormat="1" applyFont="1" applyFill="1" applyBorder="1" applyAlignment="1">
      <alignment horizontal="center" vertical="center"/>
    </xf>
    <xf numFmtId="165" fontId="3" fillId="5" borderId="20" xfId="0" applyNumberFormat="1" applyFont="1" applyFill="1" applyBorder="1" applyAlignment="1">
      <alignment horizontal="center" vertical="center"/>
    </xf>
    <xf numFmtId="2" fontId="3" fillId="0" borderId="4" xfId="0" applyFont="1" applyBorder="1" applyAlignment="1">
      <alignment horizontal="center" vertical="center"/>
    </xf>
    <xf numFmtId="2" fontId="6" fillId="0" borderId="5" xfId="0" applyFont="1" applyBorder="1" applyAlignment="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pplyAlignment="1">
      <alignment horizontal="center" vertical="center"/>
    </xf>
    <xf numFmtId="2" fontId="3"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3" fillId="6" borderId="12" xfId="0" applyNumberFormat="1" applyFont="1" applyFill="1" applyBorder="1" applyAlignment="1">
      <alignment horizontal="center" vertical="center"/>
    </xf>
    <xf numFmtId="166" fontId="3" fillId="5" borderId="11"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5" borderId="11" xfId="0" applyNumberFormat="1" applyFont="1" applyFill="1" applyBorder="1" applyAlignment="1">
      <alignment horizontal="center" vertical="center"/>
    </xf>
    <xf numFmtId="2" fontId="9" fillId="0" borderId="0" xfId="0" applyFont="1" applyAlignment="1">
      <alignment horizontal="center" vertical="center"/>
    </xf>
    <xf numFmtId="2" fontId="6" fillId="0" borderId="0" xfId="0" applyFont="1" applyAlignment="1">
      <alignment horizontal="center" vertical="center"/>
    </xf>
    <xf numFmtId="166" fontId="3" fillId="6" borderId="20" xfId="0" applyNumberFormat="1" applyFont="1" applyFill="1" applyBorder="1" applyAlignment="1">
      <alignment horizontal="center" vertical="center"/>
    </xf>
    <xf numFmtId="166" fontId="3" fillId="5" borderId="20" xfId="0" applyNumberFormat="1" applyFont="1" applyFill="1" applyBorder="1" applyAlignment="1">
      <alignment horizontal="center" vertical="center"/>
    </xf>
    <xf numFmtId="2" fontId="0" fillId="0" borderId="0" xfId="0" applyAlignment="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pplyAlignment="1">
      <alignment horizontal="center" vertical="center"/>
    </xf>
    <xf numFmtId="0" fontId="3" fillId="6" borderId="25"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3" fillId="6" borderId="27" xfId="0" applyNumberFormat="1" applyFont="1" applyFill="1" applyBorder="1" applyAlignment="1">
      <alignment horizontal="center" vertical="center"/>
    </xf>
    <xf numFmtId="0" fontId="3" fillId="5" borderId="28"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6" borderId="29" xfId="0" applyNumberFormat="1" applyFont="1" applyFill="1" applyBorder="1" applyAlignment="1">
      <alignment horizontal="center" vertical="center"/>
    </xf>
    <xf numFmtId="0" fontId="3" fillId="5" borderId="30" xfId="0" applyNumberFormat="1" applyFont="1" applyFill="1" applyBorder="1" applyAlignment="1">
      <alignment horizontal="center" vertical="center"/>
    </xf>
    <xf numFmtId="0" fontId="3" fillId="0" borderId="24" xfId="0" applyNumberFormat="1" applyFont="1" applyBorder="1" applyAlignment="1">
      <alignment horizontal="center" vertical="center"/>
    </xf>
    <xf numFmtId="167" fontId="3" fillId="0" borderId="22" xfId="0" applyNumberFormat="1" applyFont="1" applyBorder="1" applyAlignment="1">
      <alignment horizontal="center" vertical="center"/>
    </xf>
    <xf numFmtId="2" fontId="3" fillId="0" borderId="22" xfId="0" applyFont="1" applyBorder="1" applyAlignment="1">
      <alignment horizontal="center" vertical="center"/>
    </xf>
    <xf numFmtId="2" fontId="3" fillId="0" borderId="22" xfId="0" applyFont="1" applyBorder="1" applyAlignment="1">
      <alignment horizontal="left" vertical="center"/>
    </xf>
    <xf numFmtId="0" fontId="3" fillId="0" borderId="22" xfId="0" applyNumberFormat="1" applyFont="1" applyBorder="1" applyAlignment="1">
      <alignment horizontal="center" vertical="center"/>
    </xf>
    <xf numFmtId="2" fontId="10"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3" fillId="0" borderId="9" xfId="0" applyNumberFormat="1" applyFont="1" applyBorder="1" applyAlignment="1">
      <alignment horizontal="center" vertical="center"/>
    </xf>
    <xf numFmtId="2" fontId="9" fillId="0" borderId="0" xfId="0" applyFont="1" applyBorder="1" applyAlignment="1">
      <alignment horizontal="left" vertical="center"/>
    </xf>
    <xf numFmtId="0" fontId="3" fillId="6" borderId="31" xfId="0" applyNumberFormat="1" applyFont="1" applyFill="1" applyBorder="1" applyAlignment="1">
      <alignment horizontal="center" vertical="center"/>
    </xf>
    <xf numFmtId="0" fontId="3" fillId="5" borderId="32" xfId="0" applyNumberFormat="1" applyFont="1" applyFill="1" applyBorder="1" applyAlignment="1">
      <alignment horizontal="center" vertical="center"/>
    </xf>
    <xf numFmtId="2" fontId="3" fillId="0" borderId="5" xfId="0" applyFont="1" applyBorder="1" applyAlignment="1">
      <alignment horizontal="left" vertical="center"/>
    </xf>
    <xf numFmtId="2" fontId="0" fillId="0" borderId="5" xfId="0" applyBorder="1" applyAlignment="1">
      <alignment horizontal="center" vertical="center"/>
    </xf>
    <xf numFmtId="2" fontId="6" fillId="0" borderId="9" xfId="0" applyFont="1" applyBorder="1" applyAlignment="1">
      <alignment horizontal="left" vertical="center"/>
    </xf>
    <xf numFmtId="2" fontId="3" fillId="6" borderId="27" xfId="0" applyFont="1" applyFill="1" applyBorder="1" applyAlignment="1">
      <alignment horizontal="center" vertical="center"/>
    </xf>
    <xf numFmtId="2" fontId="4" fillId="0" borderId="9" xfId="0" applyFont="1" applyBorder="1" applyAlignment="1">
      <alignment horizontal="left" vertical="center"/>
    </xf>
    <xf numFmtId="2" fontId="3" fillId="0" borderId="33" xfId="0" applyFont="1" applyBorder="1" applyAlignment="1">
      <alignment horizontal="center" vertical="center"/>
    </xf>
    <xf numFmtId="2" fontId="3" fillId="0" borderId="34" xfId="0" applyFont="1" applyBorder="1" applyAlignment="1">
      <alignment horizontal="center" vertical="center"/>
    </xf>
    <xf numFmtId="2" fontId="3" fillId="7" borderId="35" xfId="0" applyFont="1" applyFill="1" applyBorder="1" applyAlignment="1">
      <alignment horizontal="center" vertical="center"/>
    </xf>
    <xf numFmtId="2" fontId="3" fillId="7" borderId="36" xfId="0" applyFont="1" applyFill="1" applyBorder="1" applyAlignment="1">
      <alignment horizontal="center" vertical="center"/>
    </xf>
    <xf numFmtId="2" fontId="3" fillId="7" borderId="37" xfId="0" applyFont="1" applyFill="1" applyBorder="1" applyAlignment="1">
      <alignment horizontal="center" vertical="center"/>
    </xf>
    <xf numFmtId="0" fontId="3" fillId="6" borderId="38" xfId="0" applyNumberFormat="1" applyFont="1" applyFill="1" applyBorder="1" applyAlignment="1">
      <alignment horizontal="center" vertical="center"/>
    </xf>
    <xf numFmtId="2" fontId="3" fillId="7" borderId="39" xfId="0" applyFont="1" applyFill="1" applyBorder="1" applyAlignment="1">
      <alignment horizontal="center" vertical="center"/>
    </xf>
    <xf numFmtId="2" fontId="3" fillId="7" borderId="1" xfId="0" applyFont="1" applyFill="1" applyBorder="1" applyAlignment="1">
      <alignment horizontal="center" vertical="center"/>
    </xf>
    <xf numFmtId="2" fontId="3" fillId="7" borderId="40" xfId="0" applyFont="1" applyFill="1" applyBorder="1" applyAlignment="1">
      <alignment horizontal="center" vertical="center"/>
    </xf>
    <xf numFmtId="0" fontId="3" fillId="5" borderId="41" xfId="0" applyNumberFormat="1" applyFont="1" applyFill="1" applyBorder="1" applyAlignment="1">
      <alignment horizontal="center" vertical="center"/>
    </xf>
    <xf numFmtId="2" fontId="3" fillId="0" borderId="42" xfId="0" applyFont="1" applyBorder="1" applyAlignment="1">
      <alignment horizontal="center" vertical="center"/>
    </xf>
    <xf numFmtId="2" fontId="3" fillId="7" borderId="43" xfId="0" applyFont="1" applyFill="1" applyBorder="1" applyAlignment="1">
      <alignment horizontal="center" vertical="center"/>
    </xf>
    <xf numFmtId="2" fontId="3" fillId="7" borderId="44" xfId="0" applyFont="1" applyFill="1" applyBorder="1" applyAlignment="1">
      <alignment horizontal="center" vertical="center"/>
    </xf>
    <xf numFmtId="2" fontId="3" fillId="7" borderId="45" xfId="0" applyFont="1" applyFill="1" applyBorder="1" applyAlignment="1">
      <alignment horizontal="center" vertical="center"/>
    </xf>
    <xf numFmtId="2" fontId="3" fillId="0" borderId="46" xfId="0" applyFont="1" applyBorder="1" applyAlignment="1">
      <alignment horizontal="center" vertical="center"/>
    </xf>
    <xf numFmtId="2" fontId="3" fillId="7" borderId="47" xfId="0" applyFont="1" applyFill="1" applyBorder="1" applyAlignment="1">
      <alignment horizontal="center" vertical="center"/>
    </xf>
    <xf numFmtId="2" fontId="3" fillId="7" borderId="48" xfId="0" applyFont="1" applyFill="1" applyBorder="1" applyAlignment="1">
      <alignment horizontal="center" vertical="center"/>
    </xf>
    <xf numFmtId="2" fontId="3" fillId="7" borderId="49" xfId="0" applyFont="1" applyFill="1" applyBorder="1" applyAlignment="1">
      <alignment horizontal="center" vertical="center"/>
    </xf>
    <xf numFmtId="2" fontId="3" fillId="6" borderId="47" xfId="0" applyFont="1" applyFill="1" applyBorder="1" applyAlignment="1">
      <alignment horizontal="center" vertical="center"/>
    </xf>
    <xf numFmtId="2" fontId="3" fillId="6" borderId="48" xfId="0" applyFont="1" applyFill="1" applyBorder="1" applyAlignment="1">
      <alignment horizontal="center" vertical="center"/>
    </xf>
    <xf numFmtId="2" fontId="3" fillId="6" borderId="49" xfId="0" applyFont="1" applyFill="1" applyBorder="1" applyAlignment="1">
      <alignment horizontal="center" vertical="center"/>
    </xf>
    <xf numFmtId="2" fontId="12" fillId="0" borderId="0" xfId="0" applyFont="1" applyAlignment="1">
      <alignment horizontal="center" vertical="center"/>
    </xf>
    <xf numFmtId="2" fontId="3" fillId="8" borderId="50" xfId="0" applyFont="1" applyFill="1" applyBorder="1" applyAlignment="1">
      <alignment horizontal="center" vertical="center"/>
    </xf>
    <xf numFmtId="2" fontId="3" fillId="8" borderId="51" xfId="0" applyFont="1" applyFill="1" applyBorder="1" applyAlignment="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pplyAlignment="1">
      <alignment horizontal="center" vertical="center"/>
    </xf>
    <xf numFmtId="2" fontId="3" fillId="0" borderId="23" xfId="0" applyFont="1" applyBorder="1" applyAlignment="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3" fillId="0" borderId="0" xfId="0" applyFont="1" applyBorder="1" applyAlignment="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3" fillId="0" borderId="41" xfId="0" applyNumberFormat="1" applyFont="1" applyBorder="1" applyAlignment="1">
      <alignment horizontal="center" vertical="center"/>
    </xf>
    <xf numFmtId="2" fontId="3" fillId="5" borderId="20" xfId="0" applyFont="1" applyFill="1" applyBorder="1" applyAlignment="1">
      <alignment horizontal="center" vertical="center"/>
    </xf>
    <xf numFmtId="2" fontId="3" fillId="0" borderId="29" xfId="0" applyFont="1" applyBorder="1" applyAlignment="1">
      <alignment horizontal="center" vertical="center"/>
    </xf>
    <xf numFmtId="2" fontId="3" fillId="0" borderId="54" xfId="0" applyFont="1" applyBorder="1" applyAlignment="1">
      <alignment horizontal="center" vertical="center"/>
    </xf>
    <xf numFmtId="2" fontId="3" fillId="0" borderId="55" xfId="0" applyFont="1" applyBorder="1" applyAlignment="1">
      <alignment horizontal="center" vertical="center"/>
    </xf>
    <xf numFmtId="0" fontId="3" fillId="7" borderId="35" xfId="0" applyNumberFormat="1" applyFont="1" applyFill="1" applyBorder="1" applyAlignment="1">
      <alignment horizontal="center" vertical="center"/>
    </xf>
    <xf numFmtId="0" fontId="3" fillId="7" borderId="36" xfId="0" applyNumberFormat="1" applyFont="1" applyFill="1" applyBorder="1" applyAlignment="1">
      <alignment horizontal="center" vertical="center"/>
    </xf>
    <xf numFmtId="168" fontId="3" fillId="0" borderId="25" xfId="0" applyNumberFormat="1" applyFont="1" applyBorder="1" applyAlignment="1">
      <alignment horizontal="center" vertical="center"/>
    </xf>
    <xf numFmtId="2" fontId="3" fillId="7" borderId="37" xfId="0" applyFont="1" applyFill="1" applyBorder="1" applyAlignment="1">
      <alignment horizontal="center" vertical="center"/>
    </xf>
    <xf numFmtId="2" fontId="3" fillId="0" borderId="1" xfId="0" applyFont="1" applyBorder="1" applyAlignment="1">
      <alignment horizontal="center" vertical="center"/>
    </xf>
    <xf numFmtId="2" fontId="0" fillId="0" borderId="9" xfId="0" applyBorder="1" applyAlignment="1">
      <alignment horizontal="center" vertical="center"/>
    </xf>
    <xf numFmtId="2" fontId="3" fillId="0" borderId="56" xfId="0" applyFont="1" applyBorder="1" applyAlignment="1">
      <alignment horizontal="center" vertical="center"/>
    </xf>
    <xf numFmtId="168" fontId="3" fillId="0" borderId="43" xfId="0" applyNumberFormat="1" applyFont="1" applyBorder="1" applyAlignment="1">
      <alignment horizontal="center" vertical="center"/>
    </xf>
    <xf numFmtId="2" fontId="3" fillId="7" borderId="45" xfId="0" applyFont="1" applyFill="1" applyBorder="1" applyAlignment="1">
      <alignment horizontal="center" vertical="center"/>
    </xf>
    <xf numFmtId="2" fontId="3" fillId="0" borderId="57" xfId="0" applyFont="1" applyBorder="1" applyAlignment="1">
      <alignment horizontal="center" vertical="center"/>
    </xf>
    <xf numFmtId="2" fontId="3" fillId="0" borderId="0" xfId="0" applyFont="1" applyBorder="1" applyAlignment="1">
      <alignment horizontal="center" vertical="center"/>
    </xf>
    <xf numFmtId="168" fontId="3" fillId="7" borderId="35" xfId="0" applyNumberFormat="1" applyFont="1" applyFill="1" applyBorder="1" applyAlignment="1">
      <alignment horizontal="center" vertical="center"/>
    </xf>
    <xf numFmtId="168" fontId="3" fillId="7" borderId="58" xfId="0" applyNumberFormat="1" applyFont="1" applyFill="1" applyBorder="1" applyAlignment="1">
      <alignment horizontal="center" vertical="center"/>
    </xf>
    <xf numFmtId="2" fontId="3" fillId="8" borderId="1" xfId="0" applyFont="1" applyFill="1" applyBorder="1" applyAlignment="1">
      <alignment horizontal="center" vertical="center"/>
    </xf>
    <xf numFmtId="2" fontId="3" fillId="8" borderId="46" xfId="0" applyFont="1" applyFill="1" applyBorder="1" applyAlignment="1">
      <alignment horizontal="center" vertical="center"/>
    </xf>
    <xf numFmtId="2" fontId="3" fillId="6" borderId="52" xfId="0" applyFont="1" applyFill="1" applyBorder="1" applyAlignment="1">
      <alignment horizontal="center" vertical="center"/>
    </xf>
    <xf numFmtId="2" fontId="3" fillId="0" borderId="59" xfId="0" applyFont="1" applyBorder="1" applyAlignment="1">
      <alignment horizontal="center" vertical="center"/>
    </xf>
    <xf numFmtId="2" fontId="3" fillId="7" borderId="59" xfId="0" applyFont="1" applyFill="1" applyBorder="1" applyAlignment="1">
      <alignment horizontal="center" vertical="center"/>
    </xf>
    <xf numFmtId="2" fontId="3" fillId="6" borderId="59" xfId="0" applyFont="1" applyFill="1" applyBorder="1" applyAlignment="1">
      <alignment horizontal="center" vertical="center"/>
    </xf>
    <xf numFmtId="2" fontId="3" fillId="0" borderId="60" xfId="0" applyFont="1" applyBorder="1" applyAlignment="1">
      <alignment horizontal="center" vertical="center"/>
    </xf>
    <xf numFmtId="2" fontId="3" fillId="7" borderId="60" xfId="0" applyFont="1" applyFill="1" applyBorder="1" applyAlignment="1">
      <alignment horizontal="center" vertical="center"/>
    </xf>
    <xf numFmtId="2" fontId="3" fillId="6" borderId="60" xfId="0" applyFont="1" applyFill="1" applyBorder="1" applyAlignment="1">
      <alignment horizontal="center" vertical="center"/>
    </xf>
    <xf numFmtId="2" fontId="3" fillId="7" borderId="57" xfId="0" applyFont="1" applyFill="1" applyBorder="1" applyAlignment="1">
      <alignment horizontal="center" vertical="center"/>
    </xf>
    <xf numFmtId="2" fontId="3"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3" fillId="0" borderId="0" xfId="0" applyFont="1" applyAlignment="1">
      <alignment vertical="center"/>
    </xf>
    <xf numFmtId="2" fontId="3" fillId="8" borderId="59" xfId="0" applyFont="1" applyFill="1" applyBorder="1" applyAlignment="1">
      <alignment horizontal="center" vertical="center"/>
    </xf>
    <xf numFmtId="2" fontId="3" fillId="0" borderId="67" xfId="0" applyFont="1" applyBorder="1" applyAlignment="1">
      <alignment horizontal="right" vertical="center"/>
    </xf>
    <xf numFmtId="0" fontId="3" fillId="0" borderId="48" xfId="0" applyNumberFormat="1" applyFont="1" applyBorder="1" applyAlignment="1">
      <alignment horizontal="center" vertical="center"/>
    </xf>
    <xf numFmtId="2" fontId="3" fillId="0" borderId="48" xfId="0" applyFont="1" applyBorder="1" applyAlignment="1">
      <alignment horizontal="center" vertical="center"/>
    </xf>
    <xf numFmtId="2" fontId="3" fillId="8" borderId="57" xfId="0" applyFont="1" applyFill="1" applyBorder="1" applyAlignment="1">
      <alignment horizontal="center" vertical="center"/>
    </xf>
    <xf numFmtId="2" fontId="3" fillId="0" borderId="68" xfId="0" applyFont="1" applyBorder="1" applyAlignment="1">
      <alignment horizontal="right" vertical="center"/>
    </xf>
    <xf numFmtId="0" fontId="3" fillId="0" borderId="36" xfId="0" applyNumberFormat="1" applyFont="1" applyBorder="1" applyAlignment="1">
      <alignment horizontal="center" vertical="center"/>
    </xf>
    <xf numFmtId="2" fontId="3" fillId="0" borderId="36" xfId="0" applyFont="1" applyBorder="1" applyAlignment="1">
      <alignment horizontal="center" vertical="center"/>
    </xf>
    <xf numFmtId="2" fontId="3" fillId="6" borderId="36" xfId="0" applyFont="1" applyFill="1" applyBorder="1" applyAlignment="1">
      <alignment horizontal="center" vertical="center"/>
    </xf>
    <xf numFmtId="2" fontId="3" fillId="6" borderId="37" xfId="0" applyFont="1" applyFill="1" applyBorder="1" applyAlignment="1">
      <alignment horizontal="center" vertical="center"/>
    </xf>
    <xf numFmtId="2" fontId="3" fillId="0" borderId="69" xfId="0" applyFont="1" applyBorder="1" applyAlignment="1">
      <alignment horizontal="right" vertical="center"/>
    </xf>
    <xf numFmtId="0" fontId="3" fillId="0" borderId="44" xfId="0" applyNumberFormat="1" applyFont="1" applyBorder="1" applyAlignment="1">
      <alignment horizontal="center" vertical="center"/>
    </xf>
    <xf numFmtId="2" fontId="3" fillId="0" borderId="44" xfId="0" applyFont="1" applyBorder="1" applyAlignment="1">
      <alignment horizontal="center" vertical="center"/>
    </xf>
    <xf numFmtId="2" fontId="3" fillId="6" borderId="44" xfId="0" applyFont="1" applyFill="1" applyBorder="1" applyAlignment="1">
      <alignment horizontal="center" vertical="center"/>
    </xf>
    <xf numFmtId="2" fontId="3" fillId="6" borderId="45" xfId="0" applyFont="1" applyFill="1" applyBorder="1" applyAlignment="1">
      <alignment horizontal="center" vertical="center"/>
    </xf>
    <xf numFmtId="0" fontId="16" fillId="7" borderId="24" xfId="0" applyNumberFormat="1" applyFont="1" applyFill="1" applyBorder="1" applyAlignment="1">
      <alignment horizontal="center" vertical="center"/>
    </xf>
    <xf numFmtId="2" fontId="16" fillId="0" borderId="0" xfId="0" applyFont="1" applyAlignment="1">
      <alignment horizontal="center" vertical="center"/>
    </xf>
    <xf numFmtId="2" fontId="16" fillId="0" borderId="10" xfId="0" applyFont="1" applyBorder="1" applyAlignment="1">
      <alignment horizontal="center" vertical="center"/>
    </xf>
    <xf numFmtId="2" fontId="16" fillId="0" borderId="24" xfId="0" applyFont="1" applyBorder="1" applyAlignment="1">
      <alignment horizontal="center" vertical="center"/>
    </xf>
    <xf numFmtId="2" fontId="0" fillId="0" borderId="10" xfId="0" applyBorder="1" applyAlignment="1">
      <alignment horizontal="center" vertical="center"/>
    </xf>
    <xf numFmtId="2" fontId="3" fillId="0" borderId="37" xfId="0" applyFont="1" applyBorder="1" applyAlignment="1">
      <alignment horizontal="center" vertical="center"/>
    </xf>
    <xf numFmtId="2" fontId="3" fillId="0" borderId="40" xfId="0" applyFont="1" applyBorder="1" applyAlignment="1">
      <alignment horizontal="center" vertical="center"/>
    </xf>
    <xf numFmtId="2" fontId="3" fillId="0" borderId="45" xfId="0" applyFont="1" applyBorder="1" applyAlignment="1">
      <alignment horizontal="center" vertical="center"/>
    </xf>
    <xf numFmtId="2" fontId="4" fillId="0" borderId="9" xfId="0" applyFont="1" applyBorder="1" applyAlignment="1">
      <alignment horizontal="center" vertical="center"/>
    </xf>
    <xf numFmtId="2" fontId="0" fillId="0" borderId="33" xfId="0" applyFont="1" applyBorder="1" applyAlignment="1">
      <alignment horizontal="center" vertical="center"/>
    </xf>
    <xf numFmtId="2" fontId="3" fillId="0" borderId="35" xfId="0" applyFont="1" applyBorder="1" applyAlignment="1">
      <alignment horizontal="center" vertical="center"/>
    </xf>
    <xf numFmtId="2" fontId="3" fillId="0" borderId="36" xfId="0" applyFont="1" applyBorder="1" applyAlignment="1">
      <alignment horizontal="center" vertical="center"/>
    </xf>
    <xf numFmtId="2" fontId="3"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3" fillId="0" borderId="43" xfId="0" applyFont="1" applyBorder="1" applyAlignment="1">
      <alignment horizontal="center" vertical="center"/>
    </xf>
    <xf numFmtId="2" fontId="3" fillId="0" borderId="44" xfId="0" applyFont="1" applyBorder="1" applyAlignment="1">
      <alignment horizontal="center" vertical="center"/>
    </xf>
    <xf numFmtId="2" fontId="0" fillId="0" borderId="0" xfId="0" applyBorder="1" applyAlignment="1">
      <alignment horizontal="center" vertical="center"/>
    </xf>
    <xf numFmtId="4" fontId="3" fillId="0" borderId="36" xfId="0" applyNumberFormat="1" applyFont="1" applyBorder="1" applyAlignment="1">
      <alignment horizontal="center" vertical="center"/>
    </xf>
    <xf numFmtId="169" fontId="3" fillId="0" borderId="37" xfId="0" applyNumberFormat="1" applyFont="1" applyBorder="1" applyAlignment="1">
      <alignment horizontal="center" vertical="center"/>
    </xf>
    <xf numFmtId="2" fontId="3" fillId="0" borderId="11" xfId="0" applyFont="1" applyBorder="1" applyAlignment="1">
      <alignment horizontal="center" vertical="center"/>
    </xf>
    <xf numFmtId="4" fontId="3" fillId="0" borderId="1" xfId="0" applyNumberFormat="1" applyFont="1" applyBorder="1" applyAlignment="1">
      <alignment horizontal="center" vertical="center"/>
    </xf>
    <xf numFmtId="169" fontId="3" fillId="0" borderId="40" xfId="0" applyNumberFormat="1" applyFont="1" applyBorder="1" applyAlignment="1">
      <alignment horizontal="center" vertical="center"/>
    </xf>
    <xf numFmtId="4" fontId="3" fillId="0" borderId="44" xfId="0" applyNumberFormat="1" applyFont="1" applyBorder="1" applyAlignment="1">
      <alignment horizontal="center" vertical="center"/>
    </xf>
    <xf numFmtId="169" fontId="3"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4" fillId="0" borderId="9" xfId="0" applyFont="1" applyBorder="1" applyAlignment="1">
      <alignment vertical="center"/>
    </xf>
    <xf numFmtId="2" fontId="3" fillId="0" borderId="0" xfId="0" applyFont="1">
      <alignment horizontal="center" vertical="center"/>
    </xf>
    <xf numFmtId="2" fontId="3" fillId="0" borderId="10" xfId="0" applyFont="1" applyBorder="1">
      <alignment horizontal="center" vertical="center"/>
    </xf>
    <xf numFmtId="2" fontId="3" fillId="0" borderId="9" xfId="0" applyFont="1" applyBorder="1">
      <alignment horizontal="center" vertical="center"/>
    </xf>
    <xf numFmtId="2" fontId="3" fillId="0" borderId="0" xfId="0" applyFont="1" applyBorder="1" applyAlignment="1">
      <alignment horizontal="right" vertical="center"/>
    </xf>
    <xf numFmtId="1" fontId="3" fillId="9" borderId="75" xfId="5" applyFont="1" applyFill="1" applyBorder="1">
      <alignment horizontal="left" vertical="center"/>
      <protection locked="0"/>
    </xf>
    <xf numFmtId="2" fontId="6" fillId="0" borderId="0" xfId="0" applyFont="1" applyBorder="1" applyAlignment="1">
      <alignment horizontal="right" vertical="center"/>
    </xf>
    <xf numFmtId="2" fontId="3" fillId="0" borderId="76" xfId="0" applyFont="1" applyBorder="1" applyAlignment="1">
      <alignment horizontal="center" vertical="center"/>
    </xf>
    <xf numFmtId="168" fontId="3" fillId="0" borderId="35" xfId="0" applyNumberFormat="1" applyFont="1" applyBorder="1" applyAlignment="1">
      <alignment horizontal="center" vertical="center"/>
    </xf>
    <xf numFmtId="2" fontId="3" fillId="0" borderId="77" xfId="0" applyFont="1" applyBorder="1" applyAlignment="1">
      <alignment horizontal="center" vertical="center"/>
    </xf>
    <xf numFmtId="168" fontId="3" fillId="0" borderId="39" xfId="0" applyNumberFormat="1" applyFont="1" applyBorder="1" applyAlignment="1">
      <alignment horizontal="center" vertical="center"/>
    </xf>
    <xf numFmtId="2" fontId="3" fillId="0" borderId="66" xfId="0" applyFont="1" applyBorder="1" applyAlignment="1">
      <alignment horizontal="center" vertical="center"/>
    </xf>
    <xf numFmtId="2" fontId="15" fillId="0" borderId="5" xfId="0" applyFont="1" applyBorder="1" applyAlignment="1">
      <alignment horizontal="left" vertical="center"/>
    </xf>
    <xf numFmtId="2" fontId="3" fillId="0" borderId="46" xfId="0" applyFont="1" applyBorder="1">
      <alignment horizontal="center" vertical="center"/>
    </xf>
    <xf numFmtId="2" fontId="3" fillId="7" borderId="46" xfId="0" applyFont="1" applyFill="1" applyBorder="1" applyAlignment="1">
      <alignment horizontal="center" vertical="center"/>
    </xf>
    <xf numFmtId="2" fontId="3" fillId="0" borderId="35" xfId="0" applyFont="1" applyBorder="1" applyAlignment="1">
      <alignment horizontal="center" vertical="center"/>
    </xf>
    <xf numFmtId="2" fontId="3" fillId="0" borderId="37" xfId="0" applyFont="1" applyBorder="1" applyAlignment="1">
      <alignment horizontal="center" vertical="center"/>
    </xf>
    <xf numFmtId="2" fontId="3" fillId="0" borderId="9" xfId="0" applyFont="1" applyBorder="1" applyAlignment="1">
      <alignment horizontal="right" vertical="center"/>
    </xf>
    <xf numFmtId="2" fontId="3" fillId="0" borderId="59" xfId="0" applyFont="1" applyBorder="1">
      <alignment horizontal="center" vertical="center"/>
    </xf>
    <xf numFmtId="2" fontId="3" fillId="0" borderId="60" xfId="0" applyFont="1" applyBorder="1">
      <alignment horizontal="center" vertical="center"/>
    </xf>
    <xf numFmtId="10" fontId="3" fillId="0" borderId="57" xfId="0" applyNumberFormat="1" applyFont="1" applyBorder="1">
      <alignment horizontal="center" vertical="center"/>
    </xf>
    <xf numFmtId="2" fontId="3" fillId="0" borderId="78" xfId="0" applyFont="1" applyBorder="1" applyAlignment="1">
      <alignment horizontal="center" vertical="center"/>
    </xf>
    <xf numFmtId="2" fontId="3" fillId="0" borderId="79" xfId="0" applyFont="1" applyBorder="1" applyAlignment="1">
      <alignment horizontal="center" vertical="center"/>
    </xf>
    <xf numFmtId="2" fontId="3" fillId="0" borderId="80" xfId="0" applyFont="1" applyBorder="1" applyAlignment="1">
      <alignment horizontal="center" vertical="center"/>
    </xf>
    <xf numFmtId="0" fontId="3" fillId="7" borderId="37" xfId="0" applyNumberFormat="1" applyFont="1" applyFill="1" applyBorder="1" applyAlignment="1">
      <alignment horizontal="center" vertical="center"/>
    </xf>
    <xf numFmtId="0" fontId="3" fillId="7" borderId="81" xfId="0" applyNumberFormat="1" applyFont="1" applyFill="1" applyBorder="1" applyAlignment="1">
      <alignment horizontal="center" vertical="center"/>
    </xf>
    <xf numFmtId="0" fontId="3" fillId="7" borderId="39"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40" xfId="0" applyNumberFormat="1" applyFont="1" applyFill="1" applyBorder="1" applyAlignment="1">
      <alignment horizontal="center" vertical="center"/>
    </xf>
    <xf numFmtId="0" fontId="3" fillId="7" borderId="8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2" fontId="0" fillId="0" borderId="5" xfId="0" applyFont="1" applyBorder="1" applyAlignment="1">
      <alignment horizontal="center" vertical="center"/>
    </xf>
    <xf numFmtId="0" fontId="3" fillId="7" borderId="43" xfId="0" applyNumberFormat="1" applyFont="1" applyFill="1" applyBorder="1" applyAlignment="1">
      <alignment horizontal="center" vertical="center"/>
    </xf>
    <xf numFmtId="0" fontId="3" fillId="7" borderId="44" xfId="0" applyNumberFormat="1" applyFont="1" applyFill="1" applyBorder="1" applyAlignment="1">
      <alignment horizontal="center" vertical="center"/>
    </xf>
    <xf numFmtId="0" fontId="3" fillId="7" borderId="45" xfId="0" applyNumberFormat="1" applyFont="1" applyFill="1" applyBorder="1" applyAlignment="1">
      <alignment horizontal="center" vertical="center"/>
    </xf>
    <xf numFmtId="0" fontId="3" fillId="7" borderId="83" xfId="0" applyNumberFormat="1" applyFont="1" applyFill="1" applyBorder="1" applyAlignment="1">
      <alignment horizontal="center" vertical="center"/>
    </xf>
    <xf numFmtId="2" fontId="3" fillId="0" borderId="14" xfId="0" applyFont="1" applyBorder="1" applyAlignment="1">
      <alignment horizontal="left" vertical="center"/>
    </xf>
    <xf numFmtId="0" fontId="3" fillId="0" borderId="1" xfId="0" applyNumberFormat="1" applyFont="1" applyBorder="1" applyAlignment="1">
      <alignment horizontal="center" vertical="center"/>
    </xf>
    <xf numFmtId="168" fontId="3" fillId="7" borderId="1" xfId="0" applyNumberFormat="1" applyFont="1" applyFill="1" applyBorder="1" applyAlignment="1">
      <alignment horizontal="center" vertical="center"/>
    </xf>
    <xf numFmtId="168" fontId="3"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3" fillId="0" borderId="60" xfId="0" applyNumberFormat="1" applyFont="1" applyBorder="1" applyAlignment="1">
      <alignment horizontal="center" vertical="center"/>
    </xf>
    <xf numFmtId="0" fontId="0" fillId="0" borderId="0" xfId="0" applyNumberFormat="1" applyAlignment="1">
      <alignment horizontal="center" vertical="center"/>
    </xf>
    <xf numFmtId="0" fontId="3" fillId="0" borderId="10" xfId="0" applyNumberFormat="1" applyFont="1" applyBorder="1" applyAlignment="1">
      <alignment horizontal="center" vertical="center"/>
    </xf>
    <xf numFmtId="168" fontId="3" fillId="0" borderId="57" xfId="0" applyNumberFormat="1" applyFont="1" applyBorder="1" applyAlignment="1">
      <alignment horizontal="center" vertical="center"/>
    </xf>
    <xf numFmtId="2" fontId="6" fillId="0" borderId="9" xfId="0" applyFont="1" applyBorder="1" applyAlignment="1">
      <alignment horizontal="center" vertical="center"/>
    </xf>
    <xf numFmtId="2" fontId="3" fillId="0" borderId="1" xfId="0" applyFont="1" applyBorder="1" applyAlignment="1">
      <alignment horizontal="center" vertical="center"/>
    </xf>
    <xf numFmtId="0" fontId="3" fillId="5" borderId="52" xfId="0" applyNumberFormat="1" applyFont="1" applyFill="1" applyBorder="1" applyAlignment="1">
      <alignment horizontal="left" vertical="center"/>
    </xf>
    <xf numFmtId="2" fontId="3" fillId="0" borderId="81" xfId="0" applyFont="1" applyBorder="1" applyAlignment="1">
      <alignment horizontal="center" vertical="center"/>
    </xf>
    <xf numFmtId="2" fontId="3" fillId="6" borderId="22" xfId="0" applyFont="1" applyFill="1" applyBorder="1" applyAlignment="1">
      <alignment horizontal="left" vertical="center"/>
    </xf>
    <xf numFmtId="0" fontId="17" fillId="0" borderId="82" xfId="0" applyNumberFormat="1" applyFont="1" applyBorder="1" applyAlignment="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pplyAlignment="1">
      <alignment horizontal="center" vertical="center"/>
    </xf>
    <xf numFmtId="2" fontId="3" fillId="0" borderId="86" xfId="0" applyFont="1" applyBorder="1" applyAlignment="1">
      <alignment horizontal="left" vertical="center"/>
    </xf>
    <xf numFmtId="2" fontId="3" fillId="0" borderId="86" xfId="0" applyFont="1" applyBorder="1" applyAlignment="1">
      <alignment horizontal="center" vertical="center"/>
    </xf>
    <xf numFmtId="2" fontId="3" fillId="0" borderId="0" xfId="0" applyFont="1" applyAlignment="1">
      <alignment horizontal="center"/>
    </xf>
    <xf numFmtId="0" fontId="3" fillId="0" borderId="11" xfId="0" applyNumberFormat="1" applyFont="1" applyBorder="1" applyAlignment="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2" fontId="3" fillId="0" borderId="11" xfId="0" applyFont="1" applyBorder="1" applyAlignment="1">
      <alignment horizontal="center" vertical="center"/>
    </xf>
    <xf numFmtId="171" fontId="3" fillId="0" borderId="11" xfId="0" applyNumberFormat="1" applyFont="1" applyBorder="1" applyAlignment="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pplyAlignment="1">
      <alignment horizontal="center" vertical="center"/>
    </xf>
    <xf numFmtId="170" fontId="3" fillId="0" borderId="11" xfId="0" applyNumberFormat="1" applyFont="1" applyBorder="1" applyAlignment="1">
      <alignment horizontal="center" vertical="center"/>
    </xf>
    <xf numFmtId="168" fontId="3"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pplyAlignment="1">
      <alignment horizontal="center" vertical="center"/>
    </xf>
    <xf numFmtId="2" fontId="3" fillId="0" borderId="92" xfId="0" applyFont="1" applyBorder="1" applyAlignment="1">
      <alignment horizontal="center" vertical="center"/>
    </xf>
    <xf numFmtId="2" fontId="3" fillId="0" borderId="93" xfId="0" applyFont="1" applyBorder="1" applyAlignment="1">
      <alignment horizontal="center" vertical="center"/>
    </xf>
    <xf numFmtId="2" fontId="3" fillId="0" borderId="94" xfId="0" applyFont="1" applyBorder="1" applyAlignment="1">
      <alignment horizontal="center" vertical="center"/>
    </xf>
    <xf numFmtId="2" fontId="5" fillId="0" borderId="0" xfId="0" applyFont="1" applyBorder="1" applyAlignment="1">
      <alignment horizontal="center" vertical="center"/>
    </xf>
    <xf numFmtId="2" fontId="3" fillId="0" borderId="95" xfId="0" applyFont="1" applyBorder="1" applyAlignment="1">
      <alignment horizontal="center" vertical="center"/>
    </xf>
    <xf numFmtId="2" fontId="3" fillId="0" borderId="96" xfId="0" applyFont="1" applyBorder="1" applyAlignment="1">
      <alignment horizontal="center" vertical="center"/>
    </xf>
    <xf numFmtId="2" fontId="3" fillId="0" borderId="97" xfId="0" applyFont="1" applyBorder="1" applyAlignment="1">
      <alignment horizontal="center" vertical="center"/>
    </xf>
    <xf numFmtId="2" fontId="3"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9"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9"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6" fillId="0" borderId="92" xfId="0" applyFont="1" applyBorder="1" applyAlignment="1">
      <alignment horizontal="center" vertical="center"/>
    </xf>
    <xf numFmtId="2" fontId="0" fillId="0" borderId="92" xfId="0" applyBorder="1" applyAlignment="1">
      <alignment horizontal="center" vertical="center"/>
    </xf>
    <xf numFmtId="2" fontId="11" fillId="0" borderId="0" xfId="0" applyFont="1" applyBorder="1" applyAlignment="1">
      <alignment horizontal="center" vertical="center"/>
    </xf>
    <xf numFmtId="2" fontId="11"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5" fillId="0" borderId="92" xfId="0" applyFont="1" applyBorder="1" applyAlignment="1">
      <alignment horizontal="left" vertical="center"/>
    </xf>
    <xf numFmtId="2" fontId="15"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3" fillId="0" borderId="0" xfId="0" applyFont="1" applyBorder="1" applyAlignment="1">
      <alignment horizontal="left" vertical="center"/>
    </xf>
    <xf numFmtId="2" fontId="3" fillId="0" borderId="100" xfId="0" applyFont="1" applyBorder="1" applyAlignment="1">
      <alignment horizontal="center" vertical="center"/>
    </xf>
    <xf numFmtId="2" fontId="3" fillId="0" borderId="101" xfId="0" applyFont="1" applyBorder="1" applyAlignment="1">
      <alignment horizontal="center" vertical="center"/>
    </xf>
    <xf numFmtId="2" fontId="15" fillId="0" borderId="0" xfId="0" applyFont="1" applyBorder="1" applyAlignment="1">
      <alignment vertical="center"/>
    </xf>
    <xf numFmtId="2" fontId="6" fillId="0" borderId="0" xfId="0" applyFont="1" applyBorder="1">
      <alignment horizontal="center" vertical="center"/>
    </xf>
    <xf numFmtId="2" fontId="3"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2" fillId="0" borderId="0" xfId="0" applyFont="1" applyBorder="1" applyAlignment="1">
      <alignment horizontal="center" vertical="center"/>
    </xf>
    <xf numFmtId="2" fontId="12" fillId="0" borderId="0" xfId="0" applyFont="1" applyBorder="1" applyAlignment="1">
      <alignment horizontal="left" vertical="center"/>
    </xf>
    <xf numFmtId="2" fontId="6" fillId="0" borderId="0" xfId="0" applyFont="1" applyBorder="1" applyAlignment="1">
      <alignment horizontal="left" vertical="center"/>
    </xf>
    <xf numFmtId="2" fontId="3" fillId="0" borderId="103" xfId="0" applyFont="1" applyBorder="1" applyAlignment="1">
      <alignment horizontal="center" vertical="center"/>
    </xf>
    <xf numFmtId="2" fontId="3" fillId="0" borderId="104" xfId="0" applyFont="1" applyBorder="1" applyAlignment="1">
      <alignment horizontal="center" vertical="center"/>
    </xf>
    <xf numFmtId="2" fontId="3" fillId="0" borderId="97" xfId="0" applyFont="1" applyBorder="1" applyAlignment="1">
      <alignment horizontal="left" vertical="center"/>
    </xf>
    <xf numFmtId="2" fontId="15" fillId="0" borderId="0" xfId="0" applyFont="1" applyBorder="1" applyAlignment="1">
      <alignment horizontal="left" vertical="center"/>
    </xf>
    <xf numFmtId="2" fontId="3" fillId="0" borderId="105" xfId="0" applyFont="1" applyBorder="1" applyAlignment="1">
      <alignment horizontal="left" vertical="center"/>
    </xf>
    <xf numFmtId="2" fontId="3" fillId="0" borderId="105" xfId="0" applyFont="1" applyBorder="1" applyAlignment="1">
      <alignment horizontal="center" vertical="center"/>
    </xf>
    <xf numFmtId="2" fontId="3" fillId="0" borderId="106" xfId="0" applyFont="1" applyBorder="1" applyAlignment="1">
      <alignment horizontal="center" vertical="center"/>
    </xf>
    <xf numFmtId="2" fontId="4"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3" fillId="0" borderId="134" xfId="0" applyFont="1" applyBorder="1" applyAlignment="1">
      <alignment horizontal="center" vertical="center"/>
    </xf>
    <xf numFmtId="2" fontId="0" fillId="0" borderId="135" xfId="0" applyBorder="1">
      <alignment horizontal="center" vertical="center"/>
    </xf>
    <xf numFmtId="2" fontId="3"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3" fillId="0" borderId="137" xfId="0" applyFont="1" applyBorder="1" applyAlignment="1">
      <alignment horizontal="center" vertical="center"/>
    </xf>
    <xf numFmtId="2" fontId="3" fillId="0" borderId="138" xfId="0" applyFont="1" applyBorder="1" applyAlignment="1">
      <alignment horizontal="center" vertical="center"/>
    </xf>
    <xf numFmtId="2" fontId="3" fillId="0" borderId="139" xfId="0" applyFont="1" applyBorder="1" applyAlignment="1">
      <alignment horizontal="center" vertical="center"/>
    </xf>
    <xf numFmtId="2" fontId="3" fillId="0" borderId="107" xfId="0" applyFont="1" applyBorder="1" applyAlignment="1">
      <alignment horizontal="left" vertical="center"/>
    </xf>
    <xf numFmtId="2" fontId="3" fillId="0" borderId="107" xfId="0" applyFont="1" applyBorder="1" applyAlignment="1">
      <alignment horizontal="center" vertical="center"/>
    </xf>
    <xf numFmtId="2" fontId="3" fillId="0" borderId="171" xfId="0" applyFont="1" applyBorder="1" applyAlignment="1">
      <alignment horizontal="center" vertical="center"/>
    </xf>
    <xf numFmtId="2" fontId="3" fillId="0" borderId="108" xfId="0" applyFont="1" applyBorder="1" applyAlignment="1">
      <alignment horizontal="left" vertical="center"/>
    </xf>
    <xf numFmtId="2" fontId="3" fillId="0" borderId="108" xfId="0" applyFont="1" applyBorder="1" applyAlignment="1">
      <alignment horizontal="center" vertical="center"/>
    </xf>
    <xf numFmtId="2" fontId="3"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3" fillId="0" borderId="155" xfId="0" applyFont="1" applyBorder="1" applyAlignment="1">
      <alignment horizontal="center" vertical="center"/>
    </xf>
    <xf numFmtId="2" fontId="3"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3" fillId="0" borderId="211" xfId="0" applyFont="1" applyBorder="1" applyAlignment="1">
      <alignment horizontal="left" vertical="center"/>
    </xf>
    <xf numFmtId="2" fontId="3" fillId="0" borderId="211" xfId="0" applyFont="1" applyBorder="1" applyAlignment="1">
      <alignment horizontal="center" vertical="center"/>
    </xf>
    <xf numFmtId="2" fontId="3" fillId="0" borderId="210" xfId="0" applyFont="1" applyBorder="1" applyAlignment="1">
      <alignment horizontal="center" vertical="center"/>
    </xf>
    <xf numFmtId="2" fontId="3" fillId="0" borderId="212" xfId="0" applyFont="1" applyBorder="1" applyAlignment="1">
      <alignment horizontal="left" vertical="center"/>
    </xf>
    <xf numFmtId="2" fontId="3" fillId="0" borderId="212" xfId="0" applyFont="1" applyBorder="1" applyAlignment="1">
      <alignment horizontal="center" vertical="center"/>
    </xf>
    <xf numFmtId="2" fontId="3" fillId="0" borderId="213" xfId="0" applyFont="1" applyBorder="1" applyAlignment="1">
      <alignment horizontal="left" vertical="center"/>
    </xf>
    <xf numFmtId="2" fontId="3" fillId="0" borderId="213" xfId="0" applyFont="1" applyBorder="1" applyAlignment="1">
      <alignment horizontal="center" vertical="center"/>
    </xf>
    <xf numFmtId="172" fontId="3" fillId="5" borderId="11" xfId="0" applyNumberFormat="1" applyFont="1" applyFill="1" applyBorder="1" applyAlignment="1">
      <alignment horizontal="center" vertical="center"/>
    </xf>
    <xf numFmtId="172" fontId="3" fillId="6" borderId="12" xfId="0" applyNumberFormat="1" applyFont="1" applyFill="1" applyBorder="1" applyAlignment="1">
      <alignment horizontal="center" vertical="center"/>
    </xf>
    <xf numFmtId="172" fontId="3"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3" fillId="9" borderId="75" xfId="5" applyNumberFormat="1" applyFont="1" applyFill="1" applyBorder="1">
      <alignment horizontal="left" vertical="center"/>
      <protection locked="0"/>
    </xf>
    <xf numFmtId="0" fontId="3" fillId="6" borderId="214" xfId="0" applyNumberFormat="1" applyFont="1" applyFill="1" applyBorder="1" applyAlignment="1">
      <alignment horizontal="center" vertical="center"/>
    </xf>
    <xf numFmtId="0" fontId="3" fillId="6" borderId="217" xfId="0" applyNumberFormat="1" applyFont="1" applyFill="1" applyBorder="1" applyAlignment="1">
      <alignment horizontal="center" vertical="center"/>
    </xf>
    <xf numFmtId="0" fontId="3" fillId="5" borderId="218" xfId="0" applyNumberFormat="1" applyFont="1" applyFill="1" applyBorder="1" applyAlignment="1">
      <alignment horizontal="center" vertical="center"/>
    </xf>
    <xf numFmtId="2" fontId="0" fillId="0" borderId="0" xfId="0" applyBorder="1" applyAlignment="1">
      <alignment horizontal="right" vertical="center"/>
    </xf>
    <xf numFmtId="2" fontId="3" fillId="0" borderId="92" xfId="0" applyFont="1" applyBorder="1" applyAlignment="1">
      <alignment horizontal="right" vertical="center"/>
    </xf>
    <xf numFmtId="2" fontId="3" fillId="0" borderId="219" xfId="0" applyFont="1" applyBorder="1" applyAlignment="1">
      <alignment horizontal="center" vertical="center"/>
    </xf>
    <xf numFmtId="0" fontId="16" fillId="7" borderId="221" xfId="0" applyNumberFormat="1" applyFont="1" applyFill="1" applyBorder="1" applyAlignment="1">
      <alignment horizontal="center" vertical="center"/>
    </xf>
    <xf numFmtId="167" fontId="16" fillId="7" borderId="221" xfId="0" applyNumberFormat="1" applyFont="1" applyFill="1" applyBorder="1" applyAlignment="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pplyAlignment="1">
      <alignment horizontal="center" vertical="center"/>
    </xf>
    <xf numFmtId="172" fontId="3" fillId="0" borderId="219" xfId="0" applyNumberFormat="1" applyFont="1" applyBorder="1" applyAlignment="1">
      <alignment horizontal="center" vertical="center"/>
    </xf>
    <xf numFmtId="172" fontId="3" fillId="0" borderId="220" xfId="0" applyNumberFormat="1" applyFont="1" applyBorder="1" applyAlignment="1">
      <alignment horizontal="center" vertical="center"/>
    </xf>
    <xf numFmtId="172" fontId="3" fillId="5" borderId="20" xfId="0" applyNumberFormat="1" applyFont="1" applyFill="1" applyBorder="1" applyAlignment="1">
      <alignment horizontal="center" vertical="center"/>
    </xf>
    <xf numFmtId="172" fontId="3" fillId="6" borderId="20" xfId="0" applyNumberFormat="1" applyFont="1" applyFill="1" applyBorder="1" applyAlignment="1">
      <alignment horizontal="center" vertical="center"/>
    </xf>
    <xf numFmtId="2" fontId="3" fillId="0" borderId="1" xfId="0" applyFont="1" applyBorder="1" applyAlignment="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pplyAlignment="1">
      <alignment horizontal="center" vertical="center"/>
    </xf>
    <xf numFmtId="10" fontId="3" fillId="0" borderId="1" xfId="0" applyNumberFormat="1" applyFont="1" applyBorder="1" applyAlignment="1">
      <alignment horizontal="center" vertical="center"/>
    </xf>
    <xf numFmtId="2" fontId="3" fillId="0" borderId="1" xfId="0" applyFont="1" applyBorder="1">
      <alignment horizontal="center" vertical="center"/>
    </xf>
    <xf numFmtId="10" fontId="3" fillId="0" borderId="44" xfId="0" applyNumberFormat="1" applyFont="1" applyBorder="1" applyAlignment="1">
      <alignment horizontal="center" vertical="center"/>
    </xf>
    <xf numFmtId="2" fontId="16" fillId="7" borderId="22" xfId="0" applyFont="1" applyFill="1" applyBorder="1" applyAlignment="1">
      <alignment horizontal="center" vertical="center"/>
    </xf>
    <xf numFmtId="2" fontId="16"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3" fillId="0" borderId="60" xfId="0" applyNumberFormat="1" applyFont="1" applyBorder="1">
      <alignment horizontal="center" vertical="center"/>
    </xf>
    <xf numFmtId="2" fontId="3" fillId="0" borderId="57" xfId="0" applyFont="1" applyBorder="1">
      <alignment horizontal="center" vertical="center"/>
    </xf>
    <xf numFmtId="0" fontId="3" fillId="7" borderId="16" xfId="0" applyNumberFormat="1" applyFont="1" applyFill="1" applyBorder="1" applyAlignment="1">
      <alignment horizontal="center" vertical="center"/>
    </xf>
    <xf numFmtId="1" fontId="3" fillId="11" borderId="1" xfId="0" applyNumberFormat="1" applyFont="1" applyFill="1" applyBorder="1" applyAlignment="1" applyProtection="1">
      <alignment horizontal="center" vertical="center"/>
      <protection locked="0"/>
    </xf>
    <xf numFmtId="0" fontId="3" fillId="6" borderId="226" xfId="0" applyNumberFormat="1" applyFont="1" applyFill="1" applyBorder="1" applyAlignment="1">
      <alignment horizontal="center" vertical="center"/>
    </xf>
    <xf numFmtId="2" fontId="3" fillId="0" borderId="227" xfId="0" applyFont="1" applyBorder="1" applyAlignment="1">
      <alignment horizontal="center" vertical="center"/>
    </xf>
    <xf numFmtId="2" fontId="0" fillId="0" borderId="8" xfId="0"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2" fontId="3" fillId="0" borderId="0" xfId="0" applyFont="1" applyAlignment="1">
      <alignment horizontal="center" vertical="center"/>
    </xf>
    <xf numFmtId="2" fontId="3" fillId="7" borderId="59" xfId="0" applyFont="1" applyFill="1" applyBorder="1">
      <alignment horizontal="center" vertical="center"/>
    </xf>
    <xf numFmtId="2" fontId="3" fillId="7" borderId="60" xfId="0" applyFont="1" applyFill="1" applyBorder="1">
      <alignment horizontal="center" vertical="center"/>
    </xf>
    <xf numFmtId="2" fontId="3" fillId="7" borderId="57" xfId="0" applyFont="1" applyFill="1" applyBorder="1">
      <alignment horizontal="center" vertical="center"/>
    </xf>
    <xf numFmtId="0" fontId="3" fillId="5" borderId="215" xfId="0" applyNumberFormat="1" applyFont="1" applyFill="1" applyBorder="1">
      <alignment horizontal="center" vertical="center"/>
    </xf>
    <xf numFmtId="172" fontId="3" fillId="5" borderId="53" xfId="0" applyNumberFormat="1" applyFont="1" applyFill="1" applyBorder="1">
      <alignment horizontal="center" vertical="center"/>
    </xf>
    <xf numFmtId="2" fontId="0" fillId="0" borderId="0" xfId="0">
      <alignment horizontal="center" vertical="center"/>
    </xf>
    <xf numFmtId="2" fontId="0" fillId="0" borderId="107" xfId="0" applyFont="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173" fontId="0" fillId="0" borderId="108" xfId="0" applyNumberFormat="1" applyFont="1" applyBorder="1" applyAlignment="1">
      <alignment horizontal="center" vertical="center"/>
    </xf>
    <xf numFmtId="0"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166" fontId="0" fillId="0" borderId="108" xfId="0" applyNumberFormat="1" applyFont="1" applyBorder="1" applyAlignment="1">
      <alignment horizontal="center" vertical="center"/>
    </xf>
    <xf numFmtId="2" fontId="3" fillId="0" borderId="33" xfId="0" applyFont="1" applyBorder="1" applyAlignment="1">
      <alignment horizontal="center" vertical="center"/>
    </xf>
    <xf numFmtId="2" fontId="3" fillId="0" borderId="10" xfId="0" applyFont="1" applyBorder="1" applyAlignment="1">
      <alignment horizontal="center" vertical="center"/>
    </xf>
    <xf numFmtId="2" fontId="3" fillId="0" borderId="1" xfId="0" applyFont="1" applyBorder="1" applyAlignment="1">
      <alignment horizontal="center" vertical="center"/>
    </xf>
    <xf numFmtId="0" fontId="3" fillId="0" borderId="46" xfId="0" applyNumberFormat="1" applyFont="1" applyBorder="1" applyAlignment="1">
      <alignment horizontal="center" vertical="center" wrapText="1"/>
    </xf>
    <xf numFmtId="2" fontId="6" fillId="0" borderId="99" xfId="0" applyFont="1" applyBorder="1" applyAlignment="1">
      <alignment horizontal="center" vertical="center"/>
    </xf>
    <xf numFmtId="2" fontId="6" fillId="0" borderId="93" xfId="0" applyFont="1" applyBorder="1" applyAlignment="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2" fontId="3" fillId="0" borderId="65" xfId="0" applyFont="1" applyBorder="1" applyAlignment="1">
      <alignment horizontal="center" vertical="center"/>
    </xf>
    <xf numFmtId="2" fontId="0" fillId="0" borderId="109" xfId="0" applyFont="1" applyBorder="1" applyAlignment="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pplyAlignment="1">
      <alignment horizontal="center" vertical="center"/>
    </xf>
    <xf numFmtId="169" fontId="3" fillId="0" borderId="60" xfId="0" applyNumberFormat="1" applyFont="1" applyBorder="1" applyAlignment="1">
      <alignment horizontal="center" vertical="center"/>
    </xf>
    <xf numFmtId="169" fontId="3"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2" fontId="0" fillId="0" borderId="92" xfId="0"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46" xfId="0" applyFont="1" applyBorder="1" applyAlignment="1">
      <alignment horizontal="center" vertical="center"/>
    </xf>
    <xf numFmtId="2" fontId="0" fillId="0" borderId="0" xfId="0">
      <alignment horizontal="center" vertical="center"/>
    </xf>
    <xf numFmtId="2" fontId="3" fillId="0" borderId="11" xfId="0" applyFont="1" applyBorder="1" applyAlignment="1">
      <alignment horizontal="center" vertical="center"/>
    </xf>
    <xf numFmtId="2" fontId="9" fillId="0" borderId="0" xfId="0" applyFont="1">
      <alignment horizontal="center" vertical="center"/>
    </xf>
    <xf numFmtId="2" fontId="22" fillId="12" borderId="0" xfId="0" applyFont="1" applyFill="1">
      <alignment horizontal="center" vertical="center"/>
    </xf>
  </cellXfs>
  <cellStyles count="9">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Pass" xfId="7" xr:uid="{00000000-0005-0000-0000-000005000000}"/>
    <cellStyle name="Result" xfId="1" xr:uid="{00000000-0005-0000-0000-000006000000}"/>
    <cellStyle name="Result2" xfId="2" xr:uid="{00000000-0005-0000-0000-000007000000}"/>
    <cellStyle name="SUBTITLE" xfId="6" xr:uid="{00000000-0005-0000-0000-000008000000}"/>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00000000-0008-0000-0200-00000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00000000-0008-0000-0200-00000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00000000-0008-0000-0200-00000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00000000-0008-0000-0200-00000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00000000-0008-0000-0200-00000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00000000-0008-0000-0200-00000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00000000-0008-0000-0200-00000C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0000000-0008-0000-0200-00000D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00000000-0008-0000-0200-00000E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a:extLst>
            <a:ext uri="{FF2B5EF4-FFF2-40B4-BE49-F238E27FC236}">
              <a16:creationId xmlns:a16="http://schemas.microsoft.com/office/drawing/2014/main" id="{00000000-0008-0000-0200-00003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a:extLst>
            <a:ext uri="{FF2B5EF4-FFF2-40B4-BE49-F238E27FC236}">
              <a16:creationId xmlns:a16="http://schemas.microsoft.com/office/drawing/2014/main" id="{00000000-0008-0000-0200-00003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a:extLst>
            <a:ext uri="{FF2B5EF4-FFF2-40B4-BE49-F238E27FC236}">
              <a16:creationId xmlns:a16="http://schemas.microsoft.com/office/drawing/2014/main" id="{00000000-0008-0000-0200-00003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a:extLst>
            <a:ext uri="{FF2B5EF4-FFF2-40B4-BE49-F238E27FC236}">
              <a16:creationId xmlns:a16="http://schemas.microsoft.com/office/drawing/2014/main" id="{00000000-0008-0000-0200-00003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a:extLst>
            <a:ext uri="{FF2B5EF4-FFF2-40B4-BE49-F238E27FC236}">
              <a16:creationId xmlns:a16="http://schemas.microsoft.com/office/drawing/2014/main" id="{00000000-0008-0000-0200-00003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a:extLst>
            <a:ext uri="{FF2B5EF4-FFF2-40B4-BE49-F238E27FC236}">
              <a16:creationId xmlns:a16="http://schemas.microsoft.com/office/drawing/2014/main" id="{00000000-0008-0000-0200-00003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a:extLst>
            <a:ext uri="{FF2B5EF4-FFF2-40B4-BE49-F238E27FC236}">
              <a16:creationId xmlns:a16="http://schemas.microsoft.com/office/drawing/2014/main" id="{00000000-0008-0000-0200-00003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a:extLst>
            <a:ext uri="{FF2B5EF4-FFF2-40B4-BE49-F238E27FC236}">
              <a16:creationId xmlns:a16="http://schemas.microsoft.com/office/drawing/2014/main" id="{00000000-0008-0000-0200-00003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a:extLst>
            <a:ext uri="{FF2B5EF4-FFF2-40B4-BE49-F238E27FC236}">
              <a16:creationId xmlns:a16="http://schemas.microsoft.com/office/drawing/2014/main" id="{00000000-0008-0000-0200-00003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a:extLst>
            <a:ext uri="{FF2B5EF4-FFF2-40B4-BE49-F238E27FC236}">
              <a16:creationId xmlns:a16="http://schemas.microsoft.com/office/drawing/2014/main" id="{00000000-0008-0000-0200-00003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a:extLst>
            <a:ext uri="{FF2B5EF4-FFF2-40B4-BE49-F238E27FC236}">
              <a16:creationId xmlns:a16="http://schemas.microsoft.com/office/drawing/2014/main" id="{00000000-0008-0000-0200-00003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a:extLst>
            <a:ext uri="{FF2B5EF4-FFF2-40B4-BE49-F238E27FC236}">
              <a16:creationId xmlns:a16="http://schemas.microsoft.com/office/drawing/2014/main" id="{00000000-0008-0000-0200-00003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a:extLst>
            <a:ext uri="{FF2B5EF4-FFF2-40B4-BE49-F238E27FC236}">
              <a16:creationId xmlns:a16="http://schemas.microsoft.com/office/drawing/2014/main" id="{00000000-0008-0000-0200-00003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a:extLst>
            <a:ext uri="{FF2B5EF4-FFF2-40B4-BE49-F238E27FC236}">
              <a16:creationId xmlns:a16="http://schemas.microsoft.com/office/drawing/2014/main" id="{00000000-0008-0000-0200-00003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a:extLst>
            <a:ext uri="{FF2B5EF4-FFF2-40B4-BE49-F238E27FC236}">
              <a16:creationId xmlns:a16="http://schemas.microsoft.com/office/drawing/2014/main" id="{00000000-0008-0000-0200-00000F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a:extLst>
            <a:ext uri="{FF2B5EF4-FFF2-40B4-BE49-F238E27FC236}">
              <a16:creationId xmlns:a16="http://schemas.microsoft.com/office/drawing/2014/main" id="{00000000-0008-0000-0200-00001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a:extLst>
            <a:ext uri="{FF2B5EF4-FFF2-40B4-BE49-F238E27FC236}">
              <a16:creationId xmlns:a16="http://schemas.microsoft.com/office/drawing/2014/main" id="{00000000-0008-0000-0200-00001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a:extLst>
            <a:ext uri="{FF2B5EF4-FFF2-40B4-BE49-F238E27FC236}">
              <a16:creationId xmlns:a16="http://schemas.microsoft.com/office/drawing/2014/main" id="{00000000-0008-0000-0200-000012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a:extLst>
            <a:ext uri="{FF2B5EF4-FFF2-40B4-BE49-F238E27FC236}">
              <a16:creationId xmlns:a16="http://schemas.microsoft.com/office/drawing/2014/main" id="{00000000-0008-0000-0200-00001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a:extLst>
            <a:ext uri="{FF2B5EF4-FFF2-40B4-BE49-F238E27FC236}">
              <a16:creationId xmlns:a16="http://schemas.microsoft.com/office/drawing/2014/main" id="{00000000-0008-0000-0200-000014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a:extLst>
            <a:ext uri="{FF2B5EF4-FFF2-40B4-BE49-F238E27FC236}">
              <a16:creationId xmlns:a16="http://schemas.microsoft.com/office/drawing/2014/main" id="{00000000-0008-0000-0200-00001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a:extLst>
            <a:ext uri="{FF2B5EF4-FFF2-40B4-BE49-F238E27FC236}">
              <a16:creationId xmlns:a16="http://schemas.microsoft.com/office/drawing/2014/main" id="{00000000-0008-0000-0200-000016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a:extLst>
            <a:ext uri="{FF2B5EF4-FFF2-40B4-BE49-F238E27FC236}">
              <a16:creationId xmlns:a16="http://schemas.microsoft.com/office/drawing/2014/main" id="{00000000-0008-0000-0200-00001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a:extLst>
            <a:ext uri="{FF2B5EF4-FFF2-40B4-BE49-F238E27FC236}">
              <a16:creationId xmlns:a16="http://schemas.microsoft.com/office/drawing/2014/main" id="{00000000-0008-0000-0200-00001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a:extLst>
            <a:ext uri="{FF2B5EF4-FFF2-40B4-BE49-F238E27FC236}">
              <a16:creationId xmlns:a16="http://schemas.microsoft.com/office/drawing/2014/main" id="{00000000-0008-0000-0200-00001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a:extLst>
            <a:ext uri="{FF2B5EF4-FFF2-40B4-BE49-F238E27FC236}">
              <a16:creationId xmlns:a16="http://schemas.microsoft.com/office/drawing/2014/main" id="{00000000-0008-0000-0200-00001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a:extLst>
            <a:ext uri="{FF2B5EF4-FFF2-40B4-BE49-F238E27FC236}">
              <a16:creationId xmlns:a16="http://schemas.microsoft.com/office/drawing/2014/main" id="{00000000-0008-0000-0200-00001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2"/>
  <sheetViews>
    <sheetView tabSelected="1" topLeftCell="N1" zoomScaleNormal="100" workbookViewId="0">
      <selection activeCell="O2" sqref="O2"/>
    </sheetView>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472</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455</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455</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582" t="str">
        <f>IF(R10="","",R10)</f>
        <v/>
      </c>
      <c r="G10" s="582"/>
      <c r="H10" s="42"/>
      <c r="I10" s="42"/>
      <c r="J10" s="160" t="s">
        <v>18</v>
      </c>
      <c r="K10" s="583" t="str">
        <f>IF(V10="","",V10)</f>
        <v/>
      </c>
      <c r="L10" s="583"/>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584" t="str">
        <f>IF(R11="","",R11)</f>
        <v/>
      </c>
      <c r="G11" s="584"/>
      <c r="H11" s="42"/>
      <c r="I11" s="42"/>
      <c r="J11" s="160" t="s">
        <v>20</v>
      </c>
      <c r="K11" s="584" t="str">
        <f>IF(V11="","",V11)</f>
        <v/>
      </c>
      <c r="L11" s="584"/>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584" t="str">
        <f>IF(R12="","",R12)</f>
        <v/>
      </c>
      <c r="G12" s="584"/>
      <c r="H12" s="42"/>
      <c r="I12" s="42"/>
      <c r="J12" s="160" t="s">
        <v>22</v>
      </c>
      <c r="K12" s="585" t="str">
        <f>IF(V12="","",V12)</f>
        <v/>
      </c>
      <c r="L12" s="585"/>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586" t="str">
        <f>IF(R13="","",R13)</f>
        <v/>
      </c>
      <c r="G13" s="586"/>
      <c r="H13" s="42"/>
      <c r="I13" s="42"/>
      <c r="J13" s="160" t="s">
        <v>24</v>
      </c>
      <c r="K13" s="586" t="str">
        <f>IF(V13="","",V13)</f>
        <v/>
      </c>
      <c r="L13" s="586"/>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582" t="str">
        <f>IF(R17="","",R17)</f>
        <v/>
      </c>
      <c r="G16" s="582"/>
      <c r="H16" s="42"/>
      <c r="I16" s="42"/>
      <c r="J16" s="160" t="s">
        <v>29</v>
      </c>
      <c r="K16" s="587" t="str">
        <f>IF(V17="","",V17)</f>
        <v/>
      </c>
      <c r="L16" s="587"/>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584" t="str">
        <f>IF(R18="","",R18)</f>
        <v/>
      </c>
      <c r="G17" s="584"/>
      <c r="H17" s="42"/>
      <c r="I17" s="42"/>
      <c r="J17" s="160" t="s">
        <v>31</v>
      </c>
      <c r="K17" s="586" t="str">
        <f>IF(V18="","",V18)</f>
        <v/>
      </c>
      <c r="L17" s="586"/>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586" t="str">
        <f>IF(R19="","",R19)</f>
        <v/>
      </c>
      <c r="G18" s="586"/>
      <c r="H18" s="42"/>
      <c r="I18" s="42"/>
      <c r="J18" s="160" t="s">
        <v>33</v>
      </c>
      <c r="K18" s="586" t="str">
        <f>IF(V19="","",V19)</f>
        <v/>
      </c>
      <c r="L18" s="586"/>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586" t="str">
        <f>IF(V20="","",V20)</f>
        <v/>
      </c>
      <c r="L19" s="586"/>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582" t="str">
        <f>IF(R22="","",R22)</f>
        <v/>
      </c>
      <c r="G21" s="582"/>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588" t="str">
        <f>IF(R23="","",R23)</f>
        <v/>
      </c>
      <c r="G22" s="588"/>
      <c r="H22" s="42"/>
      <c r="I22" s="42"/>
      <c r="J22" s="160" t="s">
        <v>39</v>
      </c>
      <c r="K22" s="582" t="str">
        <f>IF(V23="","",V23)</f>
        <v/>
      </c>
      <c r="L22" s="582"/>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584" t="str">
        <f>IF(V24="","",V24)</f>
        <v/>
      </c>
      <c r="L23" s="584"/>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583" t="str">
        <f>IF(R25="","",R25)</f>
        <v/>
      </c>
      <c r="G24" s="583"/>
      <c r="H24" s="42"/>
      <c r="I24" s="42"/>
      <c r="J24" s="160" t="s">
        <v>42</v>
      </c>
      <c r="K24" s="584" t="str">
        <f>IF(V25="","",V25)</f>
        <v/>
      </c>
      <c r="L24" s="584"/>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586" t="str">
        <f>IF(R26="","",R26)</f>
        <v/>
      </c>
      <c r="G25" s="586"/>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586" t="str">
        <f>IF(R27="","",R27)</f>
        <v/>
      </c>
      <c r="G26" s="586"/>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582" t="str">
        <f>IF(V28="","",V28)</f>
        <v/>
      </c>
      <c r="L27" s="582"/>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583" t="str">
        <f>IF(R29="","",R29)</f>
        <v/>
      </c>
      <c r="G28" s="583"/>
      <c r="H28" s="42"/>
      <c r="I28" s="42"/>
      <c r="J28" s="160" t="s">
        <v>46</v>
      </c>
      <c r="K28" s="584" t="str">
        <f>IF(V29="","",V29)</f>
        <v/>
      </c>
      <c r="L28" s="584"/>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586" t="str">
        <f>IF(R30="","",R30)</f>
        <v/>
      </c>
      <c r="G29" s="586"/>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586" t="str">
        <f>IF(R31="","",R31)</f>
        <v/>
      </c>
      <c r="G30" s="586"/>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582" t="str">
        <f>IF(R34="","",R34)</f>
        <v/>
      </c>
      <c r="G33" s="582"/>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588" t="str">
        <f>IF(R35="","",R35)</f>
        <v/>
      </c>
      <c r="G34" s="588"/>
      <c r="H34" s="42"/>
      <c r="I34" s="42"/>
      <c r="J34" s="160" t="s">
        <v>39</v>
      </c>
      <c r="K34" s="582" t="str">
        <f>IF(V35="","",V35)</f>
        <v/>
      </c>
      <c r="L34" s="582"/>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584" t="str">
        <f>IF(V36="","",V36)</f>
        <v/>
      </c>
      <c r="L35" s="584"/>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583" t="str">
        <f>IF(R37="","",R37)</f>
        <v/>
      </c>
      <c r="G36" s="583"/>
      <c r="H36" s="42"/>
      <c r="I36" s="42"/>
      <c r="J36" s="160" t="s">
        <v>42</v>
      </c>
      <c r="K36" s="584" t="str">
        <f>IF(V37="","",V37)</f>
        <v/>
      </c>
      <c r="L36" s="584"/>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586" t="str">
        <f>IF(R38="","",R38)</f>
        <v/>
      </c>
      <c r="G37" s="586"/>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586" t="str">
        <f>IF(R39="","",R39)</f>
        <v/>
      </c>
      <c r="G38" s="586"/>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582" t="str">
        <f>IF(V40="","",V40)</f>
        <v/>
      </c>
      <c r="L39" s="582"/>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583" t="str">
        <f>IF(R41="","",R41)</f>
        <v/>
      </c>
      <c r="G40" s="583"/>
      <c r="H40" s="42"/>
      <c r="I40" s="42"/>
      <c r="J40" s="160" t="s">
        <v>46</v>
      </c>
      <c r="K40" s="584" t="str">
        <f>IF(V41="","",V41)</f>
        <v/>
      </c>
      <c r="L40" s="584"/>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586" t="str">
        <f>IF(R42="","",R42)</f>
        <v/>
      </c>
      <c r="G41" s="586"/>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586" t="str">
        <f>IF(R43="","",R43)</f>
        <v/>
      </c>
      <c r="G42" s="586"/>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6">
        <f>IF(P48&lt;&gt;"",P48,IF(OR(AB318=0,AB318=""),"",AB318))</f>
        <v>2</v>
      </c>
      <c r="P48" s="565">
        <v>2</v>
      </c>
      <c r="Q48" s="335" t="s">
        <v>453</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457</v>
      </c>
      <c r="U50" s="53"/>
      <c r="W50" s="17" t="s">
        <v>54</v>
      </c>
      <c r="Y50" s="14"/>
      <c r="AA50" s="2" t="s">
        <v>31</v>
      </c>
      <c r="AB50" s="40"/>
      <c r="AC50" s="29" t="str">
        <f t="shared" si="3"/>
        <v/>
      </c>
      <c r="AD50" s="41" t="str">
        <f>IF(R43="","",R43)</f>
        <v/>
      </c>
    </row>
    <row r="51" spans="1:30" ht="14.1" customHeight="1" x14ac:dyDescent="0.25">
      <c r="A51" s="3">
        <v>51</v>
      </c>
      <c r="O51" s="56"/>
      <c r="P51" s="17" t="s">
        <v>55</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56</v>
      </c>
      <c r="U52" s="53"/>
      <c r="W52" s="59">
        <f t="shared" si="4"/>
        <v>2</v>
      </c>
      <c r="X52" s="60">
        <v>2</v>
      </c>
      <c r="Y52" s="14"/>
      <c r="AA52" s="2" t="s">
        <v>41</v>
      </c>
      <c r="AB52" s="40"/>
      <c r="AC52" s="29" t="str">
        <f t="shared" si="3"/>
        <v/>
      </c>
      <c r="AD52" s="41" t="str">
        <f>IF(V36="","",V36)</f>
        <v/>
      </c>
    </row>
    <row r="53" spans="1:30" ht="14.1" customHeight="1" x14ac:dyDescent="0.25">
      <c r="A53" s="3">
        <v>53</v>
      </c>
      <c r="O53" s="56"/>
      <c r="P53" s="17" t="s">
        <v>57</v>
      </c>
      <c r="U53" s="53"/>
      <c r="W53" s="59">
        <f t="shared" si="4"/>
        <v>3</v>
      </c>
      <c r="X53" s="60">
        <v>3</v>
      </c>
      <c r="Y53" s="14"/>
      <c r="AA53" s="2" t="s">
        <v>42</v>
      </c>
      <c r="AB53" s="40"/>
      <c r="AC53" s="29" t="str">
        <f t="shared" si="3"/>
        <v/>
      </c>
      <c r="AD53" s="41" t="str">
        <f>IF(V37="","",V37)</f>
        <v/>
      </c>
    </row>
    <row r="54" spans="1:30" ht="14.1" customHeight="1" x14ac:dyDescent="0.25">
      <c r="A54" s="3">
        <v>54</v>
      </c>
      <c r="O54" s="56"/>
      <c r="P54" s="17" t="s">
        <v>58</v>
      </c>
      <c r="U54" s="53"/>
      <c r="W54" s="59" t="str">
        <f t="shared" si="4"/>
        <v>AP</v>
      </c>
      <c r="X54" s="60" t="s">
        <v>59</v>
      </c>
      <c r="Y54" s="14"/>
      <c r="AA54" s="2" t="s">
        <v>45</v>
      </c>
      <c r="AB54" s="40"/>
      <c r="AC54" s="29" t="str">
        <f t="shared" si="3"/>
        <v/>
      </c>
      <c r="AD54" s="41" t="str">
        <f>IF(V40="","",V40)</f>
        <v/>
      </c>
    </row>
    <row r="55" spans="1:30" ht="14.1" customHeight="1" x14ac:dyDescent="0.25">
      <c r="A55" s="3">
        <v>55</v>
      </c>
      <c r="O55" s="56"/>
      <c r="P55" s="17" t="s">
        <v>60</v>
      </c>
      <c r="W55" s="59" t="str">
        <f t="shared" si="4"/>
        <v>Front</v>
      </c>
      <c r="X55" s="60" t="s">
        <v>61</v>
      </c>
      <c r="Y55" s="14"/>
      <c r="AA55" s="2" t="s">
        <v>46</v>
      </c>
      <c r="AB55" s="40"/>
      <c r="AC55" s="29" t="str">
        <f t="shared" si="3"/>
        <v/>
      </c>
      <c r="AD55" s="41" t="str">
        <f>IF(V41="","",V41)</f>
        <v/>
      </c>
    </row>
    <row r="56" spans="1:30" ht="14.1" customHeight="1" x14ac:dyDescent="0.25">
      <c r="A56" s="3">
        <v>56</v>
      </c>
      <c r="O56" s="13"/>
      <c r="S56" s="53"/>
      <c r="T56" s="49" t="s">
        <v>62</v>
      </c>
      <c r="W56" s="59" t="str">
        <f t="shared" si="4"/>
        <v>Frontal</v>
      </c>
      <c r="X56" s="60" t="s">
        <v>63</v>
      </c>
      <c r="Y56" s="14"/>
      <c r="AA56" s="1" t="s">
        <v>51</v>
      </c>
      <c r="AB56" s="40"/>
      <c r="AC56" s="29" t="str">
        <f t="shared" si="3"/>
        <v/>
      </c>
      <c r="AD56" s="61" t="str">
        <f>IF(W48="","",W48)</f>
        <v/>
      </c>
    </row>
    <row r="57" spans="1:30" ht="14.1" customHeight="1" x14ac:dyDescent="0.25">
      <c r="A57" s="3">
        <v>57</v>
      </c>
      <c r="O57" s="56"/>
      <c r="P57" s="17" t="s">
        <v>64</v>
      </c>
      <c r="W57" s="59" t="str">
        <f t="shared" si="4"/>
        <v>Lat</v>
      </c>
      <c r="X57" s="60" t="s">
        <v>65</v>
      </c>
      <c r="Y57" s="14"/>
      <c r="AA57" s="24" t="s">
        <v>66</v>
      </c>
      <c r="AB57" s="40"/>
      <c r="AC57" s="29" t="str">
        <f t="shared" si="3"/>
        <v>Change</v>
      </c>
      <c r="AD57" s="61">
        <f t="shared" ref="AD57:AD66" si="5">IF(W51="","",W51)</f>
        <v>1</v>
      </c>
    </row>
    <row r="58" spans="1:30" ht="14.1" customHeight="1" x14ac:dyDescent="0.25">
      <c r="A58" s="3">
        <v>58</v>
      </c>
      <c r="O58" s="56"/>
      <c r="P58" s="17" t="s">
        <v>67</v>
      </c>
      <c r="W58" s="59" t="str">
        <f t="shared" si="4"/>
        <v>Lateral</v>
      </c>
      <c r="X58" s="60" t="s">
        <v>68</v>
      </c>
      <c r="Y58" s="14"/>
      <c r="AB58" s="40"/>
      <c r="AC58" s="29" t="str">
        <f t="shared" si="3"/>
        <v>Change</v>
      </c>
      <c r="AD58" s="61">
        <f t="shared" si="5"/>
        <v>2</v>
      </c>
    </row>
    <row r="59" spans="1:30" ht="14.1" customHeight="1" x14ac:dyDescent="0.25">
      <c r="A59" s="3">
        <v>59</v>
      </c>
      <c r="O59" s="56"/>
      <c r="P59" s="17" t="s">
        <v>69</v>
      </c>
      <c r="W59" s="59" t="str">
        <f t="shared" si="4"/>
        <v/>
      </c>
      <c r="X59" s="60"/>
      <c r="Y59" s="14"/>
      <c r="AB59" s="40"/>
      <c r="AC59" s="29" t="str">
        <f t="shared" si="3"/>
        <v>Change</v>
      </c>
      <c r="AD59" s="61">
        <f t="shared" si="5"/>
        <v>3</v>
      </c>
    </row>
    <row r="60" spans="1:30" ht="14.1" customHeight="1" x14ac:dyDescent="0.25">
      <c r="A60" s="3">
        <v>60</v>
      </c>
      <c r="O60" s="56"/>
      <c r="P60" s="17" t="s">
        <v>70</v>
      </c>
      <c r="W60" s="62" t="str">
        <f t="shared" si="4"/>
        <v/>
      </c>
      <c r="X60" s="63"/>
      <c r="Y60" s="14"/>
      <c r="AB60" s="40"/>
      <c r="AC60" s="29" t="str">
        <f t="shared" si="3"/>
        <v>Change</v>
      </c>
      <c r="AD60" s="61" t="str">
        <f t="shared" si="5"/>
        <v>AP</v>
      </c>
    </row>
    <row r="61" spans="1:30" ht="14.1" customHeight="1" x14ac:dyDescent="0.25">
      <c r="A61" s="3">
        <v>61</v>
      </c>
      <c r="O61" s="56"/>
      <c r="P61" s="17" t="s">
        <v>71</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72</v>
      </c>
      <c r="Y62" s="14"/>
      <c r="AB62" s="40"/>
      <c r="AC62" s="29" t="str">
        <f t="shared" si="3"/>
        <v>Change</v>
      </c>
      <c r="AD62" s="61" t="str">
        <f t="shared" si="5"/>
        <v>Frontal</v>
      </c>
    </row>
    <row r="63" spans="1:30" ht="14.1" customHeight="1" x14ac:dyDescent="0.25">
      <c r="A63" s="3">
        <v>63</v>
      </c>
      <c r="O63" s="64">
        <f>IF(O102=2,3,IF(Y126="TBD","",IF(Y126="NO",2,IF(Y126="YES",1,3))))</f>
        <v>1</v>
      </c>
      <c r="P63" s="17" t="s">
        <v>73</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74</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75</v>
      </c>
      <c r="Y65" s="14"/>
      <c r="AB65" s="40"/>
      <c r="AC65" s="29" t="str">
        <f t="shared" si="3"/>
        <v/>
      </c>
      <c r="AD65" s="61" t="str">
        <f t="shared" si="5"/>
        <v/>
      </c>
    </row>
    <row r="66" spans="1:30" ht="14.1" customHeight="1" x14ac:dyDescent="0.25">
      <c r="A66" s="3">
        <v>66</v>
      </c>
      <c r="C66" s="2" t="s">
        <v>76</v>
      </c>
      <c r="D66" s="67" t="str">
        <f>IF($R$14="","",$R$14&amp;" Tube "&amp;$W$48)</f>
        <v/>
      </c>
      <c r="L66" s="2" t="s">
        <v>23</v>
      </c>
      <c r="M66" s="68" t="str">
        <f>IF($R$13="","",$R$13)</f>
        <v/>
      </c>
      <c r="O66" s="64">
        <f>IF(W237="TBD","",IF(W237="YES",1,IF(W237="NO",2,3)))</f>
        <v>1</v>
      </c>
      <c r="P66" s="17" t="s">
        <v>77</v>
      </c>
      <c r="Y66" s="14"/>
      <c r="AB66" s="40"/>
      <c r="AC66" s="29" t="str">
        <f t="shared" si="3"/>
        <v/>
      </c>
      <c r="AD66" s="61" t="str">
        <f t="shared" si="5"/>
        <v/>
      </c>
    </row>
    <row r="67" spans="1:30" ht="14.1" customHeight="1" x14ac:dyDescent="0.25">
      <c r="A67" s="3">
        <v>1</v>
      </c>
      <c r="M67" s="69" t="str">
        <f>$H$2</f>
        <v>Medical University of South Carolina</v>
      </c>
      <c r="O67" s="56"/>
      <c r="P67" s="17" t="s">
        <v>78</v>
      </c>
      <c r="Y67" s="14"/>
      <c r="AA67" s="24" t="s">
        <v>79</v>
      </c>
      <c r="AD67" s="53"/>
    </row>
    <row r="68" spans="1:30" ht="14.1" customHeight="1" x14ac:dyDescent="0.25">
      <c r="A68" s="3">
        <v>2</v>
      </c>
      <c r="H68" s="31" t="s">
        <v>48</v>
      </c>
      <c r="M68" s="24" t="str">
        <f>$H$5</f>
        <v>Fluoroscopy System Compliance Inspection</v>
      </c>
      <c r="O68" s="56"/>
      <c r="P68" s="17" t="s">
        <v>80</v>
      </c>
      <c r="Y68" s="14"/>
      <c r="AA68" s="2" t="s">
        <v>81</v>
      </c>
      <c r="AB68" s="40"/>
      <c r="AC68" s="29" t="str">
        <f>IF(AB68&lt;&gt;AD68,"Change","")</f>
        <v/>
      </c>
      <c r="AD68" s="41" t="str">
        <f>IF(O110="","",O110)</f>
        <v/>
      </c>
    </row>
    <row r="69" spans="1:30" ht="14.1" customHeight="1" x14ac:dyDescent="0.25">
      <c r="A69" s="3">
        <v>3</v>
      </c>
      <c r="B69" s="298"/>
      <c r="C69" s="317" t="s">
        <v>82</v>
      </c>
      <c r="D69" s="299"/>
      <c r="E69" s="318"/>
      <c r="F69" s="309" t="s">
        <v>50</v>
      </c>
      <c r="G69" s="299"/>
      <c r="H69" s="299"/>
      <c r="I69" s="299"/>
      <c r="J69" s="299"/>
      <c r="K69" s="299"/>
      <c r="L69" s="593" t="s">
        <v>83</v>
      </c>
      <c r="M69" s="594"/>
      <c r="O69" s="56"/>
      <c r="P69" s="17" t="s">
        <v>84</v>
      </c>
      <c r="Y69" s="14"/>
      <c r="AA69" s="2" t="s">
        <v>85</v>
      </c>
      <c r="AB69" s="40"/>
      <c r="AC69" s="29" t="str">
        <f>IF(AB69&lt;&gt;AD69,"Change","")</f>
        <v/>
      </c>
      <c r="AD69" s="41" t="str">
        <f>IF(O113="","",O113)</f>
        <v/>
      </c>
    </row>
    <row r="70" spans="1:30" ht="14.1" customHeight="1" x14ac:dyDescent="0.25">
      <c r="A70" s="3">
        <v>4</v>
      </c>
      <c r="B70" s="301"/>
      <c r="C70" s="70" t="s">
        <v>86</v>
      </c>
      <c r="D70" s="135"/>
      <c r="E70" s="70" t="s">
        <v>52</v>
      </c>
      <c r="F70" s="135"/>
      <c r="G70" s="135"/>
      <c r="H70" s="135"/>
      <c r="I70" s="135"/>
      <c r="J70" s="135"/>
      <c r="K70" s="135"/>
      <c r="L70" s="319" t="str">
        <f t="shared" ref="L70:L76" si="6">IF(O49="","TBD",IF(O49=1,"YES",IF(O49=3,"NA","")))</f>
        <v>TBD</v>
      </c>
      <c r="M70" s="320" t="str">
        <f t="shared" ref="M70:M76" si="7">IF(O49=2,"NO","")</f>
        <v/>
      </c>
      <c r="O70" s="56"/>
      <c r="P70" s="17" t="s">
        <v>87</v>
      </c>
      <c r="Y70" s="14"/>
      <c r="AA70" s="2" t="s">
        <v>88</v>
      </c>
      <c r="AB70" s="40"/>
      <c r="AC70" s="29" t="str">
        <f>IF(AB70&lt;&gt;AD70,"Change","")</f>
        <v/>
      </c>
      <c r="AD70" s="41" t="str">
        <f>IF(O116="","",O116)</f>
        <v/>
      </c>
    </row>
    <row r="71" spans="1:30" ht="14.1" customHeight="1" x14ac:dyDescent="0.25">
      <c r="A71" s="3">
        <v>5</v>
      </c>
      <c r="B71" s="301"/>
      <c r="C71" s="70" t="s">
        <v>89</v>
      </c>
      <c r="D71" s="135"/>
      <c r="E71" s="70" t="s">
        <v>457</v>
      </c>
      <c r="F71" s="135"/>
      <c r="G71" s="135"/>
      <c r="H71" s="135"/>
      <c r="I71" s="135"/>
      <c r="J71" s="135"/>
      <c r="K71" s="135"/>
      <c r="L71" s="319" t="str">
        <f t="shared" si="6"/>
        <v>TBD</v>
      </c>
      <c r="M71" s="320" t="str">
        <f t="shared" si="7"/>
        <v/>
      </c>
      <c r="O71" s="56"/>
      <c r="P71" s="17" t="s">
        <v>90</v>
      </c>
      <c r="Y71" s="14"/>
      <c r="AA71" s="2" t="s">
        <v>91</v>
      </c>
      <c r="AB71" s="40"/>
      <c r="AC71" s="29" t="str">
        <f>IF(AB71&lt;&gt;AD71,"Change","")</f>
        <v/>
      </c>
      <c r="AD71" s="41" t="str">
        <f>IF(O119="","",O119)</f>
        <v/>
      </c>
    </row>
    <row r="72" spans="1:30" ht="14.1" customHeight="1" x14ac:dyDescent="0.25">
      <c r="A72" s="3">
        <v>6</v>
      </c>
      <c r="B72" s="301"/>
      <c r="C72" s="70" t="s">
        <v>92</v>
      </c>
      <c r="D72" s="135"/>
      <c r="E72" s="70" t="s">
        <v>55</v>
      </c>
      <c r="F72" s="135"/>
      <c r="G72" s="135"/>
      <c r="H72" s="135"/>
      <c r="I72" s="135"/>
      <c r="J72" s="135"/>
      <c r="K72" s="135"/>
      <c r="L72" s="319" t="str">
        <f t="shared" si="6"/>
        <v>TBD</v>
      </c>
      <c r="M72" s="320" t="str">
        <f t="shared" si="7"/>
        <v/>
      </c>
      <c r="O72" s="13"/>
      <c r="S72" s="53"/>
      <c r="T72" s="49" t="s">
        <v>93</v>
      </c>
      <c r="Y72" s="14"/>
      <c r="AA72" s="2" t="s">
        <v>94</v>
      </c>
      <c r="AB72" s="40"/>
      <c r="AC72" s="29" t="str">
        <f>IF(AB72&lt;&gt;AD72,"Change","")</f>
        <v/>
      </c>
      <c r="AD72" s="41" t="str">
        <f>IF(O122="","",O122)</f>
        <v/>
      </c>
    </row>
    <row r="73" spans="1:30" ht="14.1" customHeight="1" x14ac:dyDescent="0.25">
      <c r="A73" s="3">
        <v>7</v>
      </c>
      <c r="B73" s="301"/>
      <c r="C73" s="70"/>
      <c r="D73" s="135"/>
      <c r="E73" s="70" t="s">
        <v>56</v>
      </c>
      <c r="F73" s="135"/>
      <c r="G73" s="135"/>
      <c r="H73" s="135"/>
      <c r="I73" s="135"/>
      <c r="J73" s="135"/>
      <c r="K73" s="135"/>
      <c r="L73" s="319" t="str">
        <f t="shared" si="6"/>
        <v>TBD</v>
      </c>
      <c r="M73" s="320" t="str">
        <f t="shared" si="7"/>
        <v/>
      </c>
      <c r="O73" s="56"/>
      <c r="P73" s="17" t="s">
        <v>95</v>
      </c>
      <c r="Y73" s="14"/>
      <c r="AA73" s="24" t="s">
        <v>96</v>
      </c>
      <c r="AD73" s="53"/>
    </row>
    <row r="74" spans="1:30" ht="14.1" customHeight="1" x14ac:dyDescent="0.25">
      <c r="A74" s="3">
        <v>8</v>
      </c>
      <c r="B74" s="301"/>
      <c r="C74" s="70"/>
      <c r="D74" s="135"/>
      <c r="E74" s="70" t="s">
        <v>57</v>
      </c>
      <c r="F74" s="135"/>
      <c r="G74" s="135"/>
      <c r="H74" s="135"/>
      <c r="I74" s="135"/>
      <c r="J74" s="135"/>
      <c r="K74" s="135"/>
      <c r="L74" s="319" t="str">
        <f t="shared" si="6"/>
        <v>TBD</v>
      </c>
      <c r="M74" s="320" t="str">
        <f t="shared" si="7"/>
        <v/>
      </c>
      <c r="O74" s="56"/>
      <c r="P74" s="17" t="s">
        <v>97</v>
      </c>
      <c r="Y74" s="14"/>
      <c r="AA74" s="2" t="s">
        <v>98</v>
      </c>
      <c r="AB74" s="40"/>
      <c r="AC74" s="29" t="str">
        <f t="shared" ref="AC74:AC82" si="8">IF(AB74&lt;&gt;AD74,"Change","")</f>
        <v/>
      </c>
      <c r="AD74" s="61" t="str">
        <f>IF(Q99="","",Q99)</f>
        <v/>
      </c>
    </row>
    <row r="75" spans="1:30" ht="14.1" customHeight="1" x14ac:dyDescent="0.25">
      <c r="A75" s="3">
        <v>9</v>
      </c>
      <c r="B75" s="301"/>
      <c r="C75" s="70"/>
      <c r="D75" s="135"/>
      <c r="E75" s="70" t="s">
        <v>58</v>
      </c>
      <c r="F75" s="135"/>
      <c r="G75" s="135"/>
      <c r="H75" s="135"/>
      <c r="I75" s="135"/>
      <c r="J75" s="135"/>
      <c r="K75" s="135"/>
      <c r="L75" s="319" t="str">
        <f t="shared" si="6"/>
        <v>TBD</v>
      </c>
      <c r="M75" s="320" t="str">
        <f t="shared" si="7"/>
        <v/>
      </c>
      <c r="O75" s="56"/>
      <c r="P75" s="17" t="s">
        <v>99</v>
      </c>
      <c r="Y75" s="14"/>
      <c r="AA75" s="2" t="s">
        <v>100</v>
      </c>
      <c r="AB75" s="40"/>
      <c r="AC75" s="29" t="str">
        <f t="shared" si="8"/>
        <v>Change</v>
      </c>
      <c r="AD75" s="61">
        <f>IF(Q100="","",Q100)</f>
        <v>1</v>
      </c>
    </row>
    <row r="76" spans="1:30" ht="14.1" customHeight="1" x14ac:dyDescent="0.25">
      <c r="A76" s="3">
        <v>10</v>
      </c>
      <c r="B76" s="301"/>
      <c r="C76" s="70"/>
      <c r="D76" s="135"/>
      <c r="E76" s="70" t="s">
        <v>60</v>
      </c>
      <c r="F76" s="135"/>
      <c r="G76" s="135"/>
      <c r="H76" s="135"/>
      <c r="I76" s="135"/>
      <c r="J76" s="135"/>
      <c r="K76" s="135"/>
      <c r="L76" s="319" t="str">
        <f t="shared" si="6"/>
        <v>TBD</v>
      </c>
      <c r="M76" s="320" t="str">
        <f t="shared" si="7"/>
        <v/>
      </c>
      <c r="O76" s="56"/>
      <c r="P76" s="17" t="s">
        <v>101</v>
      </c>
      <c r="Y76" s="14"/>
      <c r="AA76" s="2" t="s">
        <v>102</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103</v>
      </c>
      <c r="Y77" s="14"/>
      <c r="AA77" s="2" t="s">
        <v>104</v>
      </c>
      <c r="AB77" s="40"/>
      <c r="AC77" s="29" t="str">
        <f t="shared" si="8"/>
        <v/>
      </c>
      <c r="AD77" s="41" t="str">
        <f>IF(O102="","",O102)</f>
        <v/>
      </c>
    </row>
    <row r="78" spans="1:30" ht="14.1" customHeight="1" x14ac:dyDescent="0.25">
      <c r="A78" s="3">
        <v>12</v>
      </c>
      <c r="B78" s="301"/>
      <c r="C78" s="70"/>
      <c r="D78" s="135"/>
      <c r="E78" s="135"/>
      <c r="F78" s="313" t="s">
        <v>93</v>
      </c>
      <c r="G78" s="135"/>
      <c r="H78" s="135"/>
      <c r="I78" s="135"/>
      <c r="J78" s="135"/>
      <c r="K78" s="135"/>
      <c r="L78" s="135"/>
      <c r="M78" s="303"/>
      <c r="O78" s="56"/>
      <c r="P78" s="17" t="s">
        <v>105</v>
      </c>
      <c r="Y78" s="14"/>
      <c r="AA78" s="2" t="s">
        <v>106</v>
      </c>
      <c r="AB78" s="40"/>
      <c r="AC78" s="29" t="str">
        <f t="shared" si="8"/>
        <v>Change</v>
      </c>
      <c r="AD78" s="41" t="str">
        <f>IF(O104="","",O104)</f>
        <v>cm</v>
      </c>
    </row>
    <row r="79" spans="1:30" ht="14.1" customHeight="1" x14ac:dyDescent="0.25">
      <c r="A79" s="3">
        <v>13</v>
      </c>
      <c r="B79" s="301"/>
      <c r="C79" s="70"/>
      <c r="D79" s="135"/>
      <c r="E79" s="70" t="s">
        <v>95</v>
      </c>
      <c r="F79" s="135"/>
      <c r="G79" s="135"/>
      <c r="H79" s="135"/>
      <c r="I79" s="135"/>
      <c r="J79" s="135"/>
      <c r="K79" s="135"/>
      <c r="L79" s="319" t="str">
        <f t="shared" ref="L79:L87" si="9">IF(O73="","TBD",IF(O73=1,"YES",IF(O73=3,"NA","")))</f>
        <v>TBD</v>
      </c>
      <c r="M79" s="320" t="str">
        <f t="shared" ref="M79:M87" si="10">IF(O73=2,"NO","")</f>
        <v/>
      </c>
      <c r="O79" s="56"/>
      <c r="P79" s="17" t="s">
        <v>107</v>
      </c>
      <c r="Y79" s="14"/>
      <c r="AA79" s="2" t="s">
        <v>108</v>
      </c>
      <c r="AB79" s="40"/>
      <c r="AC79" s="29" t="str">
        <f t="shared" si="8"/>
        <v>Change</v>
      </c>
      <c r="AD79" s="41" t="str">
        <f>IF(V99="","",V99)</f>
        <v>Auto</v>
      </c>
    </row>
    <row r="80" spans="1:30" ht="14.1" customHeight="1" x14ac:dyDescent="0.25">
      <c r="A80" s="3">
        <v>14</v>
      </c>
      <c r="B80" s="301"/>
      <c r="C80" s="70"/>
      <c r="D80" s="135"/>
      <c r="E80" s="70" t="s">
        <v>97</v>
      </c>
      <c r="F80" s="135"/>
      <c r="G80" s="135"/>
      <c r="H80" s="135"/>
      <c r="I80" s="135"/>
      <c r="J80" s="135"/>
      <c r="K80" s="135"/>
      <c r="L80" s="319" t="str">
        <f t="shared" si="9"/>
        <v>TBD</v>
      </c>
      <c r="M80" s="320" t="str">
        <f t="shared" si="10"/>
        <v/>
      </c>
      <c r="O80" s="56"/>
      <c r="P80" s="17" t="s">
        <v>109</v>
      </c>
      <c r="Y80" s="14"/>
      <c r="AA80" s="2" t="s">
        <v>448</v>
      </c>
      <c r="AB80" s="40"/>
      <c r="AC80" s="29" t="str">
        <f t="shared" si="8"/>
        <v>Change</v>
      </c>
      <c r="AD80" s="121" t="str">
        <f>IF(V100="","",V100)</f>
        <v>Radcal 90-2123</v>
      </c>
    </row>
    <row r="81" spans="1:30" ht="14.1" customHeight="1" x14ac:dyDescent="0.25">
      <c r="A81" s="3">
        <v>15</v>
      </c>
      <c r="B81" s="301"/>
      <c r="C81" s="70"/>
      <c r="D81" s="135"/>
      <c r="E81" s="70" t="s">
        <v>99</v>
      </c>
      <c r="F81" s="135"/>
      <c r="G81" s="135"/>
      <c r="H81" s="135"/>
      <c r="I81" s="135"/>
      <c r="J81" s="135"/>
      <c r="K81" s="135"/>
      <c r="L81" s="319" t="str">
        <f t="shared" si="9"/>
        <v>TBD</v>
      </c>
      <c r="M81" s="320" t="str">
        <f t="shared" si="10"/>
        <v/>
      </c>
      <c r="O81" s="56"/>
      <c r="P81" s="17" t="s">
        <v>111</v>
      </c>
      <c r="Y81" s="14"/>
      <c r="AA81" s="2" t="s">
        <v>317</v>
      </c>
      <c r="AB81" s="534"/>
      <c r="AC81" s="29" t="str">
        <f t="shared" si="8"/>
        <v>Change</v>
      </c>
      <c r="AD81" s="533">
        <f>IF(V101="","",V101)</f>
        <v>44540</v>
      </c>
    </row>
    <row r="82" spans="1:30" ht="14.1" customHeight="1" x14ac:dyDescent="0.25">
      <c r="A82" s="3">
        <v>16</v>
      </c>
      <c r="B82" s="301"/>
      <c r="C82" s="70"/>
      <c r="D82" s="135"/>
      <c r="E82" s="70" t="s">
        <v>101</v>
      </c>
      <c r="F82" s="135"/>
      <c r="G82" s="135"/>
      <c r="H82" s="135"/>
      <c r="I82" s="135"/>
      <c r="J82" s="135"/>
      <c r="K82" s="135"/>
      <c r="L82" s="319" t="str">
        <f t="shared" si="9"/>
        <v>TBD</v>
      </c>
      <c r="M82" s="320" t="str">
        <f t="shared" si="10"/>
        <v/>
      </c>
      <c r="O82" s="13"/>
      <c r="S82" s="53"/>
      <c r="T82" s="49" t="s">
        <v>113</v>
      </c>
      <c r="Y82" s="14"/>
      <c r="AA82" s="2" t="s">
        <v>449</v>
      </c>
      <c r="AB82" s="534"/>
      <c r="AC82" s="29" t="str">
        <f t="shared" si="8"/>
        <v>Change</v>
      </c>
      <c r="AD82" s="533">
        <f>IF(V102="","",V102)</f>
        <v>44905</v>
      </c>
    </row>
    <row r="83" spans="1:30" ht="14.1" customHeight="1" x14ac:dyDescent="0.25">
      <c r="A83" s="3">
        <v>17</v>
      </c>
      <c r="B83" s="301"/>
      <c r="C83" s="70"/>
      <c r="D83" s="135"/>
      <c r="E83" s="70" t="s">
        <v>103</v>
      </c>
      <c r="F83" s="135"/>
      <c r="G83" s="135"/>
      <c r="H83" s="135"/>
      <c r="I83" s="135"/>
      <c r="J83" s="135"/>
      <c r="K83" s="135"/>
      <c r="L83" s="319" t="str">
        <f t="shared" si="9"/>
        <v>TBD</v>
      </c>
      <c r="M83" s="320" t="str">
        <f t="shared" si="10"/>
        <v/>
      </c>
      <c r="O83" s="56"/>
      <c r="P83" s="17" t="s">
        <v>115</v>
      </c>
      <c r="Y83" s="14"/>
      <c r="AA83" s="2" t="s">
        <v>110</v>
      </c>
      <c r="AB83" s="40"/>
      <c r="AC83" s="29" t="str">
        <f>IF(AB83&lt;&gt;AD83,"Change","")</f>
        <v/>
      </c>
      <c r="AD83" s="41" t="str">
        <f>IF(Q106="","",Q106)</f>
        <v/>
      </c>
    </row>
    <row r="84" spans="1:30" ht="14.1" customHeight="1" x14ac:dyDescent="0.25">
      <c r="A84" s="3">
        <v>18</v>
      </c>
      <c r="B84" s="301"/>
      <c r="C84" s="70"/>
      <c r="D84" s="135"/>
      <c r="E84" s="70" t="s">
        <v>105</v>
      </c>
      <c r="F84" s="135"/>
      <c r="G84" s="135"/>
      <c r="H84" s="135"/>
      <c r="I84" s="135"/>
      <c r="J84" s="135"/>
      <c r="K84" s="135"/>
      <c r="L84" s="319" t="str">
        <f t="shared" si="9"/>
        <v>TBD</v>
      </c>
      <c r="M84" s="320" t="str">
        <f t="shared" si="10"/>
        <v/>
      </c>
      <c r="O84" s="56"/>
      <c r="P84" s="17" t="s">
        <v>117</v>
      </c>
      <c r="Y84" s="14"/>
      <c r="AA84" s="2" t="s">
        <v>112</v>
      </c>
      <c r="AB84" s="40"/>
      <c r="AC84" s="29" t="str">
        <f>IF(AB84&lt;&gt;AD84,"Change","")</f>
        <v/>
      </c>
      <c r="AD84" s="41" t="str">
        <f>IF(T106="","",T106)</f>
        <v/>
      </c>
    </row>
    <row r="85" spans="1:30" ht="14.1" customHeight="1" x14ac:dyDescent="0.25">
      <c r="A85" s="3">
        <v>19</v>
      </c>
      <c r="B85" s="301"/>
      <c r="C85" s="70"/>
      <c r="D85" s="135"/>
      <c r="E85" s="70" t="s">
        <v>107</v>
      </c>
      <c r="F85" s="135"/>
      <c r="G85" s="135"/>
      <c r="H85" s="135"/>
      <c r="I85" s="135"/>
      <c r="J85" s="135"/>
      <c r="K85" s="135"/>
      <c r="L85" s="319" t="str">
        <f t="shared" si="9"/>
        <v>TBD</v>
      </c>
      <c r="M85" s="320" t="str">
        <f t="shared" si="10"/>
        <v/>
      </c>
      <c r="O85" s="56"/>
      <c r="P85" s="17" t="s">
        <v>119</v>
      </c>
      <c r="Y85" s="14"/>
      <c r="AA85" s="2" t="s">
        <v>114</v>
      </c>
      <c r="AB85" s="40"/>
      <c r="AC85" s="29" t="str">
        <f>IF(AB85&lt;&gt;AD85,"Change","")</f>
        <v/>
      </c>
      <c r="AD85" s="41" t="str">
        <f>IF(W106="","",W106)</f>
        <v/>
      </c>
    </row>
    <row r="86" spans="1:30" ht="14.1" customHeight="1" x14ac:dyDescent="0.25">
      <c r="A86" s="3">
        <v>20</v>
      </c>
      <c r="B86" s="301"/>
      <c r="C86" s="70"/>
      <c r="D86" s="135"/>
      <c r="E86" s="70" t="s">
        <v>109</v>
      </c>
      <c r="F86" s="135"/>
      <c r="G86" s="135"/>
      <c r="H86" s="135"/>
      <c r="I86" s="135"/>
      <c r="J86" s="135"/>
      <c r="K86" s="135"/>
      <c r="L86" s="319" t="str">
        <f t="shared" si="9"/>
        <v>TBD</v>
      </c>
      <c r="M86" s="320" t="str">
        <f t="shared" si="10"/>
        <v/>
      </c>
      <c r="O86" s="56"/>
      <c r="P86" s="17" t="s">
        <v>121</v>
      </c>
      <c r="Y86" s="14"/>
      <c r="AA86" s="24" t="s">
        <v>116</v>
      </c>
    </row>
    <row r="87" spans="1:30" ht="14.1" customHeight="1" x14ac:dyDescent="0.25">
      <c r="A87" s="3">
        <v>21</v>
      </c>
      <c r="B87" s="301"/>
      <c r="C87" s="70"/>
      <c r="D87" s="135"/>
      <c r="E87" s="70" t="s">
        <v>111</v>
      </c>
      <c r="F87" s="135"/>
      <c r="G87" s="135"/>
      <c r="H87" s="135"/>
      <c r="I87" s="135"/>
      <c r="J87" s="135"/>
      <c r="K87" s="135"/>
      <c r="L87" s="319" t="str">
        <f t="shared" si="9"/>
        <v>TBD</v>
      </c>
      <c r="M87" s="320" t="str">
        <f t="shared" si="10"/>
        <v/>
      </c>
      <c r="O87" s="56"/>
      <c r="P87" s="17" t="s">
        <v>123</v>
      </c>
      <c r="Y87" s="14"/>
      <c r="AA87" s="2" t="s">
        <v>118</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
      </c>
      <c r="Y88" s="14"/>
      <c r="AA88" s="2" t="s">
        <v>120</v>
      </c>
      <c r="AB88" s="40"/>
      <c r="AC88" s="29" t="str">
        <f t="shared" si="11"/>
        <v/>
      </c>
      <c r="AD88" s="41">
        <f>IF(R124="","",R124)</f>
        <v>0</v>
      </c>
    </row>
    <row r="89" spans="1:30" ht="14.1" customHeight="1" x14ac:dyDescent="0.25">
      <c r="A89" s="3">
        <v>23</v>
      </c>
      <c r="B89" s="301"/>
      <c r="C89" s="73"/>
      <c r="D89" s="135"/>
      <c r="E89" s="135"/>
      <c r="F89" s="313" t="s">
        <v>62</v>
      </c>
      <c r="G89" s="135"/>
      <c r="H89" s="135"/>
      <c r="I89" s="135"/>
      <c r="J89" s="135"/>
      <c r="K89" s="135"/>
      <c r="L89" s="135"/>
      <c r="M89" s="303"/>
      <c r="O89" s="72"/>
      <c r="P89" s="17"/>
      <c r="S89" s="53"/>
      <c r="T89" s="49" t="s">
        <v>124</v>
      </c>
      <c r="Y89" s="14"/>
      <c r="AA89" s="2" t="s">
        <v>122</v>
      </c>
      <c r="AB89" s="40"/>
      <c r="AC89" s="29" t="str">
        <f t="shared" si="11"/>
        <v/>
      </c>
      <c r="AD89" s="41">
        <f>IF(S124="","",S124)</f>
        <v>0</v>
      </c>
    </row>
    <row r="90" spans="1:30" ht="14.1" customHeight="1" x14ac:dyDescent="0.25">
      <c r="A90" s="3">
        <v>24</v>
      </c>
      <c r="B90" s="301"/>
      <c r="C90" s="70" t="s">
        <v>126</v>
      </c>
      <c r="D90" s="135"/>
      <c r="E90" s="70" t="s">
        <v>64</v>
      </c>
      <c r="F90" s="135"/>
      <c r="G90" s="135"/>
      <c r="H90" s="135"/>
      <c r="I90" s="135"/>
      <c r="J90" s="135"/>
      <c r="K90" s="135"/>
      <c r="L90" s="319" t="str">
        <f t="shared" ref="L90:L97" si="12">IF(O57="","TBD",IF(O57=1,"YES",IF(O57=3,"NA","")))</f>
        <v>TBD</v>
      </c>
      <c r="M90" s="320" t="str">
        <f t="shared" ref="M90:M104" si="13">IF(O57=2,"NO","")</f>
        <v/>
      </c>
      <c r="O90" s="56"/>
      <c r="P90" s="17" t="s">
        <v>125</v>
      </c>
      <c r="Y90" s="14"/>
      <c r="AA90" s="2" t="s">
        <v>118</v>
      </c>
      <c r="AB90" s="40"/>
      <c r="AC90" s="29" t="str">
        <f t="shared" si="11"/>
        <v/>
      </c>
      <c r="AD90" s="41">
        <f>IF(T124="","",T124)</f>
        <v>0</v>
      </c>
    </row>
    <row r="91" spans="1:30" ht="14.1" customHeight="1" x14ac:dyDescent="0.25">
      <c r="A91" s="3">
        <v>25</v>
      </c>
      <c r="B91" s="301"/>
      <c r="C91" s="70" t="s">
        <v>128</v>
      </c>
      <c r="D91" s="135"/>
      <c r="E91" s="70" t="s">
        <v>67</v>
      </c>
      <c r="F91" s="135"/>
      <c r="G91" s="135"/>
      <c r="H91" s="135"/>
      <c r="I91" s="135"/>
      <c r="J91" s="135"/>
      <c r="K91" s="135"/>
      <c r="L91" s="319" t="str">
        <f t="shared" si="12"/>
        <v>TBD</v>
      </c>
      <c r="M91" s="320" t="str">
        <f t="shared" si="13"/>
        <v/>
      </c>
      <c r="O91" s="56"/>
      <c r="P91" s="17" t="s">
        <v>127</v>
      </c>
      <c r="Y91" s="14"/>
      <c r="AA91" s="2" t="s">
        <v>120</v>
      </c>
      <c r="AB91" s="40"/>
      <c r="AC91" s="29" t="str">
        <f t="shared" si="11"/>
        <v/>
      </c>
      <c r="AD91" s="41">
        <f>IF(U124="","",U124)</f>
        <v>0</v>
      </c>
    </row>
    <row r="92" spans="1:30" ht="14.1" customHeight="1" x14ac:dyDescent="0.25">
      <c r="A92" s="3">
        <v>26</v>
      </c>
      <c r="B92" s="301"/>
      <c r="C92" s="70" t="s">
        <v>130</v>
      </c>
      <c r="D92" s="135"/>
      <c r="E92" s="70" t="s">
        <v>69</v>
      </c>
      <c r="F92" s="135"/>
      <c r="G92" s="135"/>
      <c r="H92" s="135"/>
      <c r="I92" s="135"/>
      <c r="J92" s="135"/>
      <c r="K92" s="135"/>
      <c r="L92" s="319" t="str">
        <f t="shared" si="12"/>
        <v>TBD</v>
      </c>
      <c r="M92" s="320" t="str">
        <f t="shared" si="13"/>
        <v/>
      </c>
      <c r="O92" s="56"/>
      <c r="P92" s="17" t="s">
        <v>129</v>
      </c>
      <c r="Y92" s="14"/>
      <c r="AA92" s="2" t="s">
        <v>122</v>
      </c>
      <c r="AB92" s="40"/>
      <c r="AC92" s="29" t="str">
        <f t="shared" si="11"/>
        <v/>
      </c>
      <c r="AD92" s="41">
        <f>IF(V124="","",V124)</f>
        <v>0</v>
      </c>
    </row>
    <row r="93" spans="1:30" ht="14.1" customHeight="1" x14ac:dyDescent="0.25">
      <c r="A93" s="3">
        <v>27</v>
      </c>
      <c r="B93" s="301"/>
      <c r="C93" s="70" t="s">
        <v>126</v>
      </c>
      <c r="D93" s="135"/>
      <c r="E93" s="70" t="s">
        <v>70</v>
      </c>
      <c r="F93" s="135"/>
      <c r="G93" s="135"/>
      <c r="H93" s="135"/>
      <c r="I93" s="135"/>
      <c r="J93" s="135"/>
      <c r="K93" s="135"/>
      <c r="L93" s="319" t="str">
        <f t="shared" si="12"/>
        <v>TBD</v>
      </c>
      <c r="M93" s="320" t="str">
        <f t="shared" si="13"/>
        <v/>
      </c>
      <c r="O93" s="56"/>
      <c r="P93" s="17" t="s">
        <v>131</v>
      </c>
      <c r="Y93" s="14"/>
      <c r="AA93" s="2" t="s">
        <v>118</v>
      </c>
      <c r="AB93" s="40"/>
      <c r="AC93" s="29" t="str">
        <f t="shared" si="11"/>
        <v/>
      </c>
      <c r="AD93" s="41">
        <f>IF(W124="","",W124)</f>
        <v>0</v>
      </c>
    </row>
    <row r="94" spans="1:30" ht="14.1" customHeight="1" x14ac:dyDescent="0.25">
      <c r="A94" s="3">
        <v>28</v>
      </c>
      <c r="B94" s="301"/>
      <c r="C94" s="70" t="s">
        <v>134</v>
      </c>
      <c r="D94" s="135"/>
      <c r="E94" s="70" t="s">
        <v>71</v>
      </c>
      <c r="F94" s="135"/>
      <c r="G94" s="135"/>
      <c r="H94" s="135"/>
      <c r="I94" s="135"/>
      <c r="J94" s="135"/>
      <c r="K94" s="135"/>
      <c r="L94" s="319" t="str">
        <f t="shared" si="12"/>
        <v>TBD</v>
      </c>
      <c r="M94" s="320" t="str">
        <f t="shared" si="13"/>
        <v/>
      </c>
      <c r="O94" s="56"/>
      <c r="P94" s="17" t="s">
        <v>132</v>
      </c>
      <c r="Y94" s="14"/>
      <c r="AA94" s="2" t="s">
        <v>120</v>
      </c>
      <c r="AB94" s="40"/>
      <c r="AC94" s="29" t="str">
        <f t="shared" si="11"/>
        <v/>
      </c>
      <c r="AD94" s="41">
        <f>IF(X124="","",X124)</f>
        <v>0</v>
      </c>
    </row>
    <row r="95" spans="1:30" ht="14.1" customHeight="1" thickBot="1" x14ac:dyDescent="0.3">
      <c r="A95" s="3">
        <v>29</v>
      </c>
      <c r="B95" s="301"/>
      <c r="C95" s="70" t="s">
        <v>136</v>
      </c>
      <c r="D95" s="135"/>
      <c r="E95" s="70" t="s">
        <v>72</v>
      </c>
      <c r="F95" s="135"/>
      <c r="G95" s="135"/>
      <c r="H95" s="135"/>
      <c r="I95" s="135"/>
      <c r="J95" s="135"/>
      <c r="K95" s="135"/>
      <c r="L95" s="319" t="str">
        <f t="shared" si="12"/>
        <v>YES</v>
      </c>
      <c r="M95" s="320" t="str">
        <f t="shared" si="13"/>
        <v/>
      </c>
      <c r="O95" s="564"/>
      <c r="P95" s="219" t="s">
        <v>135</v>
      </c>
      <c r="Q95" s="33"/>
      <c r="R95" s="33"/>
      <c r="S95" s="33"/>
      <c r="T95" s="22"/>
      <c r="U95" s="22"/>
      <c r="V95" s="22"/>
      <c r="W95" s="22"/>
      <c r="X95" s="22"/>
      <c r="Y95" s="23"/>
      <c r="AA95" s="2" t="s">
        <v>122</v>
      </c>
      <c r="AB95" s="40"/>
      <c r="AC95" s="29" t="str">
        <f t="shared" si="11"/>
        <v/>
      </c>
      <c r="AD95" s="41">
        <f>IF(Y124="","",Y124)</f>
        <v>0</v>
      </c>
    </row>
    <row r="96" spans="1:30" ht="14.1" customHeight="1" x14ac:dyDescent="0.25">
      <c r="A96" s="3">
        <v>30</v>
      </c>
      <c r="B96" s="301"/>
      <c r="C96" s="70" t="s">
        <v>137</v>
      </c>
      <c r="D96" s="135"/>
      <c r="E96" s="70" t="s">
        <v>73</v>
      </c>
      <c r="F96" s="135"/>
      <c r="G96" s="135"/>
      <c r="H96" s="135"/>
      <c r="I96" s="135"/>
      <c r="J96" s="135"/>
      <c r="K96" s="135"/>
      <c r="L96" s="319" t="str">
        <f t="shared" si="12"/>
        <v>YES</v>
      </c>
      <c r="M96" s="320" t="str">
        <f t="shared" si="13"/>
        <v/>
      </c>
      <c r="AA96" s="24" t="s">
        <v>133</v>
      </c>
      <c r="AB96" s="53"/>
      <c r="AC96" s="53"/>
      <c r="AD96" s="53"/>
    </row>
    <row r="97" spans="1:30" ht="14.1" customHeight="1" x14ac:dyDescent="0.25">
      <c r="A97" s="3">
        <v>31</v>
      </c>
      <c r="B97" s="301"/>
      <c r="C97" s="70"/>
      <c r="D97" s="135"/>
      <c r="E97" s="70" t="s">
        <v>74</v>
      </c>
      <c r="F97" s="135"/>
      <c r="G97" s="135"/>
      <c r="H97" s="135"/>
      <c r="I97" s="135"/>
      <c r="J97" s="135"/>
      <c r="K97" s="135"/>
      <c r="L97" s="319" t="str">
        <f t="shared" si="12"/>
        <v>NA</v>
      </c>
      <c r="M97" s="320" t="str">
        <f t="shared" si="13"/>
        <v/>
      </c>
      <c r="S97" s="53"/>
      <c r="T97" s="31" t="s">
        <v>48</v>
      </c>
      <c r="AA97" s="2" t="s">
        <v>118</v>
      </c>
      <c r="AB97" s="40"/>
      <c r="AC97" s="29" t="str">
        <f t="shared" ref="AC97:AC105" si="14">IF(AB97&lt;&gt;AD97,"Change","")</f>
        <v/>
      </c>
      <c r="AD97" s="41">
        <f>IF(Q156="","",Q156)</f>
        <v>0</v>
      </c>
    </row>
    <row r="98" spans="1:30" ht="14.1" customHeight="1" thickBot="1" x14ac:dyDescent="0.3">
      <c r="A98" s="3">
        <v>32</v>
      </c>
      <c r="B98" s="301"/>
      <c r="C98" s="70"/>
      <c r="D98" s="135"/>
      <c r="E98" s="70" t="s">
        <v>75</v>
      </c>
      <c r="F98" s="135"/>
      <c r="G98" s="135"/>
      <c r="H98" s="135"/>
      <c r="I98" s="135"/>
      <c r="J98" s="135"/>
      <c r="K98" s="135"/>
      <c r="L98" s="319" t="str">
        <f>IF(O65="","NA",IF(O65=1,"YES",IF(O65=3,"NA","")))</f>
        <v>NA</v>
      </c>
      <c r="M98" s="320" t="str">
        <f t="shared" si="13"/>
        <v/>
      </c>
      <c r="AA98" s="2" t="s">
        <v>120</v>
      </c>
      <c r="AB98" s="40"/>
      <c r="AC98" s="29" t="str">
        <f t="shared" si="14"/>
        <v/>
      </c>
      <c r="AD98" s="41">
        <f>IF(R156="","",R156)</f>
        <v>0</v>
      </c>
    </row>
    <row r="99" spans="1:30" ht="14.1" customHeight="1" x14ac:dyDescent="0.25">
      <c r="A99" s="3">
        <v>33</v>
      </c>
      <c r="B99" s="301"/>
      <c r="C99" s="70" t="s">
        <v>138</v>
      </c>
      <c r="D99" s="135"/>
      <c r="E99" s="70" t="s">
        <v>77</v>
      </c>
      <c r="F99" s="135"/>
      <c r="G99" s="135"/>
      <c r="H99" s="135"/>
      <c r="I99" s="135"/>
      <c r="J99" s="135"/>
      <c r="K99" s="135"/>
      <c r="L99" s="319" t="str">
        <f t="shared" ref="L99:L104" si="15">IF(O66="","TBD",IF(O66=1,"YES",IF(O66=3,"NA","")))</f>
        <v>YES</v>
      </c>
      <c r="M99" s="320" t="str">
        <f t="shared" si="13"/>
        <v/>
      </c>
      <c r="O99" s="55" t="s">
        <v>139</v>
      </c>
      <c r="P99" s="7"/>
      <c r="Q99" s="74" t="str">
        <f>IF(R99&lt;&gt;"",R99,IF(AB74="","",AB74))</f>
        <v/>
      </c>
      <c r="R99" s="75"/>
      <c r="S99" s="76" t="s">
        <v>140</v>
      </c>
      <c r="T99" s="77"/>
      <c r="U99" s="7"/>
      <c r="V99" s="522" t="str">
        <f>IF(W99&lt;&gt;"",W99,IF(AB79="","",AB79))</f>
        <v>Auto</v>
      </c>
      <c r="W99" s="523" t="s">
        <v>141</v>
      </c>
      <c r="X99" s="76" t="s">
        <v>142</v>
      </c>
      <c r="Y99" s="8"/>
      <c r="AA99" s="2" t="s">
        <v>122</v>
      </c>
      <c r="AB99" s="40"/>
      <c r="AC99" s="29" t="str">
        <f t="shared" si="14"/>
        <v/>
      </c>
      <c r="AD99" s="41">
        <f>IF(S156="","",S156)</f>
        <v>0</v>
      </c>
    </row>
    <row r="100" spans="1:30" ht="14.1" customHeight="1" x14ac:dyDescent="0.25">
      <c r="A100" s="3">
        <v>34</v>
      </c>
      <c r="B100" s="301"/>
      <c r="C100" s="70" t="s">
        <v>143</v>
      </c>
      <c r="D100" s="135"/>
      <c r="E100" s="70" t="s">
        <v>78</v>
      </c>
      <c r="F100" s="135"/>
      <c r="G100" s="135"/>
      <c r="H100" s="135"/>
      <c r="I100" s="135"/>
      <c r="J100" s="135"/>
      <c r="K100" s="135"/>
      <c r="L100" s="319" t="str">
        <f t="shared" si="15"/>
        <v>TBD</v>
      </c>
      <c r="M100" s="320" t="str">
        <f t="shared" si="13"/>
        <v/>
      </c>
      <c r="O100" s="13"/>
      <c r="Q100" s="47">
        <f>IF(R100&lt;&gt;"",R100,IF(AB75="","",AB75))</f>
        <v>1</v>
      </c>
      <c r="R100" s="48">
        <v>1</v>
      </c>
      <c r="S100" s="17" t="s">
        <v>144</v>
      </c>
      <c r="T100" s="53"/>
      <c r="V100" s="521" t="str">
        <f>IF(W100&lt;&gt;"",W100,IF(AB80="","",AB80))</f>
        <v>Radcal 90-2123</v>
      </c>
      <c r="W100" s="579" t="s">
        <v>458</v>
      </c>
      <c r="X100" s="1" t="s">
        <v>445</v>
      </c>
      <c r="Y100" s="14"/>
      <c r="AA100" s="2" t="s">
        <v>118</v>
      </c>
      <c r="AB100" s="40"/>
      <c r="AC100" s="29" t="str">
        <f t="shared" si="14"/>
        <v/>
      </c>
      <c r="AD100" s="41">
        <f>IF(T156="","",T156)</f>
        <v>0</v>
      </c>
    </row>
    <row r="101" spans="1:30" ht="14.1" customHeight="1" x14ac:dyDescent="0.25">
      <c r="A101" s="3">
        <v>35</v>
      </c>
      <c r="B101" s="301"/>
      <c r="C101" s="70"/>
      <c r="D101" s="135"/>
      <c r="E101" s="70" t="s">
        <v>80</v>
      </c>
      <c r="F101" s="135"/>
      <c r="G101" s="135"/>
      <c r="H101" s="135"/>
      <c r="I101" s="135"/>
      <c r="J101" s="135"/>
      <c r="K101" s="135"/>
      <c r="L101" s="319" t="str">
        <f t="shared" si="15"/>
        <v>TBD</v>
      </c>
      <c r="M101" s="320" t="str">
        <f t="shared" si="13"/>
        <v/>
      </c>
      <c r="O101" s="59" t="str">
        <f>IF(P101&lt;&gt;"",P101,IF(AB76="","",AB76))</f>
        <v/>
      </c>
      <c r="P101" s="48"/>
      <c r="Q101" s="17" t="s">
        <v>145</v>
      </c>
      <c r="V101" s="530">
        <f>IF(W101&lt;&gt;"",W101,IF(AB81="","",AB81))</f>
        <v>44540</v>
      </c>
      <c r="W101" s="580">
        <v>44540</v>
      </c>
      <c r="X101" s="1" t="s">
        <v>446</v>
      </c>
      <c r="Y101" s="14"/>
      <c r="AA101" s="2" t="s">
        <v>120</v>
      </c>
      <c r="AB101" s="40"/>
      <c r="AC101" s="29" t="str">
        <f t="shared" si="14"/>
        <v/>
      </c>
      <c r="AD101" s="41">
        <f>IF(U156="","",U156)</f>
        <v>0</v>
      </c>
    </row>
    <row r="102" spans="1:30" ht="14.1" customHeight="1" x14ac:dyDescent="0.25">
      <c r="A102" s="3">
        <v>36</v>
      </c>
      <c r="B102" s="301"/>
      <c r="C102" s="70" t="s">
        <v>143</v>
      </c>
      <c r="D102" s="135"/>
      <c r="E102" s="70" t="s">
        <v>84</v>
      </c>
      <c r="F102" s="135"/>
      <c r="G102" s="135"/>
      <c r="H102" s="135"/>
      <c r="I102" s="135"/>
      <c r="J102" s="135"/>
      <c r="K102" s="135"/>
      <c r="L102" s="319" t="str">
        <f t="shared" si="15"/>
        <v>TBD</v>
      </c>
      <c r="M102" s="320" t="str">
        <f t="shared" si="13"/>
        <v/>
      </c>
      <c r="O102" s="59" t="str">
        <f>IF(P102&lt;&gt;"",P102,IF(AB77="","",AB77))</f>
        <v/>
      </c>
      <c r="P102" s="48"/>
      <c r="Q102" s="17" t="s">
        <v>146</v>
      </c>
      <c r="V102" s="530">
        <f>IF(W102&lt;&gt;"",W102,IF(AB82="","",AB82))</f>
        <v>44905</v>
      </c>
      <c r="W102" s="580">
        <v>44905</v>
      </c>
      <c r="X102" s="1" t="s">
        <v>447</v>
      </c>
      <c r="Y102" s="14"/>
      <c r="AA102" s="2" t="s">
        <v>122</v>
      </c>
      <c r="AB102" s="40"/>
      <c r="AC102" s="29" t="str">
        <f t="shared" si="14"/>
        <v/>
      </c>
      <c r="AD102" s="41">
        <f>IF(V156="","",V156)</f>
        <v>0</v>
      </c>
    </row>
    <row r="103" spans="1:30" ht="14.1" customHeight="1" x14ac:dyDescent="0.25">
      <c r="A103" s="3">
        <v>37</v>
      </c>
      <c r="B103" s="301"/>
      <c r="C103" s="70" t="s">
        <v>147</v>
      </c>
      <c r="D103" s="135"/>
      <c r="E103" s="70" t="s">
        <v>87</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118</v>
      </c>
      <c r="AB103" s="40"/>
      <c r="AC103" s="29" t="str">
        <f t="shared" si="14"/>
        <v/>
      </c>
      <c r="AD103" s="41">
        <f>IF(W156="","",W156)</f>
        <v>0</v>
      </c>
    </row>
    <row r="104" spans="1:30" ht="14.1" customHeight="1" x14ac:dyDescent="0.25">
      <c r="A104" s="3">
        <v>38</v>
      </c>
      <c r="B104" s="301"/>
      <c r="C104" s="70" t="s">
        <v>149</v>
      </c>
      <c r="D104" s="135"/>
      <c r="E104" s="70" t="s">
        <v>90</v>
      </c>
      <c r="F104" s="135"/>
      <c r="G104" s="135"/>
      <c r="H104" s="135"/>
      <c r="I104" s="135"/>
      <c r="J104" s="135"/>
      <c r="K104" s="135"/>
      <c r="L104" s="319" t="str">
        <f t="shared" si="15"/>
        <v>TBD</v>
      </c>
      <c r="M104" s="320" t="str">
        <f t="shared" si="13"/>
        <v/>
      </c>
      <c r="O104" s="79" t="str">
        <f>IF(P104&lt;&gt;"",P104,IF(AB78="","",AB78))</f>
        <v>cm</v>
      </c>
      <c r="P104" s="27" t="s">
        <v>150</v>
      </c>
      <c r="Q104" s="17" t="s">
        <v>151</v>
      </c>
      <c r="Y104" s="14"/>
      <c r="AA104" s="2" t="s">
        <v>120</v>
      </c>
      <c r="AB104" s="40"/>
      <c r="AC104" s="29" t="str">
        <f t="shared" si="14"/>
        <v/>
      </c>
      <c r="AD104" s="41">
        <f>IF(X156="","",X156)</f>
        <v>0</v>
      </c>
    </row>
    <row r="105" spans="1:30" ht="14.1" customHeight="1" x14ac:dyDescent="0.25">
      <c r="A105" s="3">
        <v>39</v>
      </c>
      <c r="B105" s="301"/>
      <c r="C105" s="70" t="s">
        <v>153</v>
      </c>
      <c r="D105" s="135"/>
      <c r="E105" s="70" t="s">
        <v>154</v>
      </c>
      <c r="F105" s="135"/>
      <c r="G105" s="135"/>
      <c r="H105" s="135"/>
      <c r="I105" s="135"/>
      <c r="J105" s="135"/>
      <c r="K105" s="135"/>
      <c r="L105" s="319" t="str">
        <f>IF(X181="TBD","TBD",IF(X181="YES","YES",IF(X181="NA","NA","")))</f>
        <v>TBD</v>
      </c>
      <c r="M105" s="320" t="str">
        <f>IF(X181="NO","NO","")</f>
        <v/>
      </c>
      <c r="O105" s="80" t="s">
        <v>155</v>
      </c>
      <c r="Y105" s="14"/>
      <c r="AA105" s="2" t="s">
        <v>122</v>
      </c>
      <c r="AB105" s="40"/>
      <c r="AC105" s="29" t="str">
        <f t="shared" si="14"/>
        <v/>
      </c>
      <c r="AD105" s="41">
        <f>IF(Y156="","",Y156)</f>
        <v>0</v>
      </c>
    </row>
    <row r="106" spans="1:30" ht="14.1" customHeight="1" x14ac:dyDescent="0.25">
      <c r="A106" s="3">
        <v>40</v>
      </c>
      <c r="B106" s="301"/>
      <c r="C106" s="42"/>
      <c r="D106" s="135"/>
      <c r="E106" s="70" t="s">
        <v>157</v>
      </c>
      <c r="F106" s="135"/>
      <c r="G106" s="135"/>
      <c r="H106" s="135"/>
      <c r="I106" s="135"/>
      <c r="J106" s="135"/>
      <c r="K106" s="135"/>
      <c r="L106" s="319" t="str">
        <f>IF(Q286="","NA",IF(Q286="YES",Q286,IF(Q286="NA",Q286,"")))</f>
        <v>NA</v>
      </c>
      <c r="M106" s="320" t="str">
        <f>IF(Q286="NO",Q286,"")</f>
        <v/>
      </c>
      <c r="O106" s="81" t="s">
        <v>158</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148</v>
      </c>
      <c r="AB106" s="53"/>
    </row>
    <row r="107" spans="1:30" ht="14.1" customHeight="1" x14ac:dyDescent="0.25">
      <c r="A107" s="3">
        <v>41</v>
      </c>
      <c r="B107" s="301"/>
      <c r="C107" s="42"/>
      <c r="D107" s="135"/>
      <c r="E107" s="70" t="s">
        <v>160</v>
      </c>
      <c r="F107" s="200"/>
      <c r="G107" s="200"/>
      <c r="H107" s="200"/>
      <c r="I107" s="200"/>
      <c r="J107" s="200"/>
      <c r="K107" s="200"/>
      <c r="L107" s="319" t="str">
        <f>IF(T286="","NA",IF(T286="YES",T286,IF(T286="NA",T286,"")))</f>
        <v>NA</v>
      </c>
      <c r="M107" s="320" t="str">
        <f>IF(T286="NO",T286,"")</f>
        <v/>
      </c>
      <c r="O107" s="81" t="s">
        <v>161</v>
      </c>
      <c r="P107" s="14" t="s">
        <v>162</v>
      </c>
      <c r="Q107" s="590" t="str">
        <f>IF(Q106&lt;&gt;"",Q106,IF($Q$99=1,"Manual 1",IF(AUTO_MA="","",AUTO_MA&amp;" 1")))</f>
        <v>Auto 1</v>
      </c>
      <c r="R107" s="590"/>
      <c r="S107" s="590"/>
      <c r="T107" s="589" t="str">
        <f>IF(T106&lt;&gt;"",T106,IF($R$1399=1,"Manual 2",IF(OR(AUTO_MA="",O101="",O101=1),"",AUTO_MA&amp;" "&amp;IF(O101=2,2,IF(AND(O102=2,O101&gt;2),ROUND(O101/2,0),O101)))))</f>
        <v/>
      </c>
      <c r="U107" s="589"/>
      <c r="V107" s="589"/>
      <c r="W107" s="589" t="str">
        <f>IF(W106&lt;&gt;"",W106,IF(OR(O102=1,O101&lt;3),IF(O102=1,"High Level","No High Level"),IF(AUTO_MA="","",AUTO_MA&amp;" "&amp;O101)))</f>
        <v xml:space="preserve">Auto </v>
      </c>
      <c r="X107" s="589"/>
      <c r="Y107" s="589"/>
      <c r="AA107" s="2" t="s">
        <v>152</v>
      </c>
      <c r="AB107" s="40"/>
      <c r="AC107" s="29" t="str">
        <f>IF(AB107&lt;&gt;AD107,"Change","")</f>
        <v/>
      </c>
      <c r="AD107" s="61" t="str">
        <f>IF(O173="","",O173)</f>
        <v/>
      </c>
    </row>
    <row r="108" spans="1:30" ht="14.1" customHeight="1" thickBot="1" x14ac:dyDescent="0.3">
      <c r="A108" s="3">
        <v>42</v>
      </c>
      <c r="B108" s="301"/>
      <c r="C108" s="42"/>
      <c r="D108" s="135"/>
      <c r="E108" s="70" t="s">
        <v>163</v>
      </c>
      <c r="F108" s="200"/>
      <c r="G108" s="200"/>
      <c r="H108" s="200"/>
      <c r="I108" s="200"/>
      <c r="J108" s="200"/>
      <c r="K108" s="200"/>
      <c r="L108" s="319" t="str">
        <f>IF(W286="","NA",IF(W286="YES",W286,IF(W286="NA",W286,"")))</f>
        <v>NA</v>
      </c>
      <c r="M108" s="320" t="str">
        <f>IF(W286="NO",W286,"")</f>
        <v/>
      </c>
      <c r="O108" s="81" t="str">
        <f>IF(flocm_in="","","("&amp;flocm_in&amp;")")</f>
        <v>(cm)</v>
      </c>
      <c r="P108" s="23" t="s">
        <v>164</v>
      </c>
      <c r="Q108" s="1" t="s">
        <v>165</v>
      </c>
      <c r="R108" s="1" t="s">
        <v>166</v>
      </c>
      <c r="S108" s="14" t="s">
        <v>167</v>
      </c>
      <c r="T108" s="1" t="s">
        <v>165</v>
      </c>
      <c r="U108" s="1" t="s">
        <v>166</v>
      </c>
      <c r="V108" s="14" t="s">
        <v>167</v>
      </c>
      <c r="W108" s="1" t="s">
        <v>165</v>
      </c>
      <c r="X108" s="1" t="s">
        <v>166</v>
      </c>
      <c r="Y108" s="14" t="s">
        <v>167</v>
      </c>
      <c r="AA108" s="2" t="s">
        <v>156</v>
      </c>
      <c r="AB108" s="40"/>
      <c r="AC108" s="29" t="str">
        <f>IF(AB108&lt;&gt;AD108,"Change","")</f>
        <v>Change</v>
      </c>
      <c r="AD108" s="41" t="str">
        <f>IF(X174="","",X174)</f>
        <v>TBD</v>
      </c>
    </row>
    <row r="109" spans="1:30" ht="14.1" customHeight="1" x14ac:dyDescent="0.25">
      <c r="A109" s="3">
        <v>43</v>
      </c>
      <c r="B109" s="301"/>
      <c r="C109" s="42"/>
      <c r="D109" s="135"/>
      <c r="E109" s="322" t="s">
        <v>168</v>
      </c>
      <c r="F109" s="323"/>
      <c r="G109" s="323"/>
      <c r="H109" s="323"/>
      <c r="I109" s="323"/>
      <c r="J109" s="323"/>
      <c r="K109" s="323"/>
      <c r="L109" s="319" t="str">
        <f>IF(U299="","NA",IF(U299="YES",U299,IF(U299="NA",U299,"")))</f>
        <v>NA</v>
      </c>
      <c r="M109" s="320" t="str">
        <f>IF(U299="NO",U299,"")</f>
        <v/>
      </c>
      <c r="O109" s="82" t="s">
        <v>169</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159</v>
      </c>
      <c r="AB109" s="53"/>
    </row>
    <row r="110" spans="1:30" ht="14.1" customHeight="1" x14ac:dyDescent="0.25">
      <c r="A110" s="3">
        <v>44</v>
      </c>
      <c r="B110" s="301"/>
      <c r="C110" s="42"/>
      <c r="D110" s="135"/>
      <c r="E110" s="322" t="s">
        <v>170</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110</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112</v>
      </c>
      <c r="AB111" s="40"/>
      <c r="AC111" s="29" t="str">
        <f>IF(AB111&lt;&gt;AD111,"Change","")</f>
        <v/>
      </c>
      <c r="AD111" s="41" t="str">
        <f>IF(T138="","",T138)</f>
        <v/>
      </c>
    </row>
    <row r="112" spans="1:30" ht="14.1" customHeight="1" x14ac:dyDescent="0.25">
      <c r="A112" s="3">
        <v>46</v>
      </c>
      <c r="B112" s="301"/>
      <c r="C112" s="42"/>
      <c r="D112" s="135"/>
      <c r="E112" s="135"/>
      <c r="F112" s="313" t="s">
        <v>124</v>
      </c>
      <c r="G112" s="135"/>
      <c r="H112" s="135"/>
      <c r="I112" s="135"/>
      <c r="J112" s="135"/>
      <c r="K112" s="135"/>
      <c r="L112" s="135"/>
      <c r="M112" s="303"/>
      <c r="O112" s="82" t="s">
        <v>172</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114</v>
      </c>
      <c r="AB112" s="40"/>
      <c r="AC112" s="29" t="str">
        <f>IF(AB112&lt;&gt;AD112,"Change","")</f>
        <v/>
      </c>
      <c r="AD112" s="41" t="str">
        <f>IF(W138="","",W138)</f>
        <v/>
      </c>
    </row>
    <row r="113" spans="1:30" ht="14.1" customHeight="1" x14ac:dyDescent="0.25">
      <c r="A113" s="3">
        <v>47</v>
      </c>
      <c r="B113" s="301"/>
      <c r="C113" s="42"/>
      <c r="D113" s="135"/>
      <c r="E113" s="70" t="s">
        <v>125</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171</v>
      </c>
    </row>
    <row r="114" spans="1:30" ht="14.1" customHeight="1" thickBot="1" x14ac:dyDescent="0.3">
      <c r="A114" s="3">
        <v>48</v>
      </c>
      <c r="B114" s="301"/>
      <c r="C114" s="42"/>
      <c r="D114" s="135"/>
      <c r="E114" s="70" t="s">
        <v>127</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129</v>
      </c>
      <c r="F115" s="135"/>
      <c r="G115" s="135"/>
      <c r="H115" s="135"/>
      <c r="I115" s="135"/>
      <c r="J115" s="135"/>
      <c r="K115" s="135"/>
      <c r="L115" s="319" t="str">
        <f t="shared" si="16"/>
        <v>TBD</v>
      </c>
      <c r="M115" s="320" t="str">
        <f t="shared" si="17"/>
        <v/>
      </c>
      <c r="O115" s="82" t="s">
        <v>173</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131</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132</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135</v>
      </c>
      <c r="F118" s="135"/>
      <c r="G118" s="135"/>
      <c r="H118" s="135"/>
      <c r="I118" s="135"/>
      <c r="J118" s="135"/>
      <c r="K118" s="135"/>
      <c r="L118" s="319" t="str">
        <f t="shared" si="16"/>
        <v>TBD</v>
      </c>
      <c r="M118" s="320" t="str">
        <f t="shared" si="17"/>
        <v/>
      </c>
      <c r="O118" s="82" t="s">
        <v>174</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113</v>
      </c>
      <c r="G120" s="135"/>
      <c r="H120" s="135"/>
      <c r="I120" s="135"/>
      <c r="J120" s="135"/>
      <c r="K120" s="135"/>
      <c r="L120" s="135"/>
      <c r="M120" s="30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115</v>
      </c>
      <c r="F121" s="135"/>
      <c r="G121" s="135"/>
      <c r="H121" s="135"/>
      <c r="I121" s="135"/>
      <c r="J121" s="135"/>
      <c r="K121" s="135"/>
      <c r="L121" s="319" t="str">
        <f>IF(O83="","TBD",IF(O83=1,"YES",IF(O83=3,"NA","")))</f>
        <v>TBD</v>
      </c>
      <c r="M121" s="320" t="str">
        <f t="shared" ref="M121:M126" si="20">IF(O83=2,"NO","")</f>
        <v/>
      </c>
      <c r="O121" s="82" t="s">
        <v>175</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117</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119</v>
      </c>
      <c r="F123" s="135"/>
      <c r="G123" s="135"/>
      <c r="H123" s="135"/>
      <c r="I123" s="135"/>
      <c r="J123" s="135"/>
      <c r="K123" s="135"/>
      <c r="L123" s="319" t="str">
        <f>IF(O85="","TBD",IF(O85=1,"YES",IF(O85=3,"NA","")))</f>
        <v>TBD</v>
      </c>
      <c r="M123" s="320" t="str">
        <f t="shared" si="20"/>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121</v>
      </c>
      <c r="F124" s="135"/>
      <c r="G124" s="135"/>
      <c r="H124" s="135"/>
      <c r="I124" s="135"/>
      <c r="J124" s="135"/>
      <c r="K124" s="135"/>
      <c r="L124" s="319" t="str">
        <f>IF(O86="","TBD",IF(O86=1,"YES",IF(O86=3,"NA","")))</f>
        <v>TBD</v>
      </c>
      <c r="M124" s="320" t="str">
        <f t="shared" si="20"/>
        <v/>
      </c>
      <c r="O124" s="13"/>
      <c r="P124" s="95" t="s">
        <v>176</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123</v>
      </c>
      <c r="F125" s="135"/>
      <c r="G125" s="135"/>
      <c r="H125" s="135"/>
      <c r="I125" s="135"/>
      <c r="J125" s="135"/>
      <c r="K125" s="135"/>
      <c r="L125" s="319" t="str">
        <f>IF(O87="","TBD",IF(O87=1,"YES",IF(O87=3,"NA","")))</f>
        <v>TBD</v>
      </c>
      <c r="M125" s="320" t="str">
        <f t="shared" si="20"/>
        <v/>
      </c>
      <c r="O125" s="13"/>
      <c r="P125" s="1" t="s">
        <v>177</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
      </c>
      <c r="F126" s="135"/>
      <c r="G126" s="135"/>
      <c r="H126" s="135"/>
      <c r="I126" s="135"/>
      <c r="J126" s="135"/>
      <c r="K126" s="135"/>
      <c r="L126" s="319" t="str">
        <f>IF(O48=2,"",IF(OR(O48="",O88=""),"TBD",IF(AND(O48=1,O88=1),"YES",IF(OR(O48=2,O88=3),"NA",""))))</f>
        <v/>
      </c>
      <c r="M126" s="320" t="str">
        <f t="shared" si="20"/>
        <v/>
      </c>
      <c r="O126" s="13"/>
      <c r="P126" s="102" t="s">
        <v>178</v>
      </c>
      <c r="R126" s="103" t="s">
        <v>179</v>
      </c>
      <c r="S126" s="104" t="str">
        <f>IF(S124="","NA",IF($Q$99=1,IF(S124&gt;44,"NO","YES"),IF(S124&gt;88,"NO","YES")))</f>
        <v>YES</v>
      </c>
      <c r="U126" s="103" t="s">
        <v>179</v>
      </c>
      <c r="V126" s="104" t="str">
        <f>IF(V124="","NA",IF($Q$99=1,IF(V124&gt;44,"NO","YES"),IF(V124&gt;88,"NO","YES")))</f>
        <v>YES</v>
      </c>
      <c r="X126" s="103" t="s">
        <v>179</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181</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182</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183</v>
      </c>
      <c r="Y129" s="14"/>
      <c r="AA129" s="24" t="s">
        <v>180</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184</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185</v>
      </c>
      <c r="Q131" s="17" t="s">
        <v>186</v>
      </c>
      <c r="Y131" s="14"/>
      <c r="AA131" s="2" t="str">
        <f>$Q$139&amp;" Mag 1"</f>
        <v>Auto 1 Mag 1</v>
      </c>
      <c r="AB131" s="40"/>
      <c r="AC131" s="29" t="str">
        <f t="shared" si="21"/>
        <v/>
      </c>
      <c r="AD131" s="61" t="str">
        <f t="shared" si="22"/>
        <v/>
      </c>
    </row>
    <row r="132" spans="1:30" ht="14.1" customHeight="1" x14ac:dyDescent="0.25">
      <c r="A132" s="3">
        <v>66</v>
      </c>
      <c r="C132" s="2" t="s">
        <v>76</v>
      </c>
      <c r="D132" s="67" t="str">
        <f>IF($R$14="","",$R$14&amp;" Tube "&amp;$W$48)</f>
        <v/>
      </c>
      <c r="L132" s="2" t="s">
        <v>23</v>
      </c>
      <c r="M132" s="68" t="str">
        <f>IF($R$13="","",$R$13)</f>
        <v/>
      </c>
      <c r="O132" s="13"/>
      <c r="Q132" s="17" t="s">
        <v>187</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188</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189</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190</v>
      </c>
      <c r="D135" s="299"/>
      <c r="E135" s="299"/>
      <c r="F135" s="299"/>
      <c r="G135" s="299"/>
      <c r="H135" s="299"/>
      <c r="I135" s="299"/>
      <c r="J135" s="299"/>
      <c r="K135" s="299"/>
      <c r="L135" s="299"/>
      <c r="M135" s="300"/>
      <c r="O135" s="13"/>
      <c r="P135" s="2" t="s">
        <v>191</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192</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193</v>
      </c>
      <c r="U137" s="48">
        <v>2</v>
      </c>
      <c r="V137" s="76" t="s">
        <v>194</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195</v>
      </c>
      <c r="D138" s="42" t="s">
        <v>167</v>
      </c>
      <c r="E138" s="42" t="s">
        <v>167</v>
      </c>
      <c r="F138" s="135"/>
      <c r="G138" s="160" t="s">
        <v>196</v>
      </c>
      <c r="H138" s="42" t="str">
        <f>X174</f>
        <v>TBD</v>
      </c>
      <c r="I138" s="135"/>
      <c r="J138" s="200"/>
      <c r="K138" s="325" t="s">
        <v>197</v>
      </c>
      <c r="L138" s="135"/>
      <c r="M138" s="303"/>
      <c r="O138" s="81" t="s">
        <v>158</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198</v>
      </c>
      <c r="H139" s="350" t="str">
        <f>X181</f>
        <v>TBD</v>
      </c>
      <c r="I139" s="135"/>
      <c r="J139" s="42"/>
      <c r="K139" s="160" t="str">
        <f>"Min acceptable HVL at "&amp;D136&amp;" kVp:"</f>
        <v>Min acceptable HVL at  kVp:</v>
      </c>
      <c r="L139" s="42" t="e">
        <f>U182</f>
        <v>#VALUE!</v>
      </c>
      <c r="M139" s="303"/>
      <c r="O139" s="81" t="s">
        <v>161</v>
      </c>
      <c r="P139" s="14" t="s">
        <v>162</v>
      </c>
      <c r="Q139" s="590" t="str">
        <f>IF(Q138&lt;&gt;"",Q138,IF($Q$99=1,"Manual 1",IF(AUTO_MA="","",AUTO_MA&amp;" 1")))</f>
        <v>Auto 1</v>
      </c>
      <c r="R139" s="590"/>
      <c r="S139" s="590"/>
      <c r="T139" s="589" t="str">
        <f>IF(T138&lt;&gt;"",T138,IF($R$1399=1,"Manual 2",IF(OR(AUTO_MA="",O101="",O101=1),"",AUTO_MA&amp;" "&amp;IF(O101=2,2,IF(AND(O102=2,O101&gt;2),ROUND(O101/2,0),O101)))))</f>
        <v/>
      </c>
      <c r="U139" s="589"/>
      <c r="V139" s="589"/>
      <c r="W139" s="589" t="str">
        <f>IF(W138&lt;&gt;"",W138,IF(OR(O102=1,O101&lt;3),IF(O102=1,"High Level","No High Level"),IF(AUTO_MA="","",AUTO_MA&amp;" "&amp;O101)))</f>
        <v xml:space="preserve">Auto </v>
      </c>
      <c r="X139" s="589"/>
      <c r="Y139" s="589"/>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164</v>
      </c>
      <c r="Q140" s="1" t="s">
        <v>165</v>
      </c>
      <c r="R140" s="1" t="s">
        <v>166</v>
      </c>
      <c r="S140" s="14" t="s">
        <v>167</v>
      </c>
      <c r="T140" s="1" t="s">
        <v>165</v>
      </c>
      <c r="U140" s="1" t="s">
        <v>166</v>
      </c>
      <c r="V140" s="14" t="s">
        <v>167</v>
      </c>
      <c r="W140" s="1" t="s">
        <v>165</v>
      </c>
      <c r="X140" s="1" t="s">
        <v>166</v>
      </c>
      <c r="Y140" s="14" t="s">
        <v>167</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185</v>
      </c>
      <c r="K141" s="70" t="str">
        <f>IF(O170=1,"DHEC Standard","MUSC Standard")</f>
        <v>MUSC Standard</v>
      </c>
      <c r="L141" s="42"/>
      <c r="M141" s="303"/>
      <c r="O141" s="82" t="s">
        <v>169</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172</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199</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200</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173</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201</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202</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203</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174</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204</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205</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201</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175</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202</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203</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204</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176</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206</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177</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207</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178</v>
      </c>
      <c r="R158" s="103" t="s">
        <v>179</v>
      </c>
      <c r="S158" s="104" t="str">
        <f>IF($U$137=2,"NA",IF(S156="","NA",IF($Q$99=1,IF(S156&gt;44,"NO","YES"),IF(S156&gt;88,"NO","YES"))))</f>
        <v>NA</v>
      </c>
      <c r="U158" s="103" t="s">
        <v>179</v>
      </c>
      <c r="V158" s="104" t="str">
        <f>IF($U$137=2,"NA",IF(V156="","NA",IF($Q$99=1,IF(V156&gt;44,"NO","YES"),IF(V156&gt;88,"NO","YES"))))</f>
        <v>NA</v>
      </c>
      <c r="X158" s="103" t="s">
        <v>179</v>
      </c>
      <c r="Y158" s="104" t="str">
        <f>IF($U$137=2,"NA",IF(OR(AND($O$102=1,Y156=""),AND($S$156="",$V$156="",$Y$156="")),"NA",IF(Y156="","NA",IF($Q$99="",IF($O$102=2,IF(Y156&gt;88,"NO","YES"),IF(Y156&gt;176,"NO","YES")),IF(Y156&gt;44,"NO","YES")))))</f>
        <v>NA</v>
      </c>
      <c r="AA158" s="2" t="s">
        <v>208</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181</v>
      </c>
      <c r="Y159" s="14"/>
      <c r="AA159" s="2" t="s">
        <v>209</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182</v>
      </c>
      <c r="Y160" s="14"/>
      <c r="AA160" s="2" t="s">
        <v>210</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183</v>
      </c>
      <c r="Y161" s="14"/>
      <c r="AA161" s="2" t="s">
        <v>211</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184</v>
      </c>
      <c r="Y162" s="14"/>
      <c r="AA162" s="2" t="s">
        <v>212</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185</v>
      </c>
      <c r="Q163" s="17" t="s">
        <v>186</v>
      </c>
      <c r="Y163" s="14"/>
      <c r="AA163" s="2" t="s">
        <v>213</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187</v>
      </c>
      <c r="Y164" s="14"/>
      <c r="AA164" s="2" t="s">
        <v>214</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188</v>
      </c>
      <c r="Q165" s="106" t="str">
        <f>IF(Q167&lt;&gt;"",Q167,IF(AB236="","",AB236))</f>
        <v/>
      </c>
      <c r="R165" s="66"/>
      <c r="S165" s="66"/>
      <c r="T165" s="66"/>
      <c r="U165" s="66"/>
      <c r="V165" s="66"/>
      <c r="W165" s="66"/>
      <c r="X165" s="66"/>
      <c r="Y165" s="14"/>
      <c r="AA165" s="2" t="s">
        <v>215</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189</v>
      </c>
      <c r="Q166" s="108"/>
      <c r="R166" s="109">
        <f>LEN(Q165)</f>
        <v>0</v>
      </c>
      <c r="S166" s="110"/>
      <c r="T166" s="110"/>
      <c r="U166" s="110"/>
      <c r="V166" s="110"/>
      <c r="W166" s="110"/>
      <c r="X166" s="110"/>
      <c r="Y166" s="14"/>
      <c r="AA166" s="2" t="s">
        <v>216</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191</v>
      </c>
      <c r="Q167" s="112"/>
      <c r="R167" s="110"/>
      <c r="S167" s="110"/>
      <c r="T167" s="110"/>
      <c r="U167" s="110"/>
      <c r="V167" s="110"/>
      <c r="W167" s="110"/>
      <c r="X167" s="110"/>
      <c r="Y167" s="14"/>
      <c r="AA167" s="2" t="s">
        <v>217</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218</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222</v>
      </c>
      <c r="P169" s="7"/>
      <c r="Q169" s="7"/>
      <c r="R169" s="7"/>
      <c r="S169" s="7"/>
      <c r="T169" s="7"/>
      <c r="U169" s="7"/>
      <c r="V169" s="7"/>
      <c r="W169" s="7"/>
      <c r="X169" s="7"/>
      <c r="Y169" s="8"/>
      <c r="AA169" s="2" t="s">
        <v>219</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224</v>
      </c>
      <c r="U170" s="53"/>
      <c r="V170" s="53"/>
      <c r="Y170" s="14"/>
      <c r="AA170" s="2" t="s">
        <v>220</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221</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227</v>
      </c>
      <c r="P172" s="123" t="s">
        <v>166</v>
      </c>
      <c r="Q172" s="122" t="s">
        <v>228</v>
      </c>
      <c r="R172" s="124" t="s">
        <v>167</v>
      </c>
      <c r="T172" s="17" t="s">
        <v>229</v>
      </c>
      <c r="Y172" s="14"/>
      <c r="AA172" s="2" t="s">
        <v>223</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228</v>
      </c>
      <c r="U173" s="129" t="s">
        <v>231</v>
      </c>
      <c r="V173" s="129" t="s">
        <v>232</v>
      </c>
      <c r="W173" s="129" t="s">
        <v>233</v>
      </c>
      <c r="X173" s="82" t="s">
        <v>148</v>
      </c>
      <c r="Y173" s="14"/>
      <c r="AA173" s="2" t="s">
        <v>225</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226</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230</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234</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238</v>
      </c>
      <c r="X177" s="1" t="s">
        <v>239</v>
      </c>
      <c r="Y177" s="14"/>
      <c r="AA177" s="2" t="s">
        <v>235</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236</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237</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240</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591" t="s">
        <v>244</v>
      </c>
      <c r="U181" s="591"/>
      <c r="W181" s="2" t="s">
        <v>198</v>
      </c>
      <c r="X181" s="139" t="str">
        <f>IF(AND(R173="",R174=""),"TBD",IF(X174&gt;=U182,"YES","NO"))</f>
        <v>TBD</v>
      </c>
      <c r="Y181" s="14"/>
      <c r="AA181" s="2" t="s">
        <v>241</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246</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242</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248</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243</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249</v>
      </c>
      <c r="U184" s="129" t="e">
        <f t="array" ref="U184">IF($O$170=1,"",MAX(ROUND(TREND(Tables!G78:G85,Tables!D78:D85,O173),1),TRUNC(TREND(Tables!G78:G85,Tables!D78:D85,O173,O173),2)))</f>
        <v>#VALUE!</v>
      </c>
      <c r="W184" s="53"/>
      <c r="X184" s="53"/>
      <c r="Y184" s="14"/>
      <c r="AA184" s="2" t="s">
        <v>245</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247</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250</v>
      </c>
      <c r="P186" s="7"/>
      <c r="Q186" s="7"/>
      <c r="R186" s="7"/>
      <c r="S186" s="7"/>
      <c r="T186" s="7"/>
      <c r="U186" s="7"/>
      <c r="V186" s="7"/>
      <c r="W186" s="7"/>
      <c r="X186" s="7"/>
      <c r="Y186" s="8"/>
      <c r="AA186" s="2" t="s">
        <v>226</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230</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251</v>
      </c>
      <c r="P188" s="1" t="s">
        <v>252</v>
      </c>
      <c r="U188" s="1" t="s">
        <v>253</v>
      </c>
      <c r="Y188" s="14"/>
      <c r="AA188" s="2" t="s">
        <v>234</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254</v>
      </c>
      <c r="P189" s="1" t="s">
        <v>255</v>
      </c>
      <c r="Q189" s="1" t="s">
        <v>165</v>
      </c>
      <c r="R189" s="1" t="s">
        <v>166</v>
      </c>
      <c r="S189" s="1" t="s">
        <v>256</v>
      </c>
      <c r="T189" s="1" t="s">
        <v>257</v>
      </c>
      <c r="U189" s="1" t="s">
        <v>257</v>
      </c>
      <c r="Y189" s="14"/>
      <c r="AA189" s="2" t="s">
        <v>235</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592" t="str">
        <f>$Q$107</f>
        <v>Auto 1</v>
      </c>
      <c r="P190" s="141" t="str">
        <f>IF($O$110="","",$O$110)</f>
        <v/>
      </c>
      <c r="Q190" s="142"/>
      <c r="R190" s="142"/>
      <c r="S190" s="576"/>
      <c r="T190" s="141"/>
      <c r="U190" s="143" t="str">
        <f t="shared" ref="U190:U204" si="28">IF(AB114="","",AB114)</f>
        <v/>
      </c>
      <c r="V190" s="53"/>
      <c r="W190" s="105" t="s">
        <v>258</v>
      </c>
      <c r="Y190" s="14"/>
      <c r="AA190" s="2" t="s">
        <v>236</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592"/>
      <c r="P191" s="144" t="str">
        <f>IF($O$113="","",$O$113)</f>
        <v/>
      </c>
      <c r="Q191" s="145"/>
      <c r="R191" s="145"/>
      <c r="S191" s="577"/>
      <c r="T191" s="144"/>
      <c r="U191" s="146" t="str">
        <f t="shared" si="28"/>
        <v/>
      </c>
      <c r="W191" s="105" t="s">
        <v>259</v>
      </c>
      <c r="Y191" s="14"/>
      <c r="AA191" s="2" t="s">
        <v>237</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592"/>
      <c r="P192" s="144" t="str">
        <f>IF($O$116="","",$O$116)</f>
        <v/>
      </c>
      <c r="Q192" s="145"/>
      <c r="R192" s="145"/>
      <c r="S192" s="577"/>
      <c r="T192" s="144"/>
      <c r="U192" s="146" t="str">
        <f t="shared" si="28"/>
        <v/>
      </c>
      <c r="W192" s="105" t="s">
        <v>260</v>
      </c>
      <c r="Y192" s="14"/>
      <c r="AA192" s="2" t="s">
        <v>240</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592"/>
      <c r="P193" s="144" t="str">
        <f>IF($O$119="","",$O$119)</f>
        <v/>
      </c>
      <c r="Q193" s="145"/>
      <c r="R193" s="145"/>
      <c r="S193" s="577"/>
      <c r="T193" s="144"/>
      <c r="U193" s="146" t="str">
        <f t="shared" si="28"/>
        <v/>
      </c>
      <c r="Y193" s="14"/>
      <c r="AA193" s="2" t="s">
        <v>241</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592"/>
      <c r="P194" s="134" t="str">
        <f>IF($O$122="","",$O$122)</f>
        <v/>
      </c>
      <c r="Q194" s="147"/>
      <c r="R194" s="147"/>
      <c r="S194" s="578"/>
      <c r="T194" s="134"/>
      <c r="U194" s="148" t="str">
        <f t="shared" si="28"/>
        <v/>
      </c>
      <c r="Y194" s="14"/>
      <c r="AA194" s="2" t="s">
        <v>242</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592" t="str">
        <f>$T$107</f>
        <v/>
      </c>
      <c r="P195" s="141" t="str">
        <f>IF($O$110="","",$O$110)</f>
        <v/>
      </c>
      <c r="Q195" s="142"/>
      <c r="R195" s="142"/>
      <c r="S195" s="576"/>
      <c r="T195" s="141"/>
      <c r="U195" s="143" t="str">
        <f t="shared" si="28"/>
        <v/>
      </c>
      <c r="Y195" s="14"/>
      <c r="AA195" s="2" t="s">
        <v>243</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592"/>
      <c r="P196" s="144" t="str">
        <f>IF($O$113="","",$O$113)</f>
        <v/>
      </c>
      <c r="Q196" s="145"/>
      <c r="R196" s="145"/>
      <c r="S196" s="577"/>
      <c r="T196" s="144"/>
      <c r="U196" s="146" t="str">
        <f t="shared" si="28"/>
        <v/>
      </c>
      <c r="Y196" s="14"/>
      <c r="AA196" s="2" t="s">
        <v>245</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592"/>
      <c r="P197" s="144" t="str">
        <f>IF($O$116="","",$O$116)</f>
        <v/>
      </c>
      <c r="Q197" s="145"/>
      <c r="R197" s="145"/>
      <c r="S197" s="577"/>
      <c r="T197" s="144"/>
      <c r="U197" s="146" t="str">
        <f t="shared" si="28"/>
        <v/>
      </c>
      <c r="Y197" s="14"/>
      <c r="AA197" s="2" t="s">
        <v>247</v>
      </c>
      <c r="AB197" s="40"/>
      <c r="AC197" s="29" t="str">
        <f t="shared" si="27"/>
        <v/>
      </c>
      <c r="AD197" s="41" t="str">
        <f t="shared" si="26"/>
        <v/>
      </c>
    </row>
    <row r="198" spans="1:30" ht="14.1" customHeight="1" thickBot="1" x14ac:dyDescent="0.3">
      <c r="A198" s="3">
        <v>66</v>
      </c>
      <c r="C198" s="2" t="s">
        <v>76</v>
      </c>
      <c r="D198" s="67" t="str">
        <f>IF($R$14="","",$R$14&amp;" Tube "&amp;$W$48)</f>
        <v/>
      </c>
      <c r="L198" s="2" t="s">
        <v>23</v>
      </c>
      <c r="M198" s="68" t="str">
        <f>IF($R$13="","",$R$13)</f>
        <v/>
      </c>
      <c r="O198" s="592"/>
      <c r="P198" s="144" t="str">
        <f>IF($O$119="","",$O$119)</f>
        <v/>
      </c>
      <c r="Q198" s="145"/>
      <c r="R198" s="145"/>
      <c r="S198" s="577"/>
      <c r="T198" s="144"/>
      <c r="U198" s="146" t="str">
        <f t="shared" si="28"/>
        <v/>
      </c>
      <c r="Y198" s="14"/>
      <c r="AA198" s="2" t="s">
        <v>226</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592"/>
      <c r="P199" s="134" t="str">
        <f>IF($O$122="","",$O$122)</f>
        <v/>
      </c>
      <c r="Q199" s="147"/>
      <c r="R199" s="147"/>
      <c r="S199" s="578"/>
      <c r="T199" s="134"/>
      <c r="U199" s="148" t="str">
        <f t="shared" si="28"/>
        <v/>
      </c>
      <c r="Y199" s="14"/>
      <c r="AA199" s="2" t="s">
        <v>230</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592" t="str">
        <f>$W$107</f>
        <v xml:space="preserve">Auto </v>
      </c>
      <c r="P200" s="141" t="str">
        <f>IF($O$110="","",$O$110)</f>
        <v/>
      </c>
      <c r="Q200" s="142"/>
      <c r="R200" s="142"/>
      <c r="S200" s="576"/>
      <c r="T200" s="141"/>
      <c r="U200" s="143" t="str">
        <f t="shared" si="28"/>
        <v/>
      </c>
      <c r="Y200" s="14"/>
      <c r="AA200" s="2" t="s">
        <v>234</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592"/>
      <c r="P201" s="144" t="str">
        <f>IF($O$113="","",$O$113)</f>
        <v/>
      </c>
      <c r="Q201" s="145"/>
      <c r="R201" s="145"/>
      <c r="S201" s="577"/>
      <c r="T201" s="144"/>
      <c r="U201" s="146" t="str">
        <f t="shared" si="28"/>
        <v/>
      </c>
      <c r="Y201" s="14"/>
      <c r="AA201" s="2" t="s">
        <v>235</v>
      </c>
      <c r="AB201" s="40"/>
      <c r="AC201" s="29" t="str">
        <f t="shared" si="27"/>
        <v/>
      </c>
      <c r="AD201" s="41" t="str">
        <f t="shared" si="29"/>
        <v/>
      </c>
    </row>
    <row r="202" spans="1:30" ht="14.1" customHeight="1" thickBot="1" x14ac:dyDescent="0.3">
      <c r="A202" s="3">
        <v>4</v>
      </c>
      <c r="B202" s="10"/>
      <c r="C202" s="2" t="s">
        <v>448</v>
      </c>
      <c r="D202" s="66" t="str">
        <f>IF(R266="","",R266)</f>
        <v>Radcal 90-2123</v>
      </c>
      <c r="F202" s="2" t="s">
        <v>317</v>
      </c>
      <c r="G202" s="513">
        <f>IF(U266="","",U266)</f>
        <v>44540</v>
      </c>
      <c r="I202" s="2" t="s">
        <v>449</v>
      </c>
      <c r="J202" s="513">
        <f>IF(X266="","",X266)</f>
        <v>44905</v>
      </c>
      <c r="M202" s="12"/>
      <c r="O202" s="592"/>
      <c r="P202" s="144" t="str">
        <f>IF($O$116="","",$O$116)</f>
        <v/>
      </c>
      <c r="Q202" s="145"/>
      <c r="R202" s="145"/>
      <c r="S202" s="577"/>
      <c r="T202" s="144"/>
      <c r="U202" s="146" t="str">
        <f t="shared" si="28"/>
        <v/>
      </c>
      <c r="Y202" s="14"/>
      <c r="AA202" s="2" t="s">
        <v>236</v>
      </c>
      <c r="AB202" s="40"/>
      <c r="AC202" s="29" t="str">
        <f t="shared" si="27"/>
        <v/>
      </c>
      <c r="AD202" s="41" t="str">
        <f t="shared" si="29"/>
        <v/>
      </c>
    </row>
    <row r="203" spans="1:30" ht="14.1" customHeight="1" thickBot="1" x14ac:dyDescent="0.3">
      <c r="A203" s="3">
        <v>5</v>
      </c>
      <c r="B203" s="10"/>
      <c r="M203" s="12"/>
      <c r="O203" s="592"/>
      <c r="P203" s="144" t="str">
        <f>IF($O$119="","",$O$119)</f>
        <v/>
      </c>
      <c r="Q203" s="145"/>
      <c r="R203" s="145"/>
      <c r="S203" s="577"/>
      <c r="T203" s="144"/>
      <c r="U203" s="146" t="str">
        <f t="shared" si="28"/>
        <v/>
      </c>
      <c r="Y203" s="14"/>
      <c r="AA203" s="2" t="s">
        <v>237</v>
      </c>
      <c r="AB203" s="40"/>
      <c r="AC203" s="29" t="str">
        <f t="shared" si="27"/>
        <v/>
      </c>
      <c r="AD203" s="41" t="str">
        <f t="shared" si="29"/>
        <v/>
      </c>
    </row>
    <row r="204" spans="1:30" ht="14.1" customHeight="1" thickBot="1" x14ac:dyDescent="0.3">
      <c r="A204" s="3">
        <v>6</v>
      </c>
      <c r="B204" s="301"/>
      <c r="C204" s="351"/>
      <c r="D204" s="323"/>
      <c r="E204" s="595" t="s">
        <v>261</v>
      </c>
      <c r="F204" s="632" t="s">
        <v>262</v>
      </c>
      <c r="G204" s="518" t="s">
        <v>263</v>
      </c>
      <c r="H204" s="595" t="str">
        <f>R276</f>
        <v>Ind AK @ Ref Pt (mGy)</v>
      </c>
      <c r="I204" s="597" t="str">
        <f>S276</f>
        <v>Meas AK @ Ref Pt (mGy)</v>
      </c>
      <c r="J204" s="519" t="s">
        <v>264</v>
      </c>
      <c r="K204" s="135" t="s">
        <v>265</v>
      </c>
      <c r="L204" s="135" t="s">
        <v>266</v>
      </c>
      <c r="M204" s="599" t="s">
        <v>267</v>
      </c>
      <c r="O204" s="592"/>
      <c r="P204" s="134" t="str">
        <f>IF($O$122="","",$O$122)</f>
        <v/>
      </c>
      <c r="Q204" s="147"/>
      <c r="R204" s="147"/>
      <c r="S204" s="578"/>
      <c r="T204" s="134"/>
      <c r="U204" s="148" t="str">
        <f t="shared" si="28"/>
        <v/>
      </c>
      <c r="Y204" s="14"/>
      <c r="AA204" s="2" t="s">
        <v>240</v>
      </c>
      <c r="AB204" s="40"/>
      <c r="AC204" s="29" t="str">
        <f t="shared" si="27"/>
        <v/>
      </c>
      <c r="AD204" s="41" t="str">
        <f t="shared" si="29"/>
        <v/>
      </c>
    </row>
    <row r="205" spans="1:30" ht="14.1" customHeight="1" thickBot="1" x14ac:dyDescent="0.3">
      <c r="A205" s="3">
        <v>7</v>
      </c>
      <c r="B205" s="301"/>
      <c r="C205" s="352" t="s">
        <v>227</v>
      </c>
      <c r="D205" s="42" t="s">
        <v>166</v>
      </c>
      <c r="E205" s="596"/>
      <c r="F205" s="633"/>
      <c r="G205" s="518"/>
      <c r="H205" s="596"/>
      <c r="I205" s="598"/>
      <c r="J205" s="519"/>
      <c r="K205" s="135" t="str">
        <f>U277</f>
        <v>mGy/min</v>
      </c>
      <c r="L205" s="135" t="str">
        <f>V277</f>
        <v>mGy/min</v>
      </c>
      <c r="M205" s="600"/>
      <c r="O205" s="13"/>
      <c r="Y205" s="14"/>
      <c r="AA205" s="2" t="s">
        <v>241</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188</v>
      </c>
      <c r="Q206" s="106" t="str">
        <f>IF(Q208&lt;&gt;"",Q208,IF(AB237="","",AB237))</f>
        <v/>
      </c>
      <c r="R206" s="66"/>
      <c r="S206" s="66"/>
      <c r="T206" s="66"/>
      <c r="U206" s="66"/>
      <c r="V206" s="66"/>
      <c r="W206" s="66"/>
      <c r="X206" s="66"/>
      <c r="Y206" s="14"/>
      <c r="AA206" s="2" t="s">
        <v>242</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243</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191</v>
      </c>
      <c r="Q208" s="112"/>
      <c r="R208" s="110"/>
      <c r="S208" s="110"/>
      <c r="T208" s="110"/>
      <c r="U208" s="110"/>
      <c r="V208" s="110"/>
      <c r="W208" s="110"/>
      <c r="X208" s="110"/>
      <c r="Y208" s="14"/>
      <c r="AA208" s="2" t="s">
        <v>245</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247</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226</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230</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251</v>
      </c>
      <c r="P212" s="1" t="s">
        <v>252</v>
      </c>
      <c r="U212" s="1" t="s">
        <v>253</v>
      </c>
      <c r="Y212" s="14"/>
      <c r="AA212" s="2" t="s">
        <v>234</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254</v>
      </c>
      <c r="P213" s="1" t="s">
        <v>255</v>
      </c>
      <c r="Q213" s="1" t="s">
        <v>165</v>
      </c>
      <c r="R213" s="1" t="s">
        <v>166</v>
      </c>
      <c r="S213" s="1" t="s">
        <v>256</v>
      </c>
      <c r="T213" s="1" t="s">
        <v>257</v>
      </c>
      <c r="U213" s="1" t="s">
        <v>257</v>
      </c>
      <c r="Y213" s="14"/>
      <c r="AA213" s="2" t="s">
        <v>235</v>
      </c>
      <c r="AB213" s="40"/>
      <c r="AC213" s="29" t="str">
        <f t="shared" si="27"/>
        <v/>
      </c>
      <c r="AD213" s="41" t="str">
        <f t="shared" si="32"/>
        <v/>
      </c>
    </row>
    <row r="214" spans="1:30" ht="14.1" customHeight="1" thickBot="1" x14ac:dyDescent="0.3">
      <c r="A214" s="3">
        <v>16</v>
      </c>
      <c r="B214" s="301"/>
      <c r="C214" s="42"/>
      <c r="D214" s="329"/>
      <c r="E214" s="329"/>
      <c r="F214" s="160" t="s">
        <v>179</v>
      </c>
      <c r="G214" s="517" t="str">
        <f>Q286</f>
        <v/>
      </c>
      <c r="H214" s="42"/>
      <c r="I214" s="160" t="s">
        <v>179</v>
      </c>
      <c r="J214" s="517" t="str">
        <f>T286</f>
        <v/>
      </c>
      <c r="K214" s="135"/>
      <c r="L214" s="160" t="s">
        <v>179</v>
      </c>
      <c r="M214" s="517" t="str">
        <f>W286</f>
        <v/>
      </c>
      <c r="O214" s="592" t="str">
        <f>$Q$139</f>
        <v>Auto 1</v>
      </c>
      <c r="P214" s="141" t="str">
        <f>IF($O$110="","",$O$110)</f>
        <v/>
      </c>
      <c r="Q214" s="142"/>
      <c r="R214" s="142"/>
      <c r="S214" s="576"/>
      <c r="T214" s="141"/>
      <c r="U214" s="143" t="str">
        <f t="shared" ref="U214:U228" si="33">IF(AB130="","",AB130)</f>
        <v/>
      </c>
      <c r="V214" s="53"/>
      <c r="W214" s="105" t="s">
        <v>258</v>
      </c>
      <c r="Y214" s="14"/>
      <c r="AA214" s="2" t="s">
        <v>236</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592"/>
      <c r="P215" s="144" t="str">
        <f>IF($O$113="","",$O$113)</f>
        <v/>
      </c>
      <c r="Q215" s="145"/>
      <c r="R215" s="145"/>
      <c r="S215" s="577"/>
      <c r="T215" s="144"/>
      <c r="U215" s="146" t="str">
        <f t="shared" si="33"/>
        <v/>
      </c>
      <c r="W215" s="105" t="s">
        <v>259</v>
      </c>
      <c r="Y215" s="14"/>
      <c r="AA215" s="2" t="s">
        <v>237</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592"/>
      <c r="P216" s="144" t="str">
        <f>IF($O$116="","",$O$116)</f>
        <v/>
      </c>
      <c r="Q216" s="145"/>
      <c r="R216" s="145"/>
      <c r="S216" s="577"/>
      <c r="T216" s="144"/>
      <c r="U216" s="146" t="str">
        <f t="shared" si="33"/>
        <v/>
      </c>
      <c r="W216" s="105" t="s">
        <v>260</v>
      </c>
      <c r="Y216" s="14"/>
      <c r="AA216" s="2" t="s">
        <v>240</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592"/>
      <c r="P217" s="144" t="str">
        <f>IF($O$119="","",$O$119)</f>
        <v/>
      </c>
      <c r="Q217" s="145"/>
      <c r="R217" s="145"/>
      <c r="S217" s="577"/>
      <c r="T217" s="144"/>
      <c r="U217" s="146" t="str">
        <f t="shared" si="33"/>
        <v/>
      </c>
      <c r="Y217" s="14"/>
      <c r="AA217" s="2" t="s">
        <v>241</v>
      </c>
      <c r="AB217" s="40"/>
      <c r="AC217" s="29" t="str">
        <f t="shared" si="27"/>
        <v/>
      </c>
      <c r="AD217" s="41" t="str">
        <f t="shared" si="32"/>
        <v/>
      </c>
    </row>
    <row r="218" spans="1:30" ht="14.1" customHeight="1" thickBot="1" x14ac:dyDescent="0.3">
      <c r="A218" s="3">
        <v>20</v>
      </c>
      <c r="B218" s="301"/>
      <c r="C218" s="333" t="s">
        <v>268</v>
      </c>
      <c r="D218" s="323"/>
      <c r="E218" s="323"/>
      <c r="F218" s="323"/>
      <c r="G218" s="323"/>
      <c r="H218" s="333" t="s">
        <v>269</v>
      </c>
      <c r="I218" s="323"/>
      <c r="J218" s="323"/>
      <c r="K218" s="323"/>
      <c r="L218" s="323"/>
      <c r="M218" s="303"/>
      <c r="O218" s="592"/>
      <c r="P218" s="134" t="str">
        <f>IF($O$122="","",$O$122)</f>
        <v/>
      </c>
      <c r="Q218" s="147"/>
      <c r="R218" s="147"/>
      <c r="S218" s="578"/>
      <c r="T218" s="134"/>
      <c r="U218" s="148" t="str">
        <f t="shared" si="33"/>
        <v/>
      </c>
      <c r="Y218" s="14"/>
      <c r="AA218" s="2" t="s">
        <v>242</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592" t="str">
        <f>$T$139</f>
        <v/>
      </c>
      <c r="P219" s="141" t="str">
        <f>IF($O$110="","",$O$110)</f>
        <v/>
      </c>
      <c r="Q219" s="142"/>
      <c r="R219" s="142"/>
      <c r="S219" s="576"/>
      <c r="T219" s="141"/>
      <c r="U219" s="143" t="str">
        <f t="shared" si="33"/>
        <v/>
      </c>
      <c r="Y219" s="14"/>
      <c r="AA219" s="2" t="s">
        <v>243</v>
      </c>
      <c r="AB219" s="40"/>
      <c r="AC219" s="29" t="str">
        <f t="shared" si="27"/>
        <v/>
      </c>
      <c r="AD219" s="41" t="str">
        <f t="shared" si="32"/>
        <v/>
      </c>
    </row>
    <row r="220" spans="1:30" ht="14.1" customHeight="1" thickBot="1" x14ac:dyDescent="0.3">
      <c r="A220" s="3">
        <v>22</v>
      </c>
      <c r="B220" s="326"/>
      <c r="C220" s="323"/>
      <c r="D220" s="160" t="s">
        <v>270</v>
      </c>
      <c r="E220" s="322" t="str">
        <f>Q291</f>
        <v>Piranha CB2-17090320</v>
      </c>
      <c r="F220" s="323"/>
      <c r="G220" s="323"/>
      <c r="H220" s="524" t="s">
        <v>443</v>
      </c>
      <c r="I220" s="545" t="str">
        <f>IF(T291="","",T291)</f>
        <v/>
      </c>
      <c r="J220" s="323"/>
      <c r="K220" s="524" t="s">
        <v>444</v>
      </c>
      <c r="L220" s="545" t="str">
        <f>IF(W291="","",W291)</f>
        <v/>
      </c>
      <c r="M220" s="327"/>
      <c r="O220" s="592"/>
      <c r="P220" s="144" t="str">
        <f>IF($O$113="","",$O$113)</f>
        <v/>
      </c>
      <c r="Q220" s="145"/>
      <c r="R220" s="145"/>
      <c r="S220" s="577"/>
      <c r="T220" s="144"/>
      <c r="U220" s="146" t="str">
        <f t="shared" si="33"/>
        <v/>
      </c>
      <c r="Y220" s="14"/>
      <c r="AA220" s="2" t="s">
        <v>245</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592"/>
      <c r="P221" s="144" t="str">
        <f>IF($O$116="","",$O$116)</f>
        <v/>
      </c>
      <c r="Q221" s="145"/>
      <c r="R221" s="145"/>
      <c r="S221" s="577"/>
      <c r="T221" s="144"/>
      <c r="U221" s="146" t="str">
        <f t="shared" si="33"/>
        <v/>
      </c>
      <c r="Y221" s="14"/>
      <c r="AA221" s="2" t="s">
        <v>247</v>
      </c>
      <c r="AB221" s="40"/>
      <c r="AC221" s="29" t="str">
        <f t="shared" ref="AC221:AC233" si="34">IF(AB221&lt;&gt;AD221,"Change","")</f>
        <v/>
      </c>
      <c r="AD221" s="41" t="str">
        <f t="shared" si="32"/>
        <v/>
      </c>
    </row>
    <row r="222" spans="1:30" ht="14.1" customHeight="1" thickBot="1" x14ac:dyDescent="0.3">
      <c r="A222" s="3">
        <v>24</v>
      </c>
      <c r="B222" s="326"/>
      <c r="C222" s="323"/>
      <c r="D222" s="379" t="s">
        <v>271</v>
      </c>
      <c r="E222" s="323"/>
      <c r="F222" s="323" t="s">
        <v>451</v>
      </c>
      <c r="G222" s="323"/>
      <c r="H222" s="323"/>
      <c r="I222" s="379" t="s">
        <v>271</v>
      </c>
      <c r="J222" s="323" t="s">
        <v>451</v>
      </c>
      <c r="K222" s="323"/>
      <c r="L222" s="323"/>
      <c r="M222" s="327"/>
      <c r="O222" s="592"/>
      <c r="P222" s="144" t="str">
        <f>IF($O$119="","",$O$119)</f>
        <v/>
      </c>
      <c r="Q222" s="145"/>
      <c r="R222" s="145"/>
      <c r="S222" s="577"/>
      <c r="T222" s="144"/>
      <c r="U222" s="146" t="str">
        <f t="shared" si="33"/>
        <v/>
      </c>
      <c r="Y222" s="14"/>
      <c r="AA222" s="2" t="s">
        <v>226</v>
      </c>
      <c r="AB222" s="40"/>
      <c r="AC222" s="29" t="str">
        <f t="shared" si="34"/>
        <v/>
      </c>
      <c r="AD222" s="41" t="str">
        <f t="shared" ref="AD222:AD233" si="35">IF(U331="","",U331)</f>
        <v/>
      </c>
    </row>
    <row r="223" spans="1:30" ht="14.1" customHeight="1" thickBot="1" x14ac:dyDescent="0.3">
      <c r="A223" s="3">
        <v>25</v>
      </c>
      <c r="B223" s="326"/>
      <c r="C223" s="373" t="s">
        <v>272</v>
      </c>
      <c r="D223" s="374" t="s">
        <v>227</v>
      </c>
      <c r="E223" s="374" t="s">
        <v>273</v>
      </c>
      <c r="F223" s="561" t="s">
        <v>452</v>
      </c>
      <c r="G223" s="323"/>
      <c r="H223" s="380" t="s">
        <v>272</v>
      </c>
      <c r="I223" s="374" t="s">
        <v>227</v>
      </c>
      <c r="J223" s="561" t="s">
        <v>452</v>
      </c>
      <c r="K223" s="323"/>
      <c r="L223" s="323"/>
      <c r="M223" s="327"/>
      <c r="O223" s="592"/>
      <c r="P223" s="134" t="str">
        <f>IF($O$122="","",$O$122)</f>
        <v/>
      </c>
      <c r="Q223" s="147"/>
      <c r="R223" s="147"/>
      <c r="S223" s="578"/>
      <c r="T223" s="134"/>
      <c r="U223" s="148" t="str">
        <f t="shared" si="33"/>
        <v/>
      </c>
      <c r="Y223" s="14"/>
      <c r="AA223" s="2" t="s">
        <v>230</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59" t="str">
        <f>IF(U295="","",U295)</f>
        <v/>
      </c>
      <c r="F224" s="376" t="str">
        <f>IF(R295="","",R295)</f>
        <v/>
      </c>
      <c r="G224" s="323"/>
      <c r="H224" s="381">
        <f>IF(O304="","",O304)</f>
        <v>80</v>
      </c>
      <c r="I224" s="376" t="str">
        <f>IF(P304="","",P304)</f>
        <v/>
      </c>
      <c r="J224" s="376" t="str">
        <f t="shared" ref="J224:J232" si="37">IF(R304="","",R304)</f>
        <v/>
      </c>
      <c r="K224" s="323"/>
      <c r="L224" s="323"/>
      <c r="M224" s="327"/>
      <c r="O224" s="592" t="str">
        <f>$W$139</f>
        <v xml:space="preserve">Auto </v>
      </c>
      <c r="P224" s="141" t="str">
        <f>IF($O$110="","",$O$110)</f>
        <v/>
      </c>
      <c r="Q224" s="142"/>
      <c r="R224" s="142"/>
      <c r="S224" s="576"/>
      <c r="T224" s="141"/>
      <c r="U224" s="143" t="str">
        <f t="shared" si="33"/>
        <v/>
      </c>
      <c r="Y224" s="14"/>
      <c r="AA224" s="2" t="s">
        <v>234</v>
      </c>
      <c r="AB224" s="40"/>
      <c r="AC224" s="29" t="str">
        <f t="shared" si="34"/>
        <v/>
      </c>
      <c r="AD224" s="41" t="str">
        <f t="shared" si="35"/>
        <v/>
      </c>
    </row>
    <row r="225" spans="1:30" ht="14.1" customHeight="1" thickBot="1" x14ac:dyDescent="0.3">
      <c r="A225" s="3">
        <v>27</v>
      </c>
      <c r="B225" s="326"/>
      <c r="C225" s="375">
        <f t="shared" si="36"/>
        <v>80</v>
      </c>
      <c r="D225" s="376" t="str">
        <f t="shared" si="36"/>
        <v/>
      </c>
      <c r="E225" s="559" t="str">
        <f>IF(U296="","",U296)</f>
        <v/>
      </c>
      <c r="F225" s="376" t="str">
        <f>IF(R296="","",R296)</f>
        <v/>
      </c>
      <c r="G225" s="323"/>
      <c r="H225" s="323"/>
      <c r="I225" s="376" t="str">
        <f t="shared" ref="I225:I232" si="38">IF(P305="","",P305)</f>
        <v/>
      </c>
      <c r="J225" s="376" t="str">
        <f t="shared" si="37"/>
        <v/>
      </c>
      <c r="K225" s="323"/>
      <c r="L225" s="323"/>
      <c r="M225" s="327"/>
      <c r="O225" s="592"/>
      <c r="P225" s="144" t="str">
        <f>IF($O$113="","",$O$113)</f>
        <v/>
      </c>
      <c r="Q225" s="145"/>
      <c r="R225" s="145"/>
      <c r="S225" s="577"/>
      <c r="T225" s="144"/>
      <c r="U225" s="146" t="str">
        <f t="shared" si="33"/>
        <v/>
      </c>
      <c r="Y225" s="14"/>
      <c r="AA225" s="2" t="s">
        <v>235</v>
      </c>
      <c r="AB225" s="40"/>
      <c r="AC225" s="29" t="str">
        <f t="shared" si="34"/>
        <v/>
      </c>
      <c r="AD225" s="41" t="str">
        <f t="shared" si="35"/>
        <v/>
      </c>
    </row>
    <row r="226" spans="1:30" ht="14.1" customHeight="1" thickBot="1" x14ac:dyDescent="0.3">
      <c r="A226" s="3">
        <v>28</v>
      </c>
      <c r="B226" s="326"/>
      <c r="C226" s="375">
        <f t="shared" si="36"/>
        <v>100</v>
      </c>
      <c r="D226" s="376" t="str">
        <f t="shared" si="36"/>
        <v/>
      </c>
      <c r="E226" s="559" t="str">
        <f>IF(U297="","",U297)</f>
        <v/>
      </c>
      <c r="F226" s="376" t="str">
        <f>IF(R297="","",R297)</f>
        <v/>
      </c>
      <c r="G226" s="323"/>
      <c r="H226" s="323"/>
      <c r="I226" s="376" t="str">
        <f t="shared" si="38"/>
        <v/>
      </c>
      <c r="J226" s="376" t="str">
        <f t="shared" si="37"/>
        <v/>
      </c>
      <c r="K226" s="323"/>
      <c r="L226" s="323"/>
      <c r="M226" s="327"/>
      <c r="O226" s="592"/>
      <c r="P226" s="144" t="str">
        <f>IF($O$116="","",$O$116)</f>
        <v/>
      </c>
      <c r="Q226" s="145"/>
      <c r="R226" s="145"/>
      <c r="S226" s="577"/>
      <c r="T226" s="144"/>
      <c r="U226" s="146" t="str">
        <f t="shared" si="33"/>
        <v/>
      </c>
      <c r="Y226" s="14"/>
      <c r="AA226" s="2" t="s">
        <v>236</v>
      </c>
      <c r="AB226" s="40"/>
      <c r="AC226" s="29" t="str">
        <f t="shared" si="34"/>
        <v/>
      </c>
      <c r="AD226" s="41" t="str">
        <f t="shared" si="35"/>
        <v/>
      </c>
    </row>
    <row r="227" spans="1:30" ht="14.1" customHeight="1" thickBot="1" x14ac:dyDescent="0.3">
      <c r="A227" s="3">
        <v>29</v>
      </c>
      <c r="B227" s="326"/>
      <c r="C227" s="377">
        <f t="shared" si="36"/>
        <v>120</v>
      </c>
      <c r="D227" s="378" t="str">
        <f t="shared" si="36"/>
        <v/>
      </c>
      <c r="E227" s="560" t="str">
        <f>IF(U298="","",U298)</f>
        <v/>
      </c>
      <c r="F227" s="376" t="str">
        <f>IF(R298="","",R298)</f>
        <v/>
      </c>
      <c r="G227" s="323"/>
      <c r="H227" s="323"/>
      <c r="I227" s="376" t="str">
        <f t="shared" si="38"/>
        <v/>
      </c>
      <c r="J227" s="376" t="str">
        <f t="shared" si="37"/>
        <v/>
      </c>
      <c r="K227" s="323"/>
      <c r="L227" s="323"/>
      <c r="M227" s="327"/>
      <c r="O227" s="592"/>
      <c r="P227" s="144" t="str">
        <f>IF($O$119="","",$O$119)</f>
        <v/>
      </c>
      <c r="Q227" s="145"/>
      <c r="R227" s="145"/>
      <c r="S227" s="577"/>
      <c r="T227" s="144"/>
      <c r="U227" s="146" t="str">
        <f t="shared" si="33"/>
        <v/>
      </c>
      <c r="Y227" s="14"/>
      <c r="AA227" s="2" t="s">
        <v>237</v>
      </c>
      <c r="AB227" s="40"/>
      <c r="AC227" s="29" t="str">
        <f t="shared" si="34"/>
        <v/>
      </c>
      <c r="AD227" s="41" t="str">
        <f t="shared" si="35"/>
        <v/>
      </c>
    </row>
    <row r="228" spans="1:30" ht="14.1" customHeight="1" thickBot="1" x14ac:dyDescent="0.3">
      <c r="A228" s="3">
        <v>30</v>
      </c>
      <c r="B228" s="326"/>
      <c r="C228" s="323"/>
      <c r="D228" s="160" t="s">
        <v>179</v>
      </c>
      <c r="E228" s="388" t="str">
        <f>U299</f>
        <v/>
      </c>
      <c r="F228" s="323"/>
      <c r="G228" s="323"/>
      <c r="H228" s="323"/>
      <c r="I228" s="383" t="str">
        <f t="shared" si="38"/>
        <v/>
      </c>
      <c r="J228" s="383" t="str">
        <f t="shared" si="37"/>
        <v/>
      </c>
      <c r="K228" s="323"/>
      <c r="L228" s="323"/>
      <c r="M228" s="327"/>
      <c r="O228" s="592"/>
      <c r="P228" s="134" t="str">
        <f>IF($O$122="","",$O$122)</f>
        <v/>
      </c>
      <c r="Q228" s="147"/>
      <c r="R228" s="147"/>
      <c r="S228" s="578"/>
      <c r="T228" s="134"/>
      <c r="U228" s="148" t="str">
        <f t="shared" si="33"/>
        <v/>
      </c>
      <c r="Y228" s="14"/>
      <c r="AA228" s="2" t="s">
        <v>240</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274</v>
      </c>
      <c r="I229" s="384" t="str">
        <f t="shared" si="38"/>
        <v/>
      </c>
      <c r="J229" s="384" t="str">
        <f t="shared" si="37"/>
        <v/>
      </c>
      <c r="K229" s="323"/>
      <c r="L229" s="323"/>
      <c r="M229" s="327"/>
      <c r="O229" s="13"/>
      <c r="Y229" s="14"/>
      <c r="AA229" s="2" t="s">
        <v>241</v>
      </c>
      <c r="AB229" s="40"/>
      <c r="AC229" s="29" t="str">
        <f t="shared" si="34"/>
        <v/>
      </c>
      <c r="AD229" s="41" t="str">
        <f t="shared" si="35"/>
        <v/>
      </c>
    </row>
    <row r="230" spans="1:30" ht="14.1" customHeight="1" x14ac:dyDescent="0.25">
      <c r="A230" s="3">
        <v>32</v>
      </c>
      <c r="B230" s="326"/>
      <c r="C230" s="323"/>
      <c r="D230" s="323"/>
      <c r="E230" s="323"/>
      <c r="F230" s="323"/>
      <c r="G230" s="323"/>
      <c r="H230" s="160" t="s">
        <v>275</v>
      </c>
      <c r="I230" s="385" t="str">
        <f t="shared" si="38"/>
        <v/>
      </c>
      <c r="J230" s="385" t="str">
        <f t="shared" si="37"/>
        <v/>
      </c>
      <c r="K230" s="323"/>
      <c r="L230" s="323"/>
      <c r="M230" s="327"/>
      <c r="O230" s="13"/>
      <c r="P230" s="2" t="s">
        <v>188</v>
      </c>
      <c r="Q230" s="106" t="str">
        <f>IF(Q232&lt;&gt;"",Q232,IF(AB238="","",AB238))</f>
        <v/>
      </c>
      <c r="R230" s="66"/>
      <c r="S230" s="66"/>
      <c r="T230" s="66"/>
      <c r="U230" s="66"/>
      <c r="V230" s="66"/>
      <c r="W230" s="66"/>
      <c r="X230" s="66"/>
      <c r="Y230" s="14"/>
      <c r="AA230" s="2" t="s">
        <v>242</v>
      </c>
      <c r="AB230" s="40"/>
      <c r="AC230" s="29" t="str">
        <f t="shared" si="34"/>
        <v/>
      </c>
      <c r="AD230" s="41" t="str">
        <f t="shared" si="35"/>
        <v/>
      </c>
    </row>
    <row r="231" spans="1:30" ht="14.1" customHeight="1" x14ac:dyDescent="0.25">
      <c r="A231" s="3">
        <v>33</v>
      </c>
      <c r="B231" s="326"/>
      <c r="C231" s="323"/>
      <c r="D231" s="323"/>
      <c r="E231" s="323"/>
      <c r="F231" s="323"/>
      <c r="G231" s="323"/>
      <c r="H231" s="160" t="s">
        <v>276</v>
      </c>
      <c r="I231" s="386" t="str">
        <f t="shared" si="38"/>
        <v/>
      </c>
      <c r="J231" s="385" t="str">
        <f t="shared" si="37"/>
        <v/>
      </c>
      <c r="K231" s="323"/>
      <c r="L231" s="323"/>
      <c r="M231" s="327"/>
      <c r="O231" s="13"/>
      <c r="P231" s="107" t="s">
        <v>189</v>
      </c>
      <c r="Q231" s="108"/>
      <c r="R231" s="109">
        <f>LEN(Q230)</f>
        <v>0</v>
      </c>
      <c r="S231" s="110"/>
      <c r="T231" s="110"/>
      <c r="U231" s="110"/>
      <c r="V231" s="110"/>
      <c r="W231" s="110"/>
      <c r="X231" s="110"/>
      <c r="Y231" s="14"/>
      <c r="AA231" s="2" t="s">
        <v>243</v>
      </c>
      <c r="AB231" s="40"/>
      <c r="AC231" s="29" t="str">
        <f t="shared" si="34"/>
        <v/>
      </c>
      <c r="AD231" s="41" t="str">
        <f t="shared" si="35"/>
        <v/>
      </c>
    </row>
    <row r="232" spans="1:30" ht="14.1" customHeight="1" thickBot="1" x14ac:dyDescent="0.3">
      <c r="A232" s="3">
        <v>34</v>
      </c>
      <c r="B232" s="326"/>
      <c r="C232" s="323"/>
      <c r="D232" s="323"/>
      <c r="E232" s="323"/>
      <c r="F232" s="323"/>
      <c r="G232" s="323"/>
      <c r="H232" s="160" t="s">
        <v>179</v>
      </c>
      <c r="I232" s="387" t="str">
        <f t="shared" si="38"/>
        <v/>
      </c>
      <c r="J232" s="387" t="str">
        <f t="shared" si="37"/>
        <v/>
      </c>
      <c r="K232" s="323"/>
      <c r="L232" s="323"/>
      <c r="M232" s="327"/>
      <c r="O232" s="13"/>
      <c r="P232" s="2" t="s">
        <v>191</v>
      </c>
      <c r="Q232" s="112"/>
      <c r="R232" s="110"/>
      <c r="S232" s="110"/>
      <c r="T232" s="110"/>
      <c r="U232" s="110"/>
      <c r="V232" s="110"/>
      <c r="W232" s="110"/>
      <c r="X232" s="110"/>
      <c r="Y232" s="14"/>
      <c r="AA232" s="2" t="s">
        <v>245</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247</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280</v>
      </c>
      <c r="P234" s="7"/>
      <c r="Q234" s="7"/>
      <c r="R234" s="7"/>
      <c r="S234" s="7"/>
      <c r="T234" s="7"/>
      <c r="U234" s="7"/>
      <c r="V234" s="7"/>
      <c r="W234" s="7"/>
      <c r="X234" s="7"/>
      <c r="Y234" s="8"/>
      <c r="AA234" s="24" t="s">
        <v>277</v>
      </c>
      <c r="AB234" s="53"/>
      <c r="AC234" s="53"/>
      <c r="AD234" s="53"/>
    </row>
    <row r="235" spans="1:30" ht="14.1" customHeight="1" thickBot="1" x14ac:dyDescent="0.3">
      <c r="A235" s="3">
        <v>37</v>
      </c>
      <c r="B235" s="367"/>
      <c r="M235" s="369"/>
      <c r="O235" s="13"/>
      <c r="S235" s="1" t="s">
        <v>282</v>
      </c>
      <c r="Y235" s="14"/>
      <c r="AA235" s="2" t="s">
        <v>278</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165</v>
      </c>
      <c r="R236" s="1" t="s">
        <v>166</v>
      </c>
      <c r="S236" s="1" t="s">
        <v>167</v>
      </c>
      <c r="T236" s="1" t="s">
        <v>284</v>
      </c>
      <c r="U236" s="1" t="s">
        <v>6</v>
      </c>
      <c r="W236" s="162" t="s">
        <v>285</v>
      </c>
      <c r="X236" s="53"/>
      <c r="Y236" s="14"/>
      <c r="AA236" s="2" t="s">
        <v>279</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287</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281</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289</v>
      </c>
      <c r="T238" s="53" t="s">
        <v>290</v>
      </c>
      <c r="U238" s="53" t="s">
        <v>289</v>
      </c>
      <c r="V238" s="53" t="s">
        <v>290</v>
      </c>
      <c r="W238" s="53" t="s">
        <v>289</v>
      </c>
      <c r="X238" s="53" t="s">
        <v>290</v>
      </c>
      <c r="Y238" s="14"/>
      <c r="AA238" s="2" t="s">
        <v>283</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256</v>
      </c>
      <c r="T239" s="53" t="s">
        <v>256</v>
      </c>
      <c r="U239" s="53" t="s">
        <v>284</v>
      </c>
      <c r="V239" s="53" t="s">
        <v>284</v>
      </c>
      <c r="W239" s="53" t="s">
        <v>284</v>
      </c>
      <c r="X239" s="53" t="s">
        <v>284</v>
      </c>
      <c r="Y239" s="14"/>
      <c r="AA239" s="2" t="s">
        <v>286</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601" t="s">
        <v>293</v>
      </c>
      <c r="P240" s="167" t="s">
        <v>294</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288</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601"/>
      <c r="P241" s="172" t="s">
        <v>296</v>
      </c>
      <c r="Q241" s="173">
        <f>IF(Q237="","",Q237)</f>
        <v>0</v>
      </c>
      <c r="R241" s="173">
        <f>IF(R237="","",R237)</f>
        <v>0</v>
      </c>
      <c r="S241" s="93"/>
      <c r="T241" s="93"/>
      <c r="U241" s="174" t="str">
        <f t="shared" si="40"/>
        <v/>
      </c>
      <c r="V241" s="174" t="str">
        <f t="shared" si="40"/>
        <v/>
      </c>
      <c r="W241" s="175" t="str">
        <f>IF(AB148="","",AB148)</f>
        <v/>
      </c>
      <c r="X241" s="176" t="str">
        <f>IF(AB150="","",AB150)</f>
        <v/>
      </c>
      <c r="Y241" s="14"/>
      <c r="AA241" s="2" t="s">
        <v>291</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601" t="str">
        <f>IF($U$137=1,"Scatter - Pulse", "Scatter – Digital acq")</f>
        <v>Scatter – Digital acq</v>
      </c>
      <c r="P242" s="167" t="s">
        <v>294</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292</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601"/>
      <c r="P243" s="172" t="s">
        <v>296</v>
      </c>
      <c r="Q243" s="173">
        <f>IF(Q242="","",Q242)</f>
        <v>0</v>
      </c>
      <c r="R243" s="173">
        <f>IF(R242="","",R242)</f>
        <v>0</v>
      </c>
      <c r="S243" s="93"/>
      <c r="T243" s="93"/>
      <c r="U243" s="174" t="str">
        <f t="shared" si="40"/>
        <v/>
      </c>
      <c r="V243" s="174" t="str">
        <f t="shared" si="40"/>
        <v/>
      </c>
      <c r="W243" s="175" t="str">
        <f>IF(AB153="","",AB153)</f>
        <v/>
      </c>
      <c r="X243" s="176" t="str">
        <f>IF(AB155="","",AB155)</f>
        <v/>
      </c>
      <c r="Y243" s="14"/>
      <c r="AA243" s="24" t="s">
        <v>295</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297</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298</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185</v>
      </c>
      <c r="Q246" s="17" t="s">
        <v>299</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188</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189</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191</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300</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301</v>
      </c>
      <c r="Q252" s="178"/>
      <c r="R252" s="178"/>
      <c r="S252" s="543"/>
      <c r="T252" s="17" t="s">
        <v>302</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303</v>
      </c>
      <c r="Q253" s="178"/>
      <c r="R253" s="178"/>
      <c r="S253" s="544"/>
      <c r="T253" s="1" t="s">
        <v>304</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IF(OR(O252=0,O253=0),"",(O252/O253)^2)</f>
        <v>1</v>
      </c>
      <c r="P254" s="17" t="s">
        <v>305</v>
      </c>
      <c r="Q254" s="178"/>
      <c r="R254" s="178"/>
      <c r="S254" s="544"/>
      <c r="T254" s="1" t="s">
        <v>306</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307</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308</v>
      </c>
      <c r="R256" s="1" t="s">
        <v>309</v>
      </c>
      <c r="T256" s="1" t="s">
        <v>310</v>
      </c>
      <c r="U256" s="1" t="s">
        <v>311</v>
      </c>
      <c r="W256" s="1" t="s">
        <v>265</v>
      </c>
      <c r="X256" s="1" t="s">
        <v>266</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227</v>
      </c>
      <c r="P257" s="1" t="s">
        <v>166</v>
      </c>
      <c r="Q257" s="602" t="s">
        <v>312</v>
      </c>
      <c r="R257" s="602"/>
      <c r="S257" s="1" t="s">
        <v>313</v>
      </c>
      <c r="T257" s="602" t="s">
        <v>314</v>
      </c>
      <c r="U257" s="602"/>
      <c r="V257" s="1" t="s">
        <v>315</v>
      </c>
      <c r="W257" s="1" t="s">
        <v>167</v>
      </c>
      <c r="X257" s="1" t="s">
        <v>167</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76</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316</v>
      </c>
      <c r="P266" s="53"/>
      <c r="Q266" s="2" t="s">
        <v>448</v>
      </c>
      <c r="R266" s="527" t="str">
        <f>V100</f>
        <v>Radcal 90-2123</v>
      </c>
      <c r="T266" s="2" t="s">
        <v>317</v>
      </c>
      <c r="U266" s="528">
        <f>V101</f>
        <v>44540</v>
      </c>
      <c r="W266" s="2" t="s">
        <v>449</v>
      </c>
      <c r="X266" s="528">
        <f>V102</f>
        <v>44905</v>
      </c>
      <c r="Y266" s="14"/>
      <c r="AB266" s="71"/>
      <c r="AD266" s="71"/>
    </row>
    <row r="267" spans="1:30" ht="14.1" customHeight="1" thickTop="1" thickBot="1" x14ac:dyDescent="0.3">
      <c r="A267" s="3">
        <v>3</v>
      </c>
      <c r="B267" s="298"/>
      <c r="C267" s="324" t="s">
        <v>318</v>
      </c>
      <c r="D267" s="299"/>
      <c r="E267" s="299"/>
      <c r="F267" s="299"/>
      <c r="G267" s="299"/>
      <c r="H267" s="525" t="s">
        <v>448</v>
      </c>
      <c r="I267" s="526" t="str">
        <f>IF(V100="","",V100)</f>
        <v>Radcal 90-2123</v>
      </c>
      <c r="J267" s="525" t="s">
        <v>317</v>
      </c>
      <c r="K267" s="531">
        <f>IF(V101="","",V101)</f>
        <v>44540</v>
      </c>
      <c r="L267" s="525" t="s">
        <v>449</v>
      </c>
      <c r="M267" s="532">
        <f>IF(V102="","",V102)</f>
        <v>44905</v>
      </c>
      <c r="O267" s="13" t="s">
        <v>227</v>
      </c>
      <c r="P267" s="1" t="s">
        <v>166</v>
      </c>
      <c r="Q267" s="1" t="s">
        <v>314</v>
      </c>
      <c r="R267" s="1" t="s">
        <v>319</v>
      </c>
      <c r="S267" s="1" t="s">
        <v>312</v>
      </c>
      <c r="T267" s="1" t="s">
        <v>320</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603" t="str">
        <f>Q107</f>
        <v>Auto 1</v>
      </c>
      <c r="F269" s="604"/>
      <c r="G269" s="604"/>
      <c r="H269" s="604" t="str">
        <f>T107</f>
        <v/>
      </c>
      <c r="I269" s="604"/>
      <c r="J269" s="604"/>
      <c r="K269" s="605" t="str">
        <f>W107</f>
        <v xml:space="preserve">Auto </v>
      </c>
      <c r="L269" s="605"/>
      <c r="M269" s="606"/>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610"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610"/>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610"/>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610"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610"/>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610"/>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611" t="s">
        <v>261</v>
      </c>
      <c r="P276" s="612" t="s">
        <v>262</v>
      </c>
      <c r="R276" s="612" t="str">
        <f>"Ind AK @ Ref Pt ("&amp;T257&amp;")"</f>
        <v>Ind AK @ Ref Pt (mGy)</v>
      </c>
      <c r="S276" s="612" t="str">
        <f>"Meas AK @ Ref Pt ("&amp;T257&amp;")"</f>
        <v>Meas AK @ Ref Pt (mGy)</v>
      </c>
      <c r="T276" s="53"/>
      <c r="U276" s="1" t="s">
        <v>265</v>
      </c>
      <c r="V276" s="1" t="s">
        <v>266</v>
      </c>
      <c r="W276" s="200"/>
      <c r="X276"/>
      <c r="Y276" s="181"/>
      <c r="AB276" s="71"/>
      <c r="AD276" s="17"/>
    </row>
    <row r="277" spans="1:30" ht="14.1" customHeight="1" thickBot="1" x14ac:dyDescent="0.3">
      <c r="A277" s="3">
        <v>13</v>
      </c>
      <c r="B277" s="301"/>
      <c r="C277" s="610"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611"/>
      <c r="P277" s="612"/>
      <c r="Q277" s="1" t="s">
        <v>263</v>
      </c>
      <c r="R277" s="612"/>
      <c r="S277" s="612"/>
      <c r="T277" s="1" t="s">
        <v>321</v>
      </c>
      <c r="U277" s="1" t="str">
        <f>W257</f>
        <v>mGy/min</v>
      </c>
      <c r="V277" s="1" t="str">
        <f>X257</f>
        <v>mGy/min</v>
      </c>
      <c r="W277" s="114" t="s">
        <v>322</v>
      </c>
      <c r="X277"/>
      <c r="Y277" s="181"/>
      <c r="AB277" s="28"/>
      <c r="AC277" s="29" t="str">
        <f>IF(AB277&lt;&gt;AD277,"Change","")</f>
        <v/>
      </c>
      <c r="AD277" s="30" t="str">
        <f>IF(Q405="","",Q405)</f>
        <v/>
      </c>
    </row>
    <row r="278" spans="1:30" ht="14.1" customHeight="1" thickBot="1" x14ac:dyDescent="0.3">
      <c r="A278" s="3">
        <v>14</v>
      </c>
      <c r="B278" s="301"/>
      <c r="C278" s="610"/>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39" t="str">
        <f t="shared" ref="Q278:Q285" si="56">IF(OR(O278="",P278=""),"",(P278-O278)/O278)</f>
        <v/>
      </c>
      <c r="R278" s="188" t="str">
        <f t="shared" ref="R278:R285" si="57">IF(V258="","",V258)</f>
        <v/>
      </c>
      <c r="S278" s="201" t="str">
        <f t="shared" ref="S278:S285" si="58">IF(OR($O$254="",Q268=""),"",$O$254*Q268)</f>
        <v/>
      </c>
      <c r="T278" s="539"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610"/>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5" t="str">
        <f t="shared" si="55"/>
        <v/>
      </c>
      <c r="Q279" s="540" t="str">
        <f t="shared" si="56"/>
        <v/>
      </c>
      <c r="R279" s="535" t="str">
        <f t="shared" si="57"/>
        <v/>
      </c>
      <c r="S279" s="204" t="str">
        <f t="shared" si="58"/>
        <v/>
      </c>
      <c r="T279" s="540" t="str">
        <f t="shared" si="59"/>
        <v/>
      </c>
      <c r="U279" s="541" t="str">
        <f t="shared" si="60"/>
        <v/>
      </c>
      <c r="V279" s="535"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610"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5" t="str">
        <f t="shared" si="55"/>
        <v/>
      </c>
      <c r="Q280" s="540" t="str">
        <f t="shared" si="56"/>
        <v/>
      </c>
      <c r="R280" s="535" t="str">
        <f t="shared" si="57"/>
        <v/>
      </c>
      <c r="S280" s="204" t="str">
        <f t="shared" si="58"/>
        <v/>
      </c>
      <c r="T280" s="540" t="str">
        <f t="shared" si="59"/>
        <v/>
      </c>
      <c r="U280" s="541" t="str">
        <f t="shared" si="60"/>
        <v/>
      </c>
      <c r="V280" s="535" t="str">
        <f t="shared" si="61"/>
        <v/>
      </c>
      <c r="W280" s="205" t="str">
        <f t="shared" si="62"/>
        <v/>
      </c>
      <c r="X280"/>
      <c r="Y280" s="181"/>
      <c r="AA280" s="24" t="s">
        <v>323</v>
      </c>
      <c r="AB280" s="28"/>
      <c r="AC280" s="29" t="str">
        <f>IF(AB280&lt;&gt;AD280,"Change","")</f>
        <v/>
      </c>
      <c r="AD280" s="30" t="str">
        <f>IF(Q413="","",Q413)</f>
        <v/>
      </c>
    </row>
    <row r="281" spans="1:30" ht="14.1" customHeight="1" thickBot="1" x14ac:dyDescent="0.3">
      <c r="A281" s="3">
        <v>17</v>
      </c>
      <c r="B281" s="301"/>
      <c r="C281" s="610"/>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5" t="str">
        <f t="shared" si="55"/>
        <v/>
      </c>
      <c r="Q281" s="540" t="str">
        <f t="shared" si="56"/>
        <v/>
      </c>
      <c r="R281" s="535" t="str">
        <f t="shared" si="57"/>
        <v/>
      </c>
      <c r="S281" s="204" t="str">
        <f t="shared" si="58"/>
        <v/>
      </c>
      <c r="T281" s="540" t="str">
        <f t="shared" si="59"/>
        <v/>
      </c>
      <c r="U281" s="535" t="str">
        <f t="shared" si="60"/>
        <v/>
      </c>
      <c r="V281" s="535" t="str">
        <f t="shared" si="61"/>
        <v/>
      </c>
      <c r="W281" s="205" t="str">
        <f t="shared" si="62"/>
        <v/>
      </c>
      <c r="X281"/>
      <c r="Y281" s="181"/>
      <c r="AB281" s="71"/>
      <c r="AD281" s="71"/>
    </row>
    <row r="282" spans="1:30" ht="14.1" customHeight="1" thickBot="1" x14ac:dyDescent="0.3">
      <c r="A282" s="3">
        <v>18</v>
      </c>
      <c r="B282" s="301"/>
      <c r="C282" s="610"/>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5" t="str">
        <f t="shared" si="55"/>
        <v/>
      </c>
      <c r="Q282" s="540" t="str">
        <f t="shared" si="56"/>
        <v/>
      </c>
      <c r="R282" s="535" t="str">
        <f t="shared" si="57"/>
        <v/>
      </c>
      <c r="S282" s="204" t="str">
        <f t="shared" si="58"/>
        <v/>
      </c>
      <c r="T282" s="540" t="str">
        <f t="shared" si="59"/>
        <v/>
      </c>
      <c r="U282" s="535" t="str">
        <f t="shared" si="60"/>
        <v/>
      </c>
      <c r="V282" s="535"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610"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5" t="str">
        <f t="shared" si="55"/>
        <v/>
      </c>
      <c r="Q283" s="540" t="str">
        <f t="shared" si="56"/>
        <v/>
      </c>
      <c r="R283" s="535" t="str">
        <f t="shared" si="57"/>
        <v/>
      </c>
      <c r="S283" s="204" t="str">
        <f t="shared" si="58"/>
        <v/>
      </c>
      <c r="T283" s="540" t="str">
        <f t="shared" si="59"/>
        <v/>
      </c>
      <c r="U283" s="535" t="str">
        <f t="shared" si="60"/>
        <v/>
      </c>
      <c r="V283" s="535" t="str">
        <f t="shared" si="61"/>
        <v/>
      </c>
      <c r="W283" s="205" t="str">
        <f t="shared" si="62"/>
        <v/>
      </c>
      <c r="X283"/>
      <c r="Y283" s="181"/>
      <c r="AB283" s="71"/>
      <c r="AD283" s="71"/>
    </row>
    <row r="284" spans="1:30" ht="14.1" customHeight="1" thickBot="1" x14ac:dyDescent="0.3">
      <c r="A284" s="3">
        <v>20</v>
      </c>
      <c r="B284" s="301"/>
      <c r="C284" s="610"/>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5" t="str">
        <f t="shared" si="55"/>
        <v/>
      </c>
      <c r="Q284" s="540" t="str">
        <f t="shared" si="56"/>
        <v/>
      </c>
      <c r="R284" s="535" t="str">
        <f t="shared" si="57"/>
        <v/>
      </c>
      <c r="S284" s="204" t="str">
        <f t="shared" si="58"/>
        <v/>
      </c>
      <c r="T284" s="540" t="str">
        <f t="shared" si="59"/>
        <v/>
      </c>
      <c r="U284" s="535" t="str">
        <f t="shared" si="60"/>
        <v/>
      </c>
      <c r="V284" s="535"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610"/>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2" t="str">
        <f t="shared" si="56"/>
        <v/>
      </c>
      <c r="R285" s="199" t="str">
        <f t="shared" si="57"/>
        <v/>
      </c>
      <c r="S285" s="206" t="str">
        <f t="shared" si="58"/>
        <v/>
      </c>
      <c r="T285" s="542"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179</v>
      </c>
      <c r="Q286" s="95" t="str">
        <f>IF($O$255=2,"NA",IF(Q278="","",IF(AND(MAX(Q278:Q285)&lt;=0.4,MIN(Q278:Q285)&gt;=-0.4),"YES","NO")))</f>
        <v/>
      </c>
      <c r="R286"/>
      <c r="S286" s="1" t="s">
        <v>179</v>
      </c>
      <c r="T286" s="95" t="str">
        <f>IF($O$255=2,"NA",IF(T278="","",IF(AND(MAX(T278:T285)&lt;=0.4,MIN(T278:T285)&gt;=-0.4),"YES","NO")))</f>
        <v/>
      </c>
      <c r="U286"/>
      <c r="V286" s="1" t="s">
        <v>179</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185</v>
      </c>
      <c r="Q288" s="219" t="s">
        <v>324</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325</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270</v>
      </c>
      <c r="Q291" s="227" t="s">
        <v>326</v>
      </c>
      <c r="R291" s="223"/>
      <c r="S291" s="2" t="s">
        <v>443</v>
      </c>
      <c r="T291" s="520"/>
      <c r="U291" s="223"/>
      <c r="V291" s="2" t="s">
        <v>444</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613" t="s">
        <v>327</v>
      </c>
      <c r="Q293" s="613"/>
      <c r="R293" s="613"/>
      <c r="S293" s="613"/>
      <c r="T293" s="613"/>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328</v>
      </c>
      <c r="P294" s="1" t="s">
        <v>227</v>
      </c>
      <c r="Q294" s="575" t="s">
        <v>456</v>
      </c>
      <c r="R294" s="558" t="s">
        <v>450</v>
      </c>
      <c r="S294" s="1" t="s">
        <v>148</v>
      </c>
      <c r="T294" s="1" t="s">
        <v>329</v>
      </c>
      <c r="U294" s="223" t="s">
        <v>330</v>
      </c>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f>IF(DataEntry!M4="","",DataEntry!M4)</f>
        <v>60</v>
      </c>
      <c r="P295" s="125" t="str">
        <f>IF(DataEntry!N4="","",DataEntry!N4)</f>
        <v/>
      </c>
      <c r="Q295" s="126" t="str">
        <f>IF(DataEntry!O4="","",DataEntry!O4)</f>
        <v/>
      </c>
      <c r="R295" s="126" t="str">
        <f>IF(DataEntry!P4="","",DataEntry!P4)</f>
        <v/>
      </c>
      <c r="S295" s="126" t="str">
        <f>IF(DataEntry!Q4="","",DataEntry!Q4)</f>
        <v/>
      </c>
      <c r="T295" s="246" t="str">
        <f>IF(DataEntry!R4="","",DataEntry!R4)</f>
        <v/>
      </c>
      <c r="U295" s="536" t="str">
        <f>IF(OR(O295="",P295=""),"",IF(AND(O295&gt;0,P295&gt;0),(P295-O295)/O295,""))</f>
        <v/>
      </c>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f>IF(DataEntry!M5="","",DataEntry!M5)</f>
        <v>80</v>
      </c>
      <c r="P296" s="248" t="str">
        <f>IF(DataEntry!N5="","",DataEntry!N5)</f>
        <v/>
      </c>
      <c r="Q296" s="249" t="str">
        <f>IF(DataEntry!O5="","",DataEntry!O5)</f>
        <v/>
      </c>
      <c r="R296" s="249" t="str">
        <f>IF(DataEntry!P5="","",DataEntry!P5)</f>
        <v/>
      </c>
      <c r="S296" s="249" t="str">
        <f>IF(DataEntry!Q5="","",DataEntry!Q5)</f>
        <v/>
      </c>
      <c r="T296" s="250" t="str">
        <f>IF(DataEntry!R5="","",DataEntry!R5)</f>
        <v/>
      </c>
      <c r="U296" s="537" t="str">
        <f>IF(OR(O296="",P296=""),"",IF(AND(O296&gt;0,P296&gt;0),(P296-O296)/O296,""))</f>
        <v/>
      </c>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f>IF(DataEntry!M10="","",DataEntry!M10)</f>
        <v>100</v>
      </c>
      <c r="P297" s="248" t="str">
        <f>IF(DataEntry!N10="","",DataEntry!N10)</f>
        <v/>
      </c>
      <c r="Q297" s="249" t="str">
        <f>IF(DataEntry!O10="","",DataEntry!O10)</f>
        <v/>
      </c>
      <c r="R297" s="249" t="str">
        <f>IF(DataEntry!P10="","",DataEntry!P10)</f>
        <v/>
      </c>
      <c r="S297" s="249" t="str">
        <f>IF(DataEntry!Q10="","",DataEntry!Q10)</f>
        <v/>
      </c>
      <c r="T297" s="250" t="str">
        <f>IF(DataEntry!R10="","",DataEntry!R10)</f>
        <v/>
      </c>
      <c r="U297" s="537" t="str">
        <f>IF(OR(O297="",P297=""),"",IF(AND(O297&gt;0,P297&gt;0),(P297-O297)/O297,""))</f>
        <v/>
      </c>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f>IF(DataEntry!M11="","",DataEntry!M11)</f>
        <v>120</v>
      </c>
      <c r="P298" s="254" t="str">
        <f>IF(DataEntry!N11="","",DataEntry!N11)</f>
        <v/>
      </c>
      <c r="Q298" s="255" t="str">
        <f>IF(DataEntry!O11="","",DataEntry!O11)</f>
        <v/>
      </c>
      <c r="R298" s="255" t="str">
        <f>IF(DataEntry!P11="","",DataEntry!P11)</f>
        <v/>
      </c>
      <c r="S298" s="255" t="str">
        <f>IF(DataEntry!Q11="","",DataEntry!Q11)</f>
        <v/>
      </c>
      <c r="T298" s="256" t="str">
        <f>IF(DataEntry!R11="","",DataEntry!R11)</f>
        <v/>
      </c>
      <c r="U298" s="538" t="str">
        <f>IF(OR(O298="",P298=""),"",IF(AND(O298&gt;0,P298&gt;0),(P298-O298)/O298,""))</f>
        <v/>
      </c>
      <c r="V298" s="223"/>
      <c r="W298" s="223"/>
      <c r="X298" s="223"/>
      <c r="Y298" s="224"/>
      <c r="AB298" s="28"/>
      <c r="AC298" s="29" t="str">
        <f>IF(AB298&lt;&gt;AD298,"Change","")</f>
        <v/>
      </c>
      <c r="AD298" s="30" t="str">
        <f>IF(Q431="","",Q431)</f>
        <v/>
      </c>
    </row>
    <row r="299" spans="1:30" ht="14.1" customHeight="1" thickBot="1" x14ac:dyDescent="0.3">
      <c r="A299" s="3">
        <v>35</v>
      </c>
      <c r="B299" s="301"/>
      <c r="C299" s="345" t="s">
        <v>250</v>
      </c>
      <c r="D299" s="135"/>
      <c r="E299" s="135"/>
      <c r="F299" s="135"/>
      <c r="G299" s="135"/>
      <c r="H299" s="135"/>
      <c r="I299" s="135"/>
      <c r="J299" s="135"/>
      <c r="K299" s="135"/>
      <c r="L299" s="135"/>
      <c r="M299" s="303"/>
      <c r="O299" s="225"/>
      <c r="P299" s="223"/>
      <c r="R299" s="223"/>
      <c r="S299" s="223"/>
      <c r="T299" s="1" t="s">
        <v>179</v>
      </c>
      <c r="U299" s="235" t="str">
        <f>IF(U295="","",IF(AND(ABS(MAX(U295:U298))&lt;=0.05,ABS(MIN(U295:U298))&lt;=0.05),"YES","NO"))</f>
        <v/>
      </c>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185</v>
      </c>
      <c r="Q300" s="161" t="s">
        <v>168</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613" t="s">
        <v>327</v>
      </c>
      <c r="Q302" s="613"/>
      <c r="R302" s="613"/>
      <c r="S302" s="613"/>
      <c r="T302" s="613"/>
      <c r="U302" s="223"/>
      <c r="V302" s="223"/>
      <c r="W302" s="223"/>
      <c r="X302" s="223"/>
      <c r="Y302" s="224"/>
      <c r="AB302" s="28"/>
      <c r="AC302" s="29" t="str">
        <f>IF(AB302&lt;&gt;AD302,"Change","")</f>
        <v/>
      </c>
      <c r="AD302" s="30" t="str">
        <f>IF(Q435="","",Q435)</f>
        <v/>
      </c>
    </row>
    <row r="303" spans="1:30" ht="14.1" customHeight="1" thickBot="1" x14ac:dyDescent="0.3">
      <c r="A303" s="3">
        <v>39</v>
      </c>
      <c r="B303" s="301"/>
      <c r="C303" s="618"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331</v>
      </c>
      <c r="P303" s="1" t="s">
        <v>227</v>
      </c>
      <c r="Q303" s="575" t="s">
        <v>456</v>
      </c>
      <c r="R303" s="558" t="s">
        <v>450</v>
      </c>
      <c r="S303" s="1" t="s">
        <v>148</v>
      </c>
      <c r="T303" s="1" t="s">
        <v>329</v>
      </c>
      <c r="U303" s="223"/>
      <c r="V303" s="223"/>
      <c r="W303" s="223"/>
      <c r="X303" s="223"/>
      <c r="Y303" s="224"/>
      <c r="AB303" s="71"/>
      <c r="AD303" s="71"/>
    </row>
    <row r="304" spans="1:30" ht="14.1" customHeight="1" thickBot="1" x14ac:dyDescent="0.3">
      <c r="A304" s="3">
        <v>40</v>
      </c>
      <c r="B304" s="301"/>
      <c r="C304" s="619"/>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88" t="str">
        <f>IF(Q296="","",Q296)</f>
        <v/>
      </c>
      <c r="R304" s="169" t="str">
        <f>IF(R296="","",R296)</f>
        <v/>
      </c>
      <c r="S304" s="169" t="str">
        <f>IF(S296="","",S296)</f>
        <v/>
      </c>
      <c r="T304" s="238" t="str">
        <f>IF(T296="","",T296)</f>
        <v/>
      </c>
      <c r="U304" s="223"/>
      <c r="V304" s="223"/>
      <c r="W304" s="223"/>
      <c r="X304" s="223"/>
      <c r="Y304" s="224"/>
      <c r="AB304" s="28"/>
      <c r="AC304" s="29" t="str">
        <f>IF(AB304&lt;&gt;AD304,"Change","")</f>
        <v/>
      </c>
      <c r="AD304" s="30" t="str">
        <f>IF(Q437="","",Q437)</f>
        <v/>
      </c>
    </row>
    <row r="305" spans="1:30" ht="14.1" customHeight="1" x14ac:dyDescent="0.25">
      <c r="A305" s="3">
        <v>41</v>
      </c>
      <c r="B305" s="301"/>
      <c r="C305" s="619"/>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t="str">
        <f>IF(DataEntry!N6="","",DataEntry!N6)</f>
        <v/>
      </c>
      <c r="Q305" s="88" t="str">
        <f>IF(DataEntry!O6="","",DataEntry!O6)</f>
        <v/>
      </c>
      <c r="R305" s="88" t="str">
        <f>IF(DataEntry!P6="","",DataEntry!P6)</f>
        <v/>
      </c>
      <c r="S305" s="88" t="str">
        <f>IF(DataEntry!Q6="","",DataEntry!Q6)</f>
        <v/>
      </c>
      <c r="T305" s="89" t="str">
        <f>IF(DataEntry!R6="","",DataEntry!R6)</f>
        <v/>
      </c>
      <c r="U305" s="223"/>
      <c r="V305" s="223"/>
      <c r="W305" s="223"/>
      <c r="X305" s="223"/>
      <c r="Y305" s="224"/>
      <c r="AB305" s="71"/>
      <c r="AD305" s="71"/>
    </row>
    <row r="306" spans="1:30" ht="14.1" customHeight="1" x14ac:dyDescent="0.25">
      <c r="A306" s="3">
        <v>42</v>
      </c>
      <c r="B306" s="301"/>
      <c r="C306" s="619"/>
      <c r="D306" s="433" t="str">
        <f t="shared" si="64"/>
        <v/>
      </c>
      <c r="E306" s="434" t="str">
        <f t="shared" si="65"/>
        <v/>
      </c>
      <c r="F306" s="434" t="str">
        <f t="shared" si="66"/>
        <v/>
      </c>
      <c r="G306" s="435" t="str">
        <f t="shared" si="67"/>
        <v/>
      </c>
      <c r="H306" s="433" t="str">
        <f t="shared" si="68"/>
        <v/>
      </c>
      <c r="I306" s="135"/>
      <c r="J306" s="135"/>
      <c r="K306" s="135"/>
      <c r="L306" s="135"/>
      <c r="M306" s="303"/>
      <c r="O306" s="225"/>
      <c r="P306" s="87" t="str">
        <f>IF(DataEntry!N7="","",DataEntry!N7)</f>
        <v/>
      </c>
      <c r="Q306" s="88" t="str">
        <f>IF(DataEntry!O7="","",DataEntry!O7)</f>
        <v/>
      </c>
      <c r="R306" s="88" t="str">
        <f>IF(DataEntry!P7="","",DataEntry!P7)</f>
        <v/>
      </c>
      <c r="S306" s="88" t="str">
        <f>IF(DataEntry!Q7="","",DataEntry!Q7)</f>
        <v/>
      </c>
      <c r="T306" s="89" t="str">
        <f>IF(DataEntry!R7="","",DataEntry!R7)</f>
        <v/>
      </c>
      <c r="U306" s="223"/>
      <c r="V306" s="223"/>
      <c r="W306" s="223"/>
      <c r="X306" s="223"/>
      <c r="Y306" s="224"/>
      <c r="AB306" s="28"/>
      <c r="AC306" s="29" t="str">
        <f>IF(AB306&lt;&gt;AD306,"Change","")</f>
        <v/>
      </c>
      <c r="AD306" s="30" t="str">
        <f>IF(Q439="","",Q439)</f>
        <v/>
      </c>
    </row>
    <row r="307" spans="1:30" ht="14.1" customHeight="1" thickBot="1" x14ac:dyDescent="0.3">
      <c r="A307" s="3">
        <v>43</v>
      </c>
      <c r="B307" s="301"/>
      <c r="C307" s="620"/>
      <c r="D307" s="436" t="str">
        <f t="shared" si="64"/>
        <v/>
      </c>
      <c r="E307" s="437" t="str">
        <f t="shared" si="65"/>
        <v/>
      </c>
      <c r="F307" s="437" t="str">
        <f t="shared" si="66"/>
        <v/>
      </c>
      <c r="G307" s="438" t="str">
        <f t="shared" si="67"/>
        <v/>
      </c>
      <c r="H307" s="436" t="str">
        <f t="shared" si="68"/>
        <v/>
      </c>
      <c r="I307" s="135"/>
      <c r="J307" s="135"/>
      <c r="K307" s="135"/>
      <c r="L307" s="135"/>
      <c r="M307" s="303"/>
      <c r="O307" s="225"/>
      <c r="P307" s="87" t="str">
        <f>IF(DataEntry!N8="","",DataEntry!N8)</f>
        <v/>
      </c>
      <c r="Q307" s="88" t="str">
        <f>IF(DataEntry!O8="","",DataEntry!O8)</f>
        <v/>
      </c>
      <c r="R307" s="88" t="str">
        <f>IF(DataEntry!P8="","",DataEntry!P8)</f>
        <v/>
      </c>
      <c r="S307" s="88" t="str">
        <f>IF(DataEntry!Q8="","",DataEntry!Q8)</f>
        <v/>
      </c>
      <c r="T307" s="89" t="str">
        <f>IF(DataEntry!R8="","",DataEntry!R8)</f>
        <v/>
      </c>
      <c r="U307" s="223"/>
      <c r="V307" s="223"/>
      <c r="W307" s="223"/>
      <c r="X307" s="223"/>
      <c r="Y307" s="224"/>
      <c r="AB307" s="71"/>
      <c r="AD307" s="71"/>
    </row>
    <row r="308" spans="1:30" ht="14.1" customHeight="1" thickBot="1" x14ac:dyDescent="0.3">
      <c r="A308" s="3">
        <v>44</v>
      </c>
      <c r="B308" s="301"/>
      <c r="C308" s="618"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t="str">
        <f>IF(DataEntry!N9="","",DataEntry!N9)</f>
        <v/>
      </c>
      <c r="Q308" s="93" t="str">
        <f>IF(DataEntry!O9="","",DataEntry!O9)</f>
        <v/>
      </c>
      <c r="R308" s="93" t="str">
        <f>IF(DataEntry!P9="","",DataEntry!P9)</f>
        <v/>
      </c>
      <c r="S308" s="93" t="str">
        <f>IF(DataEntry!Q9="","",DataEntry!Q9)</f>
        <v/>
      </c>
      <c r="T308" s="94" t="str">
        <f>IF(DataEntry!R9="","",DataEntry!R9)</f>
        <v/>
      </c>
      <c r="U308" s="223"/>
      <c r="V308" s="223"/>
      <c r="W308" s="223"/>
      <c r="X308" s="223"/>
      <c r="Y308" s="224"/>
      <c r="AB308" s="28"/>
      <c r="AC308" s="29" t="str">
        <f>IF(AB308&lt;&gt;AD308,"Change","")</f>
        <v/>
      </c>
      <c r="AD308" s="30" t="str">
        <f>IF(Q441="","",Q441)</f>
        <v/>
      </c>
    </row>
    <row r="309" spans="1:30" ht="14.1" customHeight="1" x14ac:dyDescent="0.25">
      <c r="A309" s="3">
        <v>45</v>
      </c>
      <c r="B309" s="301"/>
      <c r="C309" s="619"/>
      <c r="D309" s="433" t="str">
        <f t="shared" si="64"/>
        <v/>
      </c>
      <c r="E309" s="434" t="str">
        <f t="shared" si="65"/>
        <v/>
      </c>
      <c r="F309" s="434" t="str">
        <f t="shared" si="66"/>
        <v/>
      </c>
      <c r="G309" s="435" t="str">
        <f t="shared" si="67"/>
        <v/>
      </c>
      <c r="H309" s="433" t="str">
        <f t="shared" si="68"/>
        <v/>
      </c>
      <c r="I309" s="135"/>
      <c r="J309" s="135"/>
      <c r="K309" s="135"/>
      <c r="L309" s="135"/>
      <c r="M309" s="303"/>
      <c r="O309" s="239" t="s">
        <v>274</v>
      </c>
      <c r="P309" s="240" t="str">
        <f>IF(P304="","",AVERAGE(P304:P308))</f>
        <v/>
      </c>
      <c r="R309" s="240" t="str">
        <f>IF(R304="","",AVERAGE(R304:R308))</f>
        <v/>
      </c>
      <c r="S309" s="223"/>
      <c r="T309" s="223"/>
      <c r="U309" s="223"/>
      <c r="V309" s="223"/>
      <c r="W309" s="223"/>
      <c r="X309" s="223"/>
      <c r="Y309" s="224"/>
      <c r="AB309" s="71"/>
      <c r="AD309" s="17"/>
    </row>
    <row r="310" spans="1:30" ht="14.1" customHeight="1" x14ac:dyDescent="0.25">
      <c r="A310" s="3">
        <v>46</v>
      </c>
      <c r="B310" s="301"/>
      <c r="C310" s="619"/>
      <c r="D310" s="433" t="str">
        <f t="shared" si="64"/>
        <v/>
      </c>
      <c r="E310" s="434" t="str">
        <f t="shared" si="65"/>
        <v/>
      </c>
      <c r="F310" s="434" t="str">
        <f t="shared" si="66"/>
        <v/>
      </c>
      <c r="G310" s="435" t="str">
        <f t="shared" si="67"/>
        <v/>
      </c>
      <c r="H310" s="433" t="str">
        <f t="shared" si="68"/>
        <v/>
      </c>
      <c r="I310" s="135"/>
      <c r="J310" s="135"/>
      <c r="K310" s="135"/>
      <c r="L310" s="135"/>
      <c r="M310" s="303"/>
      <c r="O310" s="239" t="s">
        <v>275</v>
      </c>
      <c r="P310" s="241" t="str">
        <f>IF(P304="","",STDEV(P304:P308))</f>
        <v/>
      </c>
      <c r="R310" s="241" t="str">
        <f>IF(R304="","",STDEV(R304:R308))</f>
        <v/>
      </c>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619"/>
      <c r="D311" s="433" t="str">
        <f t="shared" si="64"/>
        <v/>
      </c>
      <c r="E311" s="434" t="str">
        <f t="shared" si="65"/>
        <v/>
      </c>
      <c r="F311" s="434" t="str">
        <f t="shared" si="66"/>
        <v/>
      </c>
      <c r="G311" s="435" t="str">
        <f t="shared" si="67"/>
        <v/>
      </c>
      <c r="H311" s="433" t="str">
        <f t="shared" si="68"/>
        <v/>
      </c>
      <c r="I311" s="135"/>
      <c r="J311" s="135"/>
      <c r="K311" s="135"/>
      <c r="L311" s="135"/>
      <c r="M311" s="303"/>
      <c r="O311" s="239" t="s">
        <v>276</v>
      </c>
      <c r="P311" s="242" t="str">
        <f>IF(P309="","",IF(P309&gt;0,P310/P309,""))</f>
        <v/>
      </c>
      <c r="R311" s="562" t="str">
        <f>IF(R309="","",IF(R309&gt;0,R310/R309,""))</f>
        <v/>
      </c>
      <c r="S311" s="223"/>
      <c r="T311" s="223"/>
      <c r="U311" s="223"/>
      <c r="V311" s="223"/>
      <c r="W311" s="223"/>
      <c r="X311" s="223"/>
      <c r="Y311" s="224"/>
      <c r="AB311" s="71"/>
      <c r="AD311" s="17"/>
    </row>
    <row r="312" spans="1:30" ht="14.1" customHeight="1" thickBot="1" x14ac:dyDescent="0.3">
      <c r="A312" s="3">
        <v>48</v>
      </c>
      <c r="B312" s="301"/>
      <c r="C312" s="621"/>
      <c r="D312" s="439" t="str">
        <f t="shared" si="64"/>
        <v/>
      </c>
      <c r="E312" s="440" t="str">
        <f t="shared" si="65"/>
        <v/>
      </c>
      <c r="F312" s="440" t="str">
        <f t="shared" si="66"/>
        <v/>
      </c>
      <c r="G312" s="441" t="str">
        <f t="shared" si="67"/>
        <v/>
      </c>
      <c r="H312" s="439" t="str">
        <f t="shared" si="68"/>
        <v/>
      </c>
      <c r="I312" s="135"/>
      <c r="J312" s="135"/>
      <c r="K312" s="135"/>
      <c r="L312" s="135"/>
      <c r="M312" s="303"/>
      <c r="O312" s="13" t="s">
        <v>179</v>
      </c>
      <c r="P312" s="235" t="str">
        <f>IF(P311="","",IF(P311&lt;0.05,"YES","NO"))</f>
        <v/>
      </c>
      <c r="R312" s="563"/>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22"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185</v>
      </c>
      <c r="Q313" s="161" t="s">
        <v>332</v>
      </c>
      <c r="R313" s="223"/>
      <c r="S313" s="223"/>
      <c r="T313" s="223"/>
      <c r="U313" s="223"/>
      <c r="V313" s="223"/>
      <c r="W313" s="223"/>
      <c r="X313" s="223"/>
      <c r="Y313" s="224"/>
      <c r="AB313" s="71"/>
      <c r="AD313" s="17"/>
    </row>
    <row r="314" spans="1:30" ht="14.1" customHeight="1" x14ac:dyDescent="0.25">
      <c r="A314" s="3">
        <v>50</v>
      </c>
      <c r="B314" s="301"/>
      <c r="C314" s="619"/>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619"/>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619"/>
      <c r="D316" s="433" t="str">
        <f t="shared" si="64"/>
        <v/>
      </c>
      <c r="E316" s="434" t="str">
        <f t="shared" si="65"/>
        <v/>
      </c>
      <c r="F316" s="434" t="str">
        <f t="shared" si="66"/>
        <v/>
      </c>
      <c r="G316" s="435" t="str">
        <f t="shared" si="67"/>
        <v/>
      </c>
      <c r="H316" s="433" t="str">
        <f t="shared" si="68"/>
        <v/>
      </c>
      <c r="I316" s="200"/>
      <c r="J316" s="200"/>
      <c r="K316" s="200"/>
      <c r="L316" s="200"/>
      <c r="M316" s="303"/>
      <c r="O316" s="115" t="s">
        <v>206</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621"/>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79</v>
      </c>
      <c r="P318" s="243" t="s">
        <v>333</v>
      </c>
      <c r="Q318" s="244" t="s">
        <v>334</v>
      </c>
      <c r="R318" s="245" t="s">
        <v>335</v>
      </c>
      <c r="S318" s="91" t="s">
        <v>336</v>
      </c>
      <c r="T318" s="91" t="s">
        <v>337</v>
      </c>
      <c r="U318" s="2" t="s">
        <v>207</v>
      </c>
      <c r="V318" s="47">
        <f>IF(W318&lt;&gt;"",W318,IF(AB157="","",AB157))</f>
        <v>70</v>
      </c>
      <c r="W318" s="48">
        <v>70</v>
      </c>
      <c r="X318" s="53"/>
      <c r="Y318" s="181"/>
      <c r="AA318" s="2" t="s">
        <v>454</v>
      </c>
      <c r="AB318" s="28">
        <v>1</v>
      </c>
      <c r="AC318" s="29" t="str">
        <f>IF(AB318&lt;&gt;AD318,"Change","")</f>
        <v>Change</v>
      </c>
      <c r="AD318" s="30">
        <f>IF(O48="","",O48)</f>
        <v>2</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591" t="s">
        <v>338</v>
      </c>
      <c r="W319" s="591"/>
      <c r="X319" s="17" t="s">
        <v>339</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340</v>
      </c>
      <c r="X320" s="17" t="s">
        <v>341</v>
      </c>
      <c r="Y320" s="181"/>
    </row>
    <row r="321" spans="1:25" ht="14.1" customHeight="1" x14ac:dyDescent="0.25">
      <c r="A321" s="3">
        <v>57</v>
      </c>
      <c r="B321" s="331"/>
      <c r="C321" s="234" t="s">
        <v>342</v>
      </c>
      <c r="D321" s="77"/>
      <c r="E321" s="7"/>
      <c r="F321" s="7"/>
      <c r="G321" s="253" t="s">
        <v>282</v>
      </c>
      <c r="H321" s="7"/>
      <c r="I321" s="253"/>
      <c r="J321" s="253"/>
      <c r="K321" s="7"/>
      <c r="L321" s="7"/>
      <c r="M321" s="332"/>
      <c r="O321" s="144" t="str">
        <f>IF($O$116="","",$O$116&amp;" "&amp;flocm_in)</f>
        <v/>
      </c>
      <c r="P321" s="248"/>
      <c r="Q321" s="249"/>
      <c r="R321" s="250"/>
      <c r="S321" s="251"/>
      <c r="T321" s="251"/>
      <c r="V321" s="252">
        <v>2</v>
      </c>
      <c r="W321" s="129" t="s">
        <v>343</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344</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345</v>
      </c>
      <c r="X323" s="53"/>
      <c r="Y323" s="181"/>
    </row>
    <row r="324" spans="1:25" ht="14.1" customHeight="1" thickBot="1" x14ac:dyDescent="0.3">
      <c r="A324" s="3">
        <v>60</v>
      </c>
      <c r="B324" s="301"/>
      <c r="C324" s="607"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179</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608"/>
      <c r="D325" s="448" t="str">
        <f>P241</f>
        <v>Waist level</v>
      </c>
      <c r="E325" s="427">
        <f>Q241</f>
        <v>0</v>
      </c>
      <c r="F325" s="427">
        <f>R241</f>
        <v>0</v>
      </c>
      <c r="G325" s="449"/>
      <c r="H325" s="450"/>
      <c r="I325" s="427" t="str">
        <f t="shared" si="70"/>
        <v/>
      </c>
      <c r="J325" s="451" t="str">
        <f t="shared" si="70"/>
        <v/>
      </c>
      <c r="K325" s="135"/>
      <c r="L325" s="135"/>
      <c r="M325" s="303"/>
      <c r="O325" s="13"/>
      <c r="P325" s="2" t="s">
        <v>188</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189</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191</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346</v>
      </c>
      <c r="P329" s="53"/>
      <c r="Q329" s="609" t="s">
        <v>347</v>
      </c>
      <c r="R329" s="609"/>
      <c r="S329" s="609"/>
      <c r="T329" s="609"/>
      <c r="U329" s="609"/>
      <c r="Y329" s="14"/>
    </row>
    <row r="330" spans="1:25" ht="14.1" customHeight="1" x14ac:dyDescent="0.25">
      <c r="A330" s="3">
        <v>66</v>
      </c>
      <c r="C330" s="2" t="s">
        <v>76</v>
      </c>
      <c r="D330" s="67" t="str">
        <f>IF($R$14="","",$R$14&amp;" Tube "&amp;$W$48)</f>
        <v/>
      </c>
      <c r="L330" s="2" t="s">
        <v>23</v>
      </c>
      <c r="M330" s="68" t="str">
        <f>IF($R$13="","",$R$13)</f>
        <v/>
      </c>
      <c r="O330" s="130"/>
      <c r="P330" s="129" t="s">
        <v>348</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349</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350</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5" t="str">
        <f>H267</f>
        <v>Test equipment:</v>
      </c>
      <c r="I333" s="526" t="str">
        <f t="shared" ref="I333:M333" si="71">I267</f>
        <v>Radcal 90-2123</v>
      </c>
      <c r="J333" s="525" t="str">
        <f t="shared" si="71"/>
        <v>Calibration date:</v>
      </c>
      <c r="K333" s="531">
        <f t="shared" si="71"/>
        <v>44540</v>
      </c>
      <c r="L333" s="525" t="str">
        <f t="shared" si="71"/>
        <v>Calibration due:</v>
      </c>
      <c r="M333" s="532">
        <f t="shared" si="71"/>
        <v>44905</v>
      </c>
      <c r="O333" s="130"/>
      <c r="P333" s="129" t="s">
        <v>351</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352</v>
      </c>
      <c r="Q334" s="249"/>
      <c r="R334" s="249"/>
      <c r="S334" s="249"/>
      <c r="T334" s="249"/>
      <c r="U334" s="249"/>
      <c r="Y334" s="14"/>
    </row>
    <row r="335" spans="1:25" ht="14.1" customHeight="1" x14ac:dyDescent="0.25">
      <c r="A335" s="3">
        <v>5</v>
      </c>
      <c r="B335" s="301"/>
      <c r="C335" s="391" t="str">
        <f t="shared" si="72"/>
        <v>Mode</v>
      </c>
      <c r="D335" s="391" t="str">
        <f t="shared" si="72"/>
        <v>Attenuator</v>
      </c>
      <c r="E335" s="603" t="str">
        <f>Q139</f>
        <v>Auto 1</v>
      </c>
      <c r="F335" s="604"/>
      <c r="G335" s="604"/>
      <c r="H335" s="604" t="str">
        <f>T139</f>
        <v/>
      </c>
      <c r="I335" s="604"/>
      <c r="J335" s="604"/>
      <c r="K335" s="605" t="str">
        <f>W139</f>
        <v xml:space="preserve">Auto </v>
      </c>
      <c r="L335" s="605"/>
      <c r="M335" s="606"/>
      <c r="O335" s="130"/>
      <c r="P335" s="129" t="s">
        <v>353</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354</v>
      </c>
      <c r="Q336" s="249"/>
      <c r="R336" s="249"/>
      <c r="S336" s="249"/>
      <c r="T336" s="249"/>
      <c r="U336" s="249"/>
      <c r="Y336" s="14"/>
    </row>
    <row r="337" spans="1:25" ht="14.1" customHeight="1" thickBot="1" x14ac:dyDescent="0.3">
      <c r="A337" s="3">
        <v>7</v>
      </c>
      <c r="B337" s="301"/>
      <c r="C337" s="610"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355</v>
      </c>
      <c r="Q337" s="249"/>
      <c r="R337" s="249"/>
      <c r="S337" s="249"/>
      <c r="T337" s="249"/>
      <c r="U337" s="249"/>
      <c r="Y337" s="14"/>
    </row>
    <row r="338" spans="1:25" ht="14.1" customHeight="1" thickBot="1" x14ac:dyDescent="0.3">
      <c r="A338" s="3">
        <v>8</v>
      </c>
      <c r="B338" s="301"/>
      <c r="C338" s="610"/>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356</v>
      </c>
      <c r="Q338" s="249"/>
      <c r="R338" s="249"/>
      <c r="S338" s="249"/>
      <c r="T338" s="249"/>
      <c r="U338" s="249"/>
      <c r="Y338" s="14"/>
    </row>
    <row r="339" spans="1:25" ht="14.1" customHeight="1" thickBot="1" x14ac:dyDescent="0.3">
      <c r="A339" s="3">
        <v>9</v>
      </c>
      <c r="B339" s="301"/>
      <c r="C339" s="610"/>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357</v>
      </c>
      <c r="Q339" s="249"/>
      <c r="R339" s="249"/>
      <c r="S339" s="249"/>
      <c r="T339" s="249"/>
      <c r="U339" s="249"/>
      <c r="Y339" s="14"/>
    </row>
    <row r="340" spans="1:25" ht="14.1" customHeight="1" thickBot="1" x14ac:dyDescent="0.3">
      <c r="A340" s="3">
        <v>10</v>
      </c>
      <c r="B340" s="301"/>
      <c r="C340" s="610"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358</v>
      </c>
      <c r="Q340" s="249"/>
      <c r="R340" s="249"/>
      <c r="S340" s="249"/>
      <c r="T340" s="249"/>
      <c r="U340" s="249"/>
      <c r="Y340" s="14"/>
    </row>
    <row r="341" spans="1:25" ht="14.1" customHeight="1" thickBot="1" x14ac:dyDescent="0.3">
      <c r="A341" s="3">
        <v>11</v>
      </c>
      <c r="B341" s="301"/>
      <c r="C341" s="610"/>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359</v>
      </c>
      <c r="Q341" s="249"/>
      <c r="R341" s="249"/>
      <c r="S341" s="249"/>
      <c r="T341" s="249"/>
      <c r="U341" s="249"/>
      <c r="Y341" s="14"/>
    </row>
    <row r="342" spans="1:25" ht="14.1" customHeight="1" thickBot="1" x14ac:dyDescent="0.3">
      <c r="A342" s="3">
        <v>12</v>
      </c>
      <c r="B342" s="301"/>
      <c r="C342" s="610"/>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360</v>
      </c>
      <c r="Q342" s="249"/>
      <c r="R342" s="249"/>
      <c r="S342" s="249"/>
      <c r="T342" s="249"/>
      <c r="U342" s="249"/>
      <c r="Y342" s="14"/>
    </row>
    <row r="343" spans="1:25" ht="14.1" customHeight="1" thickBot="1" x14ac:dyDescent="0.3">
      <c r="A343" s="3">
        <v>13</v>
      </c>
      <c r="B343" s="301"/>
      <c r="C343" s="610"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610"/>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188</v>
      </c>
      <c r="Q344" s="106" t="str">
        <f>IF(Q346&lt;&gt;"",Q346,IF(AB241="","",AB241))</f>
        <v/>
      </c>
      <c r="R344" s="66"/>
      <c r="S344" s="66"/>
      <c r="T344" s="66"/>
      <c r="U344" s="66"/>
      <c r="V344" s="53"/>
      <c r="X344" s="66"/>
      <c r="Y344" s="14"/>
    </row>
    <row r="345" spans="1:25" ht="14.1" customHeight="1" thickBot="1" x14ac:dyDescent="0.3">
      <c r="A345" s="3">
        <v>15</v>
      </c>
      <c r="B345" s="301"/>
      <c r="C345" s="610"/>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189</v>
      </c>
      <c r="Q345" s="108"/>
      <c r="R345" s="109">
        <f>LEN(Q344)</f>
        <v>0</v>
      </c>
      <c r="S345" s="110"/>
      <c r="T345" s="110"/>
      <c r="U345" s="110"/>
      <c r="V345" s="110"/>
      <c r="W345" s="110"/>
      <c r="X345" s="110"/>
      <c r="Y345" s="14"/>
    </row>
    <row r="346" spans="1:25" ht="14.1" customHeight="1" thickBot="1" x14ac:dyDescent="0.3">
      <c r="A346" s="3">
        <v>16</v>
      </c>
      <c r="B346" s="301"/>
      <c r="C346" s="610"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191</v>
      </c>
      <c r="Q346" s="112"/>
      <c r="R346" s="110"/>
      <c r="S346" s="110"/>
      <c r="T346" s="110"/>
      <c r="U346" s="110"/>
      <c r="V346" s="110"/>
      <c r="W346" s="110"/>
      <c r="X346" s="110"/>
      <c r="Y346" s="14"/>
    </row>
    <row r="347" spans="1:25" ht="14.1" customHeight="1" thickBot="1" x14ac:dyDescent="0.3">
      <c r="A347" s="3">
        <v>17</v>
      </c>
      <c r="B347" s="301"/>
      <c r="C347" s="610"/>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610"/>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361</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610"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362</v>
      </c>
      <c r="Q349" s="260"/>
      <c r="R349" s="260"/>
      <c r="S349" s="260"/>
      <c r="T349" s="260"/>
      <c r="U349" s="260"/>
      <c r="W349" s="105" t="s">
        <v>363</v>
      </c>
      <c r="Y349" s="14"/>
    </row>
    <row r="350" spans="1:25" ht="14.1" customHeight="1" thickBot="1" x14ac:dyDescent="0.3">
      <c r="A350" s="3">
        <v>20</v>
      </c>
      <c r="B350" s="301"/>
      <c r="C350" s="610"/>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364</v>
      </c>
      <c r="Q350" s="260"/>
      <c r="R350" s="260"/>
      <c r="S350" s="260"/>
      <c r="T350" s="260"/>
      <c r="U350" s="260"/>
      <c r="V350" s="2"/>
      <c r="W350" s="105"/>
      <c r="Y350" s="14"/>
    </row>
    <row r="351" spans="1:25" ht="14.1" customHeight="1" thickBot="1" x14ac:dyDescent="0.3">
      <c r="A351" s="3">
        <v>21</v>
      </c>
      <c r="B351" s="301"/>
      <c r="C351" s="610"/>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365</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285</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366</v>
      </c>
      <c r="R353" s="105" t="s">
        <v>367</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368</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369</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271</v>
      </c>
      <c r="Q357" s="91" t="s">
        <v>370</v>
      </c>
      <c r="R357" s="91" t="s">
        <v>371</v>
      </c>
      <c r="S357" s="91" t="s">
        <v>6</v>
      </c>
      <c r="V357" s="1" t="s">
        <v>372</v>
      </c>
      <c r="W357" s="1" t="s">
        <v>350</v>
      </c>
      <c r="X357" s="1" t="s">
        <v>359</v>
      </c>
      <c r="Y357" s="14" t="s">
        <v>373</v>
      </c>
    </row>
    <row r="358" spans="1:25" ht="14.1" customHeight="1" x14ac:dyDescent="0.25">
      <c r="A358" s="3">
        <v>28</v>
      </c>
      <c r="B358" s="301"/>
      <c r="C358" s="135"/>
      <c r="D358" s="340"/>
      <c r="E358" s="135"/>
      <c r="F358" s="135"/>
      <c r="G358" s="135"/>
      <c r="H358" s="135"/>
      <c r="I358" s="135"/>
      <c r="J358" s="135"/>
      <c r="K358" s="135"/>
      <c r="L358" s="135"/>
      <c r="M358" s="303"/>
      <c r="O358" s="13" t="s">
        <v>374</v>
      </c>
      <c r="P358" s="263" t="str">
        <f>IF(OR(V358="",V359="",V362=""),"",(V358-V359)*V362)</f>
        <v/>
      </c>
      <c r="Q358" s="614" t="str">
        <f>IF(OR(P358="",P359=""),"",(ABS(P358)+ABS(P359))/$O$355)</f>
        <v/>
      </c>
      <c r="R358" s="615" t="str">
        <f>IF(OR(Q358="",Q360=""),"",Q358+Q360)</f>
        <v/>
      </c>
      <c r="S358" s="146" t="str">
        <f>IF(AB170="","",AB170)</f>
        <v/>
      </c>
      <c r="U358" s="1" t="s">
        <v>343</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375</v>
      </c>
      <c r="P359" s="263" t="str">
        <f>IF(OR(W358="",W359="",V362=""),"",(W358-W359)*V362)</f>
        <v/>
      </c>
      <c r="Q359" s="614"/>
      <c r="R359" s="614"/>
      <c r="S359" s="146" t="str">
        <f>IF(AB171="","",AB171)</f>
        <v/>
      </c>
      <c r="U359" s="1" t="s">
        <v>376</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377</v>
      </c>
      <c r="P360" s="263" t="str">
        <f>IF(OR(X358="",X359="",V362=""),"",(X358-X359)*V362)</f>
        <v/>
      </c>
      <c r="Q360" s="615" t="str">
        <f>IF(OR(P360="",P361=""),"",(ABS(P360)+ABS(P361))/$O$355)</f>
        <v/>
      </c>
      <c r="R360" s="615"/>
      <c r="S360" s="146" t="str">
        <f>IF(AB172="","",AB172)</f>
        <v/>
      </c>
      <c r="T360" s="82" t="s">
        <v>285</v>
      </c>
      <c r="U360" s="1" t="s">
        <v>378</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379</v>
      </c>
      <c r="P361" s="266" t="str">
        <f>IF(OR(Y358="",Y359="",V362=""),"",(Y358-Y359)*V362)</f>
        <v/>
      </c>
      <c r="Q361" s="615"/>
      <c r="R361" s="615"/>
      <c r="S361" s="148" t="str">
        <f>IF(AB173="","",AB173)</f>
        <v/>
      </c>
      <c r="T361" s="91" t="str">
        <f>IF(OR(Q358="",Q360="",R358=""),"",IF(OR(Q358&gt;0.02,Q360&gt;0.02,R358&gt;0.04),"NO","YES"))</f>
        <v/>
      </c>
      <c r="U361" s="1" t="s">
        <v>380</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185</v>
      </c>
      <c r="P362" s="17" t="s">
        <v>381</v>
      </c>
      <c r="T362" s="53"/>
      <c r="U362" s="1" t="s">
        <v>382</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383</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188</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189</v>
      </c>
      <c r="Q365" s="108"/>
      <c r="R365" s="109">
        <f>LEN(Q364)</f>
        <v>0</v>
      </c>
      <c r="S365" s="110"/>
      <c r="T365" s="110"/>
      <c r="U365" s="110"/>
      <c r="V365" s="110"/>
      <c r="W365" s="110"/>
      <c r="X365" s="110"/>
      <c r="Y365" s="14"/>
    </row>
    <row r="366" spans="1:25" ht="14.1" customHeight="1" thickBot="1" x14ac:dyDescent="0.3">
      <c r="A366" s="3">
        <v>36</v>
      </c>
      <c r="B366" s="301"/>
      <c r="C366" s="616" t="str">
        <f>O214</f>
        <v>Auto 1</v>
      </c>
      <c r="D366" s="430" t="str">
        <f t="shared" ref="D366:D380" si="83">IF(P214="","",P214)</f>
        <v/>
      </c>
      <c r="E366" s="431" t="str">
        <f t="shared" ref="E366:E380" si="84">IF(Q214="","",Q214)</f>
        <v/>
      </c>
      <c r="F366" s="431" t="str">
        <f t="shared" ref="F366:F380" si="85">IF(R214="","",R214)</f>
        <v/>
      </c>
      <c r="G366" s="432" t="str">
        <f t="shared" ref="G366:G380" si="86">IF(S214="","",S214)</f>
        <v/>
      </c>
      <c r="H366" s="546" t="str">
        <f t="shared" ref="H366:H380" si="87">IF(T214="","",T214)</f>
        <v/>
      </c>
      <c r="I366" s="135"/>
      <c r="J366" s="330" t="str">
        <f>W214</f>
        <v>Measure using pancake probe placed against</v>
      </c>
      <c r="K366" s="135"/>
      <c r="L366" s="135"/>
      <c r="M366" s="303"/>
      <c r="O366" s="13"/>
      <c r="P366" s="2" t="s">
        <v>191</v>
      </c>
      <c r="Q366" s="112"/>
      <c r="R366" s="110"/>
      <c r="S366" s="110"/>
      <c r="T366" s="110"/>
      <c r="U366" s="110"/>
      <c r="V366" s="110"/>
      <c r="W366" s="110"/>
      <c r="X366" s="110"/>
      <c r="Y366" s="14"/>
    </row>
    <row r="367" spans="1:25" ht="14.1" customHeight="1" thickBot="1" x14ac:dyDescent="0.3">
      <c r="A367" s="3">
        <v>37</v>
      </c>
      <c r="B367" s="301"/>
      <c r="C367" s="617"/>
      <c r="D367" s="433" t="str">
        <f t="shared" si="83"/>
        <v/>
      </c>
      <c r="E367" s="434" t="str">
        <f t="shared" si="84"/>
        <v/>
      </c>
      <c r="F367" s="434" t="str">
        <f t="shared" si="85"/>
        <v/>
      </c>
      <c r="G367" s="435" t="str">
        <f t="shared" si="86"/>
        <v/>
      </c>
      <c r="H367" s="547"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617"/>
      <c r="D368" s="433" t="str">
        <f t="shared" si="83"/>
        <v/>
      </c>
      <c r="E368" s="434" t="str">
        <f t="shared" si="84"/>
        <v/>
      </c>
      <c r="F368" s="434" t="str">
        <f t="shared" si="85"/>
        <v/>
      </c>
      <c r="G368" s="435" t="str">
        <f t="shared" si="86"/>
        <v/>
      </c>
      <c r="H368" s="547" t="str">
        <f t="shared" si="87"/>
        <v/>
      </c>
      <c r="I368" s="135"/>
      <c r="J368" s="330" t="str">
        <f>W216</f>
        <v>Use 1.5mm Cu filtration</v>
      </c>
      <c r="K368" s="135"/>
      <c r="L368" s="135"/>
      <c r="M368" s="303"/>
    </row>
    <row r="369" spans="1:25" ht="14.1" customHeight="1" thickBot="1" x14ac:dyDescent="0.3">
      <c r="A369" s="3">
        <v>39</v>
      </c>
      <c r="B369" s="301"/>
      <c r="C369" s="617"/>
      <c r="D369" s="433" t="str">
        <f t="shared" si="83"/>
        <v/>
      </c>
      <c r="E369" s="434" t="str">
        <f t="shared" si="84"/>
        <v/>
      </c>
      <c r="F369" s="434" t="str">
        <f t="shared" si="85"/>
        <v/>
      </c>
      <c r="G369" s="435" t="str">
        <f t="shared" si="86"/>
        <v/>
      </c>
      <c r="H369" s="547" t="str">
        <f t="shared" si="87"/>
        <v/>
      </c>
      <c r="I369" s="135"/>
      <c r="J369" s="135"/>
      <c r="K369" s="135"/>
      <c r="L369" s="135"/>
      <c r="M369" s="303"/>
      <c r="T369" s="31" t="s">
        <v>384</v>
      </c>
    </row>
    <row r="370" spans="1:25" ht="14.1" customHeight="1" thickBot="1" x14ac:dyDescent="0.3">
      <c r="A370" s="3">
        <v>40</v>
      </c>
      <c r="B370" s="301"/>
      <c r="C370" s="617"/>
      <c r="D370" s="439" t="str">
        <f t="shared" si="83"/>
        <v/>
      </c>
      <c r="E370" s="440" t="str">
        <f t="shared" si="84"/>
        <v/>
      </c>
      <c r="F370" s="440" t="str">
        <f t="shared" si="85"/>
        <v/>
      </c>
      <c r="G370" s="441" t="str">
        <f t="shared" si="86"/>
        <v/>
      </c>
      <c r="H370" s="548" t="str">
        <f t="shared" si="87"/>
        <v/>
      </c>
      <c r="I370" s="135"/>
      <c r="J370" s="135"/>
      <c r="K370" s="135"/>
      <c r="L370" s="135"/>
      <c r="M370" s="303"/>
      <c r="O370" s="37"/>
      <c r="P370" s="7"/>
      <c r="Q370" s="7"/>
      <c r="R370" s="7"/>
      <c r="S370" s="76" t="s">
        <v>385</v>
      </c>
      <c r="T370" s="7"/>
      <c r="U370" s="7"/>
      <c r="V370" s="7"/>
      <c r="W370" s="7"/>
      <c r="X370" s="7"/>
      <c r="Y370" s="8"/>
    </row>
    <row r="371" spans="1:25" ht="14.1" customHeight="1" x14ac:dyDescent="0.25">
      <c r="A371" s="3">
        <v>41</v>
      </c>
      <c r="B371" s="301"/>
      <c r="C371" s="618" t="str">
        <f>O219</f>
        <v/>
      </c>
      <c r="D371" s="430" t="str">
        <f t="shared" si="83"/>
        <v/>
      </c>
      <c r="E371" s="431" t="str">
        <f t="shared" si="84"/>
        <v/>
      </c>
      <c r="F371" s="431" t="str">
        <f t="shared" si="85"/>
        <v/>
      </c>
      <c r="G371" s="432" t="str">
        <f t="shared" si="86"/>
        <v/>
      </c>
      <c r="H371" s="546" t="str">
        <f t="shared" si="87"/>
        <v/>
      </c>
      <c r="I371" s="135"/>
      <c r="J371" s="135"/>
      <c r="K371" s="135"/>
      <c r="L371" s="135"/>
      <c r="M371" s="303"/>
      <c r="O371" s="13"/>
      <c r="P371" s="2" t="s">
        <v>188</v>
      </c>
      <c r="Q371" s="269"/>
      <c r="R371" s="270"/>
      <c r="S371" s="271" t="str">
        <f>IF(AB243="","",AB243)</f>
        <v/>
      </c>
      <c r="T371" s="66"/>
      <c r="U371" s="66"/>
      <c r="V371" s="53"/>
      <c r="X371" s="66"/>
      <c r="Y371" s="14"/>
    </row>
    <row r="372" spans="1:25" ht="14.1" customHeight="1" x14ac:dyDescent="0.25">
      <c r="A372" s="3">
        <v>42</v>
      </c>
      <c r="B372" s="301"/>
      <c r="C372" s="619"/>
      <c r="D372" s="433" t="str">
        <f t="shared" si="83"/>
        <v/>
      </c>
      <c r="E372" s="434" t="str">
        <f t="shared" si="84"/>
        <v/>
      </c>
      <c r="F372" s="434" t="str">
        <f t="shared" si="85"/>
        <v/>
      </c>
      <c r="G372" s="435" t="str">
        <f t="shared" si="86"/>
        <v/>
      </c>
      <c r="H372" s="547" t="str">
        <f t="shared" si="87"/>
        <v/>
      </c>
      <c r="I372" s="135"/>
      <c r="J372" s="135"/>
      <c r="K372" s="135"/>
      <c r="L372" s="135"/>
      <c r="M372" s="303"/>
      <c r="O372" s="13"/>
      <c r="P372" s="107" t="s">
        <v>189</v>
      </c>
      <c r="Q372" s="108"/>
      <c r="R372" s="272">
        <f>LEN(Q371)</f>
        <v>0</v>
      </c>
      <c r="S372" s="110"/>
      <c r="T372" s="110"/>
      <c r="U372" s="273" t="s">
        <v>386</v>
      </c>
      <c r="V372" s="110"/>
      <c r="W372" s="110"/>
      <c r="X372" s="110"/>
      <c r="Y372" s="14"/>
    </row>
    <row r="373" spans="1:25" ht="14.1" customHeight="1" x14ac:dyDescent="0.25">
      <c r="A373" s="3">
        <v>43</v>
      </c>
      <c r="B373" s="301"/>
      <c r="C373" s="619"/>
      <c r="D373" s="433" t="str">
        <f t="shared" si="83"/>
        <v/>
      </c>
      <c r="E373" s="434" t="str">
        <f t="shared" si="84"/>
        <v/>
      </c>
      <c r="F373" s="434" t="str">
        <f t="shared" si="85"/>
        <v/>
      </c>
      <c r="G373" s="435" t="str">
        <f t="shared" si="86"/>
        <v/>
      </c>
      <c r="H373" s="547" t="str">
        <f t="shared" si="87"/>
        <v/>
      </c>
      <c r="I373" s="135"/>
      <c r="J373" s="135"/>
      <c r="K373" s="135"/>
      <c r="L373" s="135"/>
      <c r="M373" s="303"/>
      <c r="O373" s="13"/>
      <c r="P373" s="2" t="s">
        <v>387</v>
      </c>
      <c r="Q373" s="269"/>
      <c r="R373" s="270"/>
      <c r="S373" s="271" t="str">
        <f>IF(AB245="","",AB245)</f>
        <v/>
      </c>
      <c r="T373" s="66"/>
      <c r="U373" s="66"/>
      <c r="V373" s="53"/>
      <c r="X373" s="66"/>
      <c r="Y373" s="14"/>
    </row>
    <row r="374" spans="1:25" ht="14.1" customHeight="1" x14ac:dyDescent="0.25">
      <c r="A374" s="3">
        <v>44</v>
      </c>
      <c r="B374" s="301"/>
      <c r="C374" s="619"/>
      <c r="D374" s="433" t="str">
        <f t="shared" si="83"/>
        <v/>
      </c>
      <c r="E374" s="434" t="str">
        <f t="shared" si="84"/>
        <v/>
      </c>
      <c r="F374" s="434" t="str">
        <f t="shared" si="85"/>
        <v/>
      </c>
      <c r="G374" s="435" t="str">
        <f t="shared" si="86"/>
        <v/>
      </c>
      <c r="H374" s="547" t="str">
        <f t="shared" si="87"/>
        <v/>
      </c>
      <c r="I374" s="135"/>
      <c r="J374" s="135"/>
      <c r="K374" s="135"/>
      <c r="L374" s="135"/>
      <c r="M374" s="303"/>
      <c r="O374" s="13"/>
      <c r="P374" s="107" t="s">
        <v>189</v>
      </c>
      <c r="Q374" s="108"/>
      <c r="R374" s="272">
        <f>LEN(Q373)</f>
        <v>0</v>
      </c>
      <c r="S374" s="110"/>
      <c r="T374" s="110"/>
      <c r="U374" s="273" t="s">
        <v>388</v>
      </c>
      <c r="V374" s="110"/>
      <c r="W374" s="110"/>
      <c r="X374" s="110"/>
      <c r="Y374" s="14"/>
    </row>
    <row r="375" spans="1:25" ht="14.1" customHeight="1" thickBot="1" x14ac:dyDescent="0.3">
      <c r="A375" s="3">
        <v>45</v>
      </c>
      <c r="B375" s="301"/>
      <c r="C375" s="621"/>
      <c r="D375" s="439" t="str">
        <f t="shared" si="83"/>
        <v/>
      </c>
      <c r="E375" s="440" t="str">
        <f t="shared" si="84"/>
        <v/>
      </c>
      <c r="F375" s="440" t="str">
        <f t="shared" si="85"/>
        <v/>
      </c>
      <c r="G375" s="441" t="str">
        <f t="shared" si="86"/>
        <v/>
      </c>
      <c r="H375" s="548" t="str">
        <f t="shared" si="87"/>
        <v/>
      </c>
      <c r="I375" s="135"/>
      <c r="J375" s="135"/>
      <c r="K375" s="135"/>
      <c r="L375" s="135"/>
      <c r="M375" s="303"/>
      <c r="O375" s="13"/>
      <c r="P375" s="2" t="s">
        <v>387</v>
      </c>
      <c r="Q375" s="269"/>
      <c r="R375" s="270"/>
      <c r="S375" s="271" t="str">
        <f>IF(AB247="","",AB247)</f>
        <v/>
      </c>
      <c r="T375" s="66"/>
      <c r="U375" s="66"/>
      <c r="V375" s="53"/>
      <c r="X375" s="66"/>
      <c r="Y375" s="14"/>
    </row>
    <row r="376" spans="1:25" ht="14.1" customHeight="1" thickBot="1" x14ac:dyDescent="0.3">
      <c r="A376" s="3">
        <v>46</v>
      </c>
      <c r="B376" s="301"/>
      <c r="C376" s="634" t="str">
        <f>O224</f>
        <v xml:space="preserve">Auto </v>
      </c>
      <c r="D376" s="430" t="str">
        <f t="shared" si="83"/>
        <v/>
      </c>
      <c r="E376" s="431" t="str">
        <f t="shared" si="84"/>
        <v/>
      </c>
      <c r="F376" s="431" t="str">
        <f t="shared" si="85"/>
        <v/>
      </c>
      <c r="G376" s="432" t="str">
        <f t="shared" si="86"/>
        <v/>
      </c>
      <c r="H376" s="546" t="str">
        <f t="shared" si="87"/>
        <v/>
      </c>
      <c r="I376" s="135"/>
      <c r="J376" s="135"/>
      <c r="K376" s="135"/>
      <c r="L376" s="135"/>
      <c r="M376" s="303"/>
      <c r="O376" s="13"/>
      <c r="P376" s="107" t="s">
        <v>189</v>
      </c>
      <c r="Q376" s="108"/>
      <c r="R376" s="272">
        <f>LEN(Q375)</f>
        <v>0</v>
      </c>
      <c r="S376" s="110"/>
      <c r="T376" s="110"/>
      <c r="U376" s="273" t="s">
        <v>389</v>
      </c>
      <c r="V376" s="110"/>
      <c r="W376" s="110"/>
      <c r="X376" s="110"/>
      <c r="Y376" s="14"/>
    </row>
    <row r="377" spans="1:25" ht="14.1" customHeight="1" thickBot="1" x14ac:dyDescent="0.3">
      <c r="A377" s="3">
        <v>47</v>
      </c>
      <c r="B377" s="301"/>
      <c r="C377" s="635"/>
      <c r="D377" s="433" t="str">
        <f t="shared" si="83"/>
        <v/>
      </c>
      <c r="E377" s="434" t="str">
        <f t="shared" si="84"/>
        <v/>
      </c>
      <c r="F377" s="434" t="str">
        <f t="shared" si="85"/>
        <v/>
      </c>
      <c r="G377" s="435" t="str">
        <f t="shared" si="86"/>
        <v/>
      </c>
      <c r="H377" s="547" t="str">
        <f t="shared" si="87"/>
        <v/>
      </c>
      <c r="I377" s="135"/>
      <c r="J377" s="135"/>
      <c r="K377" s="135"/>
      <c r="L377" s="135"/>
      <c r="M377" s="303"/>
      <c r="O377" s="13"/>
      <c r="P377" s="2" t="s">
        <v>387</v>
      </c>
      <c r="Q377" s="269"/>
      <c r="R377" s="270"/>
      <c r="S377" s="271" t="str">
        <f>IF(AB249="","",AB249)</f>
        <v/>
      </c>
      <c r="T377" s="66"/>
      <c r="U377" s="66"/>
      <c r="V377" s="53"/>
      <c r="X377" s="66"/>
      <c r="Y377" s="14"/>
    </row>
    <row r="378" spans="1:25" ht="14.1" customHeight="1" thickBot="1" x14ac:dyDescent="0.3">
      <c r="A378" s="3">
        <v>48</v>
      </c>
      <c r="B378" s="301"/>
      <c r="C378" s="635"/>
      <c r="D378" s="433" t="str">
        <f t="shared" si="83"/>
        <v/>
      </c>
      <c r="E378" s="434" t="str">
        <f t="shared" si="84"/>
        <v/>
      </c>
      <c r="F378" s="434" t="str">
        <f t="shared" si="85"/>
        <v/>
      </c>
      <c r="G378" s="435" t="str">
        <f t="shared" si="86"/>
        <v/>
      </c>
      <c r="H378" s="547" t="str">
        <f t="shared" si="87"/>
        <v/>
      </c>
      <c r="I378" s="200"/>
      <c r="J378" s="200"/>
      <c r="K378" s="200"/>
      <c r="L378" s="200"/>
      <c r="M378" s="303"/>
      <c r="O378" s="13"/>
      <c r="P378" s="107" t="s">
        <v>189</v>
      </c>
      <c r="Q378" s="108"/>
      <c r="R378" s="272">
        <f>LEN(Q377)</f>
        <v>0</v>
      </c>
      <c r="S378" s="110"/>
      <c r="T378" s="110"/>
      <c r="U378" s="273" t="s">
        <v>390</v>
      </c>
      <c r="V378" s="110"/>
      <c r="W378" s="110"/>
      <c r="X378" s="110"/>
      <c r="Y378" s="14"/>
    </row>
    <row r="379" spans="1:25" ht="14.1" customHeight="1" thickBot="1" x14ac:dyDescent="0.3">
      <c r="A379" s="3">
        <v>49</v>
      </c>
      <c r="B379" s="301"/>
      <c r="C379" s="635"/>
      <c r="D379" s="433" t="str">
        <f t="shared" si="83"/>
        <v/>
      </c>
      <c r="E379" s="434" t="str">
        <f t="shared" si="84"/>
        <v/>
      </c>
      <c r="F379" s="434" t="str">
        <f t="shared" si="85"/>
        <v/>
      </c>
      <c r="G379" s="435" t="str">
        <f t="shared" si="86"/>
        <v/>
      </c>
      <c r="H379" s="547" t="str">
        <f t="shared" si="87"/>
        <v/>
      </c>
      <c r="I379" s="200"/>
      <c r="J379" s="200"/>
      <c r="K379" s="200"/>
      <c r="L379" s="200"/>
      <c r="M379" s="303"/>
      <c r="O379" s="13"/>
      <c r="P379" s="2" t="s">
        <v>387</v>
      </c>
      <c r="Q379" s="269"/>
      <c r="R379" s="270"/>
      <c r="S379" s="271" t="str">
        <f>IF(AB251="","",AB251)</f>
        <v/>
      </c>
      <c r="T379" s="66"/>
      <c r="U379" s="66"/>
      <c r="V379" s="53"/>
      <c r="X379" s="66"/>
      <c r="Y379" s="14"/>
    </row>
    <row r="380" spans="1:25" ht="14.1" customHeight="1" thickBot="1" x14ac:dyDescent="0.3">
      <c r="A380" s="3">
        <v>50</v>
      </c>
      <c r="B380" s="301"/>
      <c r="C380" s="636"/>
      <c r="D380" s="439" t="str">
        <f t="shared" si="83"/>
        <v/>
      </c>
      <c r="E380" s="440" t="str">
        <f t="shared" si="84"/>
        <v/>
      </c>
      <c r="F380" s="440" t="str">
        <f t="shared" si="85"/>
        <v/>
      </c>
      <c r="G380" s="441" t="str">
        <f t="shared" si="86"/>
        <v/>
      </c>
      <c r="H380" s="548" t="str">
        <f t="shared" si="87"/>
        <v/>
      </c>
      <c r="I380" s="200"/>
      <c r="J380" s="200"/>
      <c r="K380" s="200"/>
      <c r="L380" s="200"/>
      <c r="M380" s="303"/>
      <c r="O380" s="13"/>
      <c r="P380" s="107" t="s">
        <v>189</v>
      </c>
      <c r="Q380" s="108"/>
      <c r="R380" s="272">
        <f>LEN(Q379)</f>
        <v>0</v>
      </c>
      <c r="S380" s="110"/>
      <c r="T380" s="110"/>
      <c r="U380" s="273" t="s">
        <v>391</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387</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189</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387</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189</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387</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189</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387</v>
      </c>
      <c r="Q387" s="269"/>
      <c r="R387" s="270"/>
      <c r="S387" s="271" t="str">
        <f>IF(AB259="","",AB259)</f>
        <v/>
      </c>
      <c r="T387" s="66"/>
      <c r="U387" s="66"/>
      <c r="V387" s="53"/>
      <c r="X387" s="66"/>
      <c r="Y387" s="14"/>
    </row>
    <row r="388" spans="1:25" ht="14.1" customHeight="1" x14ac:dyDescent="0.25">
      <c r="A388" s="3">
        <v>58</v>
      </c>
      <c r="B388" s="301"/>
      <c r="C388" s="607"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189</v>
      </c>
      <c r="Q388" s="108"/>
      <c r="R388" s="272">
        <f>LEN(Q387)</f>
        <v>0</v>
      </c>
      <c r="S388" s="110"/>
      <c r="T388" s="110"/>
      <c r="U388" s="110"/>
      <c r="V388" s="110"/>
      <c r="W388" s="110"/>
      <c r="X388" s="110"/>
      <c r="Y388" s="14"/>
    </row>
    <row r="389" spans="1:25" ht="14.1" customHeight="1" thickBot="1" x14ac:dyDescent="0.3">
      <c r="A389" s="3">
        <v>59</v>
      </c>
      <c r="B389" s="301"/>
      <c r="C389" s="608"/>
      <c r="D389" s="448" t="str">
        <f>P243</f>
        <v>Waist level</v>
      </c>
      <c r="E389" s="427">
        <f>Q243</f>
        <v>0</v>
      </c>
      <c r="F389" s="427">
        <f>R243</f>
        <v>0</v>
      </c>
      <c r="G389" s="363" t="str">
        <f>U243</f>
        <v/>
      </c>
      <c r="H389" s="451" t="str">
        <f>V243</f>
        <v/>
      </c>
      <c r="I389" s="135"/>
      <c r="J389" s="330"/>
      <c r="K389" s="135"/>
      <c r="L389" s="135"/>
      <c r="M389" s="303"/>
      <c r="O389" s="13"/>
      <c r="P389" s="2" t="s">
        <v>387</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189</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387</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189</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387</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189</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387</v>
      </c>
      <c r="Q395" s="269"/>
      <c r="R395" s="270"/>
      <c r="S395" s="271" t="str">
        <f>IF(AB267="","",AB267)</f>
        <v/>
      </c>
      <c r="T395" s="66"/>
      <c r="U395" s="66"/>
      <c r="V395" s="53"/>
      <c r="X395" s="66"/>
      <c r="Y395" s="14"/>
    </row>
    <row r="396" spans="1:25" ht="14.1" customHeight="1" x14ac:dyDescent="0.25">
      <c r="A396" s="3">
        <v>66</v>
      </c>
      <c r="C396" s="2" t="s">
        <v>76</v>
      </c>
      <c r="D396" s="67" t="str">
        <f>IF($R$14="","",$R$14&amp;" Tube "&amp;$W$48)</f>
        <v/>
      </c>
      <c r="L396" s="2" t="s">
        <v>23</v>
      </c>
      <c r="M396" s="68" t="str">
        <f>IF($R$13="","",$R$13)</f>
        <v/>
      </c>
      <c r="O396" s="13"/>
      <c r="P396" s="107" t="s">
        <v>189</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387</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189</v>
      </c>
      <c r="Q398" s="108"/>
      <c r="R398" s="272">
        <f>LEN(Q397)</f>
        <v>0</v>
      </c>
      <c r="S398" s="110"/>
      <c r="T398" s="110"/>
      <c r="U398" s="110"/>
      <c r="V398" s="110"/>
      <c r="W398" s="110"/>
      <c r="X398" s="110"/>
      <c r="Y398" s="14"/>
    </row>
    <row r="399" spans="1:25" ht="14.1" customHeight="1" thickTop="1" x14ac:dyDescent="0.25">
      <c r="A399" s="3">
        <v>3</v>
      </c>
      <c r="B399" s="298"/>
      <c r="C399" s="324" t="s">
        <v>392</v>
      </c>
      <c r="D399" s="299"/>
      <c r="E399" s="299"/>
      <c r="F399" s="299"/>
      <c r="G399" s="299"/>
      <c r="H399" s="625" t="s">
        <v>393</v>
      </c>
      <c r="I399" s="625"/>
      <c r="J399" s="625" t="s">
        <v>394</v>
      </c>
      <c r="K399" s="625"/>
      <c r="L399" s="299"/>
      <c r="M399" s="300"/>
      <c r="O399" s="13"/>
      <c r="P399" s="2" t="s">
        <v>387</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395</v>
      </c>
      <c r="I400" s="478" t="s">
        <v>285</v>
      </c>
      <c r="J400" s="479" t="str">
        <f>T318</f>
        <v>N3</v>
      </c>
      <c r="K400" s="478" t="s">
        <v>285</v>
      </c>
      <c r="L400" s="135"/>
      <c r="M400" s="303"/>
      <c r="O400" s="13"/>
      <c r="P400" s="107" t="s">
        <v>189</v>
      </c>
      <c r="Q400" s="108"/>
      <c r="R400" s="272">
        <f>LEN(Q399)</f>
        <v>0</v>
      </c>
      <c r="S400" s="110"/>
      <c r="T400" s="110"/>
      <c r="U400" s="110"/>
      <c r="V400" s="110"/>
      <c r="W400" s="110"/>
      <c r="X400" s="110"/>
      <c r="Y400" s="14"/>
    </row>
    <row r="401" spans="1:25" ht="14.1" customHeight="1" x14ac:dyDescent="0.25">
      <c r="A401" s="3">
        <v>5</v>
      </c>
      <c r="B401" s="301"/>
      <c r="C401" s="135"/>
      <c r="D401" s="465" t="str">
        <f>O319</f>
        <v/>
      </c>
      <c r="E401" s="549" t="str">
        <f t="shared" ref="E401:G405" si="88">IF(P319="","",VLOOKUP(P319,LeedsMS,2))</f>
        <v/>
      </c>
      <c r="F401" s="550" t="str">
        <f t="shared" si="88"/>
        <v/>
      </c>
      <c r="G401" s="551" t="str">
        <f t="shared" si="88"/>
        <v/>
      </c>
      <c r="H401" s="471" t="str">
        <f>IF(S319="","",VLOOKUP(S319,Huttner,2))</f>
        <v/>
      </c>
      <c r="I401" s="468" t="str">
        <f>IF(H401="","",IF(H401&lt;1,"NO","YES"))</f>
        <v/>
      </c>
      <c r="J401" s="474" t="str">
        <f>IF(T319="","",VLOOKUP(T319,LeedsN3,2))</f>
        <v/>
      </c>
      <c r="K401" s="468" t="str">
        <f>IF(J401="","",IF(J401&lt;=0.04,"YES","NO"))</f>
        <v/>
      </c>
      <c r="L401" s="135"/>
      <c r="M401" s="303"/>
      <c r="O401" s="13"/>
      <c r="P401" s="2" t="s">
        <v>387</v>
      </c>
      <c r="Q401" s="269"/>
      <c r="R401" s="270"/>
      <c r="S401" s="271" t="str">
        <f>IF(AB273="","",AB273)</f>
        <v/>
      </c>
      <c r="T401" s="66"/>
      <c r="U401" s="66"/>
      <c r="V401" s="53"/>
      <c r="X401" s="66"/>
      <c r="Y401" s="14"/>
    </row>
    <row r="402" spans="1:25" ht="14.1" customHeight="1" x14ac:dyDescent="0.25">
      <c r="A402" s="3">
        <v>6</v>
      </c>
      <c r="B402" s="301"/>
      <c r="C402" s="135"/>
      <c r="D402" s="462" t="str">
        <f>O320</f>
        <v/>
      </c>
      <c r="E402" s="552" t="str">
        <f t="shared" si="88"/>
        <v/>
      </c>
      <c r="F402" s="553" t="str">
        <f t="shared" si="88"/>
        <v/>
      </c>
      <c r="G402" s="554" t="str">
        <f t="shared" si="88"/>
        <v/>
      </c>
      <c r="H402" s="353" t="str">
        <f>IF(S320="","",VLOOKUP(S320,Huttner,2))</f>
        <v/>
      </c>
      <c r="I402" s="469" t="str">
        <f>IF(H402="","",IF(H402&lt;1.25,"NO","YES"))</f>
        <v/>
      </c>
      <c r="J402" s="472" t="str">
        <f>IF(T320="","",VLOOKUP(T320,LeedsN3,2))</f>
        <v/>
      </c>
      <c r="K402" s="469" t="str">
        <f>IF(J402="","",IF(J402&lt;=0.04,"YES","NO"))</f>
        <v/>
      </c>
      <c r="L402" s="135"/>
      <c r="M402" s="303"/>
      <c r="O402" s="13"/>
      <c r="P402" s="107" t="s">
        <v>189</v>
      </c>
      <c r="Q402" s="108"/>
      <c r="R402" s="272">
        <f>LEN(Q401)</f>
        <v>0</v>
      </c>
      <c r="S402" s="110"/>
      <c r="T402" s="110"/>
      <c r="U402" s="110"/>
      <c r="V402" s="110"/>
      <c r="W402" s="110"/>
      <c r="X402" s="110"/>
      <c r="Y402" s="14"/>
    </row>
    <row r="403" spans="1:25" ht="14.1" customHeight="1" x14ac:dyDescent="0.25">
      <c r="A403" s="3">
        <v>7</v>
      </c>
      <c r="B403" s="301"/>
      <c r="C403" s="135"/>
      <c r="D403" s="462" t="str">
        <f>O321</f>
        <v/>
      </c>
      <c r="E403" s="552" t="str">
        <f t="shared" si="88"/>
        <v/>
      </c>
      <c r="F403" s="553" t="str">
        <f t="shared" si="88"/>
        <v/>
      </c>
      <c r="G403" s="554" t="str">
        <f t="shared" si="88"/>
        <v/>
      </c>
      <c r="H403" s="353" t="str">
        <f>IF(S321="","",VLOOKUP(S321,Huttner,2))</f>
        <v/>
      </c>
      <c r="I403" s="469" t="str">
        <f>IF(H403="","",IF(H403&lt;1.4,"NO","YES"))</f>
        <v/>
      </c>
      <c r="J403" s="472" t="str">
        <f>IF(T321="","",VLOOKUP(T321,LeedsN3,2))</f>
        <v/>
      </c>
      <c r="K403" s="469" t="str">
        <f>IF(J403="","",IF(J403&lt;=0.04,"YES","NO"))</f>
        <v/>
      </c>
      <c r="L403" s="135"/>
      <c r="M403" s="303"/>
      <c r="O403" s="13"/>
      <c r="P403" s="2" t="s">
        <v>387</v>
      </c>
      <c r="Q403" s="269"/>
      <c r="R403" s="270"/>
      <c r="S403" s="271" t="str">
        <f>IF(AB275="","",AB275)</f>
        <v/>
      </c>
      <c r="T403" s="66"/>
      <c r="U403" s="66"/>
      <c r="V403" s="53"/>
      <c r="X403" s="66"/>
      <c r="Y403" s="14"/>
    </row>
    <row r="404" spans="1:25" ht="14.1" customHeight="1" x14ac:dyDescent="0.25">
      <c r="A404" s="3">
        <v>8</v>
      </c>
      <c r="B404" s="301"/>
      <c r="C404" s="135"/>
      <c r="D404" s="462" t="str">
        <f>O322</f>
        <v/>
      </c>
      <c r="E404" s="552" t="str">
        <f t="shared" si="88"/>
        <v/>
      </c>
      <c r="F404" s="553" t="str">
        <f t="shared" si="88"/>
        <v/>
      </c>
      <c r="G404" s="554" t="str">
        <f t="shared" si="88"/>
        <v/>
      </c>
      <c r="H404" s="353" t="str">
        <f>IF(S322="","",VLOOKUP(S322,Huttner,2))</f>
        <v/>
      </c>
      <c r="I404" s="469" t="str">
        <f>IF(H404="","",IF(H404&lt;2,"NO","YES"))</f>
        <v/>
      </c>
      <c r="J404" s="472" t="str">
        <f>IF(T322="","",VLOOKUP(T322,LeedsN3,2))</f>
        <v/>
      </c>
      <c r="K404" s="469" t="str">
        <f>IF(J404="","",IF(J404&lt;=0.04,"YES","NO"))</f>
        <v/>
      </c>
      <c r="L404" s="135"/>
      <c r="M404" s="303"/>
      <c r="O404" s="13"/>
      <c r="P404" s="107" t="s">
        <v>189</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5" t="str">
        <f t="shared" si="88"/>
        <v/>
      </c>
      <c r="F405" s="556" t="str">
        <f t="shared" si="88"/>
        <v/>
      </c>
      <c r="G405" s="557" t="str">
        <f t="shared" si="88"/>
        <v/>
      </c>
      <c r="H405" s="354" t="str">
        <f>IF(S323="","",VLOOKUP(S323,Huttner,2))</f>
        <v/>
      </c>
      <c r="I405" s="470" t="str">
        <f>IF(H405="","",IF(H405&lt;1,"NO","YES"))</f>
        <v/>
      </c>
      <c r="J405" s="473" t="str">
        <f>IF(T323="","",VLOOKUP(T323,LeedsN3,2))</f>
        <v/>
      </c>
      <c r="K405" s="470" t="str">
        <f>IF(J405="","",IF(J405&lt;=0.04,"YES","NO"))</f>
        <v/>
      </c>
      <c r="L405" s="135"/>
      <c r="M405" s="303"/>
      <c r="O405" s="13"/>
      <c r="P405" s="2" t="s">
        <v>387</v>
      </c>
      <c r="Q405" s="269"/>
      <c r="R405" s="270"/>
      <c r="S405" s="271" t="str">
        <f>IF(AB277="","",AB277)</f>
        <v/>
      </c>
      <c r="T405" s="66"/>
      <c r="U405" s="66"/>
      <c r="V405" s="53"/>
      <c r="X405" s="66"/>
      <c r="Y405" s="14"/>
    </row>
    <row r="406" spans="1:25" ht="14.1" customHeight="1" x14ac:dyDescent="0.25">
      <c r="A406" s="3">
        <v>10</v>
      </c>
      <c r="B406" s="301"/>
      <c r="C406" s="135"/>
      <c r="D406" s="226" t="s">
        <v>185</v>
      </c>
      <c r="E406" s="330" t="s">
        <v>396</v>
      </c>
      <c r="F406" s="135"/>
      <c r="G406" s="135"/>
      <c r="H406" s="135"/>
      <c r="I406" s="135"/>
      <c r="J406" s="135"/>
      <c r="K406" s="135"/>
      <c r="L406" s="135"/>
      <c r="M406" s="303"/>
      <c r="O406" s="13"/>
      <c r="P406" s="107" t="s">
        <v>189</v>
      </c>
      <c r="Q406" s="108"/>
      <c r="R406" s="272">
        <f>LEN(Q405)</f>
        <v>0</v>
      </c>
      <c r="S406" s="110"/>
      <c r="T406" s="110"/>
      <c r="U406" s="110"/>
      <c r="V406" s="110"/>
      <c r="W406" s="110"/>
      <c r="X406" s="110"/>
      <c r="Y406" s="14"/>
    </row>
    <row r="407" spans="1:25" ht="14.1" customHeight="1" x14ac:dyDescent="0.25">
      <c r="A407" s="3">
        <v>11</v>
      </c>
      <c r="B407" s="301"/>
      <c r="C407" s="135"/>
      <c r="D407" s="135"/>
      <c r="E407" s="330" t="s">
        <v>397</v>
      </c>
      <c r="F407" s="135"/>
      <c r="G407" s="135"/>
      <c r="H407" s="135"/>
      <c r="I407" s="135"/>
      <c r="J407" s="135"/>
      <c r="K407" s="135"/>
      <c r="L407" s="135"/>
      <c r="M407" s="303"/>
      <c r="O407" s="13"/>
      <c r="P407" s="2" t="s">
        <v>387</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189</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398</v>
      </c>
    </row>
    <row r="412" spans="1:25" ht="14.1" customHeight="1" x14ac:dyDescent="0.25">
      <c r="A412" s="3">
        <v>16</v>
      </c>
      <c r="B412" s="301"/>
      <c r="C412" s="349" t="s">
        <v>399</v>
      </c>
      <c r="D412" s="135"/>
      <c r="E412" s="135"/>
      <c r="F412" s="135"/>
      <c r="G412" s="135"/>
      <c r="H412" s="135"/>
      <c r="I412" s="135"/>
      <c r="J412" s="135"/>
      <c r="K412" s="135"/>
      <c r="L412" s="135"/>
      <c r="M412" s="303"/>
      <c r="O412" s="37"/>
      <c r="P412" s="7"/>
      <c r="Q412" s="7"/>
      <c r="R412" s="7"/>
      <c r="S412" s="76" t="s">
        <v>385</v>
      </c>
      <c r="T412" s="7"/>
      <c r="U412" s="7"/>
      <c r="V412" s="7"/>
      <c r="W412" s="7"/>
      <c r="X412" s="7"/>
      <c r="Y412" s="8"/>
    </row>
    <row r="413" spans="1:25" ht="14.1" customHeight="1" x14ac:dyDescent="0.25">
      <c r="A413" s="3">
        <v>17</v>
      </c>
      <c r="B413" s="301"/>
      <c r="C413" s="42"/>
      <c r="D413" s="623" t="s">
        <v>400</v>
      </c>
      <c r="E413" s="623"/>
      <c r="F413" s="623"/>
      <c r="G413" s="623"/>
      <c r="H413" s="623"/>
      <c r="I413" s="623" t="s">
        <v>401</v>
      </c>
      <c r="J413" s="623"/>
      <c r="K413" s="623"/>
      <c r="L413" s="623"/>
      <c r="M413" s="624"/>
      <c r="O413" s="13"/>
      <c r="P413" s="2" t="s">
        <v>188</v>
      </c>
      <c r="Q413" s="269"/>
      <c r="R413" s="270"/>
      <c r="S413" s="271" t="str">
        <f>IF(AB280="","",AB280)</f>
        <v/>
      </c>
      <c r="T413" s="66"/>
      <c r="U413" s="66"/>
      <c r="V413" s="53"/>
      <c r="X413" s="66"/>
      <c r="Y413" s="14"/>
    </row>
    <row r="414" spans="1:25" ht="14.1" customHeight="1" thickBot="1" x14ac:dyDescent="0.3">
      <c r="A414" s="3">
        <v>18</v>
      </c>
      <c r="B414" s="301"/>
      <c r="C414" s="358" t="s">
        <v>348</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189</v>
      </c>
      <c r="Q414" s="108"/>
      <c r="R414" s="272">
        <f>LEN(Q413)</f>
        <v>0</v>
      </c>
      <c r="S414" s="110"/>
      <c r="T414" s="110"/>
      <c r="U414" s="273"/>
      <c r="V414" s="110"/>
      <c r="W414" s="110"/>
      <c r="X414" s="110"/>
      <c r="Y414" s="14"/>
    </row>
    <row r="415" spans="1:25" ht="14.1" customHeight="1" x14ac:dyDescent="0.25">
      <c r="A415" s="3">
        <v>19</v>
      </c>
      <c r="B415" s="301"/>
      <c r="C415" s="358" t="s">
        <v>349</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387</v>
      </c>
      <c r="Q415" s="269"/>
      <c r="R415" s="270"/>
      <c r="S415" s="271" t="str">
        <f>IF(AB282="","",AB282)</f>
        <v/>
      </c>
      <c r="T415" s="66"/>
      <c r="U415" s="66"/>
      <c r="V415" s="53"/>
      <c r="X415" s="66"/>
      <c r="Y415" s="14"/>
    </row>
    <row r="416" spans="1:25" ht="14.1" customHeight="1" x14ac:dyDescent="0.25">
      <c r="A416" s="3">
        <v>20</v>
      </c>
      <c r="B416" s="301"/>
      <c r="C416" s="358" t="s">
        <v>350</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189</v>
      </c>
      <c r="Q416" s="108"/>
      <c r="R416" s="272">
        <f>LEN(Q415)</f>
        <v>0</v>
      </c>
      <c r="S416" s="110"/>
      <c r="T416" s="110"/>
      <c r="U416" s="273"/>
      <c r="V416" s="110"/>
      <c r="W416" s="110"/>
      <c r="X416" s="110"/>
      <c r="Y416" s="14"/>
    </row>
    <row r="417" spans="1:25" ht="14.1" customHeight="1" x14ac:dyDescent="0.25">
      <c r="A417" s="3">
        <v>21</v>
      </c>
      <c r="B417" s="301"/>
      <c r="C417" s="358" t="s">
        <v>351</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387</v>
      </c>
      <c r="Q417" s="269"/>
      <c r="R417" s="270"/>
      <c r="S417" s="271" t="str">
        <f>IF(AB284="","",AB284)</f>
        <v/>
      </c>
      <c r="T417" s="66"/>
      <c r="U417" s="66"/>
      <c r="V417" s="53"/>
      <c r="X417" s="66"/>
      <c r="Y417" s="14"/>
    </row>
    <row r="418" spans="1:25" ht="14.1" customHeight="1" x14ac:dyDescent="0.25">
      <c r="A418" s="3">
        <v>22</v>
      </c>
      <c r="B418" s="301"/>
      <c r="C418" s="358" t="s">
        <v>352</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189</v>
      </c>
      <c r="Q418" s="108"/>
      <c r="R418" s="272">
        <f>LEN(Q417)</f>
        <v>0</v>
      </c>
      <c r="S418" s="110"/>
      <c r="T418" s="110"/>
      <c r="U418" s="273"/>
      <c r="V418" s="110"/>
      <c r="W418" s="110"/>
      <c r="X418" s="110"/>
      <c r="Y418" s="14"/>
    </row>
    <row r="419" spans="1:25" ht="14.1" customHeight="1" x14ac:dyDescent="0.25">
      <c r="A419" s="3">
        <v>23</v>
      </c>
      <c r="B419" s="301"/>
      <c r="C419" s="358" t="s">
        <v>353</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387</v>
      </c>
      <c r="Q419" s="269"/>
      <c r="R419" s="270"/>
      <c r="S419" s="271" t="str">
        <f>IF(AB286="","",AB286)</f>
        <v/>
      </c>
      <c r="T419" s="66"/>
      <c r="U419" s="66"/>
      <c r="V419" s="53"/>
      <c r="X419" s="66"/>
      <c r="Y419" s="14"/>
    </row>
    <row r="420" spans="1:25" ht="14.1" customHeight="1" x14ac:dyDescent="0.25">
      <c r="A420" s="3">
        <v>24</v>
      </c>
      <c r="B420" s="301"/>
      <c r="C420" s="358" t="s">
        <v>354</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189</v>
      </c>
      <c r="Q420" s="108"/>
      <c r="R420" s="272">
        <f>LEN(Q419)</f>
        <v>0</v>
      </c>
      <c r="S420" s="110"/>
      <c r="T420" s="110"/>
      <c r="U420" s="273"/>
      <c r="V420" s="110"/>
      <c r="W420" s="110"/>
      <c r="X420" s="110"/>
      <c r="Y420" s="14"/>
    </row>
    <row r="421" spans="1:25" ht="14.1" customHeight="1" x14ac:dyDescent="0.25">
      <c r="A421" s="3">
        <v>25</v>
      </c>
      <c r="B421" s="301"/>
      <c r="C421" s="358" t="s">
        <v>355</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387</v>
      </c>
      <c r="Q421" s="269"/>
      <c r="R421" s="270"/>
      <c r="S421" s="271" t="str">
        <f>IF(AB288="","",AB288)</f>
        <v/>
      </c>
      <c r="T421" s="66"/>
      <c r="U421" s="66"/>
      <c r="V421" s="53"/>
      <c r="X421" s="66"/>
      <c r="Y421" s="14"/>
    </row>
    <row r="422" spans="1:25" ht="14.1" customHeight="1" x14ac:dyDescent="0.25">
      <c r="A422" s="3">
        <v>26</v>
      </c>
      <c r="B422" s="301"/>
      <c r="C422" s="358" t="s">
        <v>356</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189</v>
      </c>
      <c r="Q422" s="108"/>
      <c r="R422" s="272">
        <f>LEN(Q421)</f>
        <v>0</v>
      </c>
      <c r="S422" s="110"/>
      <c r="T422" s="110"/>
      <c r="U422" s="273"/>
      <c r="V422" s="110"/>
      <c r="W422" s="110"/>
      <c r="X422" s="110"/>
      <c r="Y422" s="14"/>
    </row>
    <row r="423" spans="1:25" ht="14.1" customHeight="1" x14ac:dyDescent="0.25">
      <c r="A423" s="3">
        <v>27</v>
      </c>
      <c r="B423" s="301"/>
      <c r="C423" s="358" t="s">
        <v>357</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387</v>
      </c>
      <c r="Q423" s="269"/>
      <c r="R423" s="270"/>
      <c r="S423" s="271" t="str">
        <f>IF(AB290="","",AB290)</f>
        <v/>
      </c>
      <c r="T423" s="66"/>
      <c r="U423" s="66"/>
      <c r="V423" s="53"/>
      <c r="X423" s="66"/>
      <c r="Y423" s="14"/>
    </row>
    <row r="424" spans="1:25" ht="14.1" customHeight="1" x14ac:dyDescent="0.25">
      <c r="A424" s="3">
        <v>28</v>
      </c>
      <c r="B424" s="301"/>
      <c r="C424" s="358" t="s">
        <v>358</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189</v>
      </c>
      <c r="Q424" s="108"/>
      <c r="R424" s="272">
        <f>LEN(Q423)</f>
        <v>0</v>
      </c>
      <c r="S424" s="110"/>
      <c r="T424" s="110"/>
      <c r="U424" s="110"/>
      <c r="V424" s="110"/>
      <c r="W424" s="110"/>
      <c r="X424" s="110"/>
      <c r="Y424" s="14"/>
    </row>
    <row r="425" spans="1:25" ht="14.1" customHeight="1" x14ac:dyDescent="0.25">
      <c r="A425" s="3">
        <v>29</v>
      </c>
      <c r="B425" s="301"/>
      <c r="C425" s="358" t="s">
        <v>359</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387</v>
      </c>
      <c r="Q425" s="269"/>
      <c r="R425" s="270"/>
      <c r="S425" s="271" t="str">
        <f>IF(AB292="","",AB292)</f>
        <v/>
      </c>
      <c r="T425" s="66"/>
      <c r="U425" s="66"/>
      <c r="V425" s="53"/>
      <c r="X425" s="66"/>
      <c r="Y425" s="14"/>
    </row>
    <row r="426" spans="1:25" ht="14.1" customHeight="1" thickBot="1" x14ac:dyDescent="0.3">
      <c r="A426" s="3">
        <v>30</v>
      </c>
      <c r="B426" s="301"/>
      <c r="C426" s="358" t="s">
        <v>360</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189</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387</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189</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387</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189</v>
      </c>
      <c r="Q430" s="108"/>
      <c r="R430" s="272">
        <f>LEN(Q429)</f>
        <v>0</v>
      </c>
      <c r="S430" s="110"/>
      <c r="T430" s="110"/>
      <c r="U430" s="110"/>
      <c r="V430" s="110"/>
      <c r="W430" s="110"/>
      <c r="X430" s="110"/>
      <c r="Y430" s="14"/>
    </row>
    <row r="431" spans="1:25" ht="14.1" customHeight="1" thickBot="1" x14ac:dyDescent="0.3">
      <c r="A431" s="3">
        <v>35</v>
      </c>
      <c r="B431" s="301"/>
      <c r="C431" s="345" t="s">
        <v>361</v>
      </c>
      <c r="D431" s="135"/>
      <c r="E431" s="135"/>
      <c r="F431" s="135"/>
      <c r="G431" s="135"/>
      <c r="H431" s="135"/>
      <c r="I431" s="135"/>
      <c r="J431" s="135"/>
      <c r="K431" s="135"/>
      <c r="L431" s="135"/>
      <c r="M431" s="303"/>
      <c r="O431" s="13"/>
      <c r="P431" s="2" t="s">
        <v>387</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189</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387</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189</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387</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189</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387</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189</v>
      </c>
      <c r="Q438" s="108"/>
      <c r="R438" s="272">
        <f>LEN(Q437)</f>
        <v>0</v>
      </c>
      <c r="S438" s="110"/>
      <c r="T438" s="110"/>
      <c r="U438" s="110"/>
      <c r="V438" s="110"/>
      <c r="W438" s="110"/>
      <c r="X438" s="110"/>
      <c r="Y438" s="14"/>
    </row>
    <row r="439" spans="1:25" ht="14.1" customHeight="1" x14ac:dyDescent="0.25">
      <c r="A439" s="3">
        <v>43</v>
      </c>
      <c r="B439" s="301"/>
      <c r="C439" s="345" t="s">
        <v>368</v>
      </c>
      <c r="D439" s="135"/>
      <c r="E439" s="135"/>
      <c r="F439" s="135"/>
      <c r="G439" s="135"/>
      <c r="H439" s="135"/>
      <c r="I439" s="135"/>
      <c r="J439" s="135"/>
      <c r="K439" s="135"/>
      <c r="L439" s="135"/>
      <c r="M439" s="303"/>
      <c r="O439" s="13"/>
      <c r="P439" s="2" t="s">
        <v>387</v>
      </c>
      <c r="Q439" s="269"/>
      <c r="R439" s="270"/>
      <c r="S439" s="271" t="str">
        <f>IF(AB306="","",AB306)</f>
        <v/>
      </c>
      <c r="T439" s="66"/>
      <c r="U439" s="66"/>
      <c r="V439" s="53"/>
      <c r="X439" s="66"/>
      <c r="Y439" s="14"/>
    </row>
    <row r="440" spans="1:25" ht="14.1" customHeight="1" x14ac:dyDescent="0.25">
      <c r="A440" s="3">
        <v>44</v>
      </c>
      <c r="B440" s="301"/>
      <c r="C440" s="113" t="str">
        <f>O355</f>
        <v/>
      </c>
      <c r="D440" s="42" t="s">
        <v>369</v>
      </c>
      <c r="E440" s="135"/>
      <c r="F440" s="135"/>
      <c r="G440" s="135"/>
      <c r="H440" s="135"/>
      <c r="I440" s="135"/>
      <c r="J440" s="135"/>
      <c r="K440" s="135"/>
      <c r="L440" s="135"/>
      <c r="M440" s="303"/>
      <c r="O440" s="13"/>
      <c r="P440" s="107" t="s">
        <v>189</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387</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626" t="str">
        <f t="shared" si="95"/>
        <v/>
      </c>
      <c r="G442" s="628" t="str">
        <f t="shared" si="95"/>
        <v/>
      </c>
      <c r="H442" s="200"/>
      <c r="I442" s="200"/>
      <c r="J442" s="330"/>
      <c r="K442" s="135"/>
      <c r="L442" s="135"/>
      <c r="M442" s="303"/>
      <c r="O442" s="13"/>
      <c r="P442" s="107" t="s">
        <v>189</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627"/>
      <c r="G443" s="629"/>
      <c r="H443" s="200"/>
      <c r="I443" s="82" t="str">
        <f>T360</f>
        <v>Acceptable</v>
      </c>
      <c r="J443" s="330"/>
      <c r="K443" s="135"/>
      <c r="L443" s="135"/>
      <c r="M443" s="303"/>
      <c r="O443" s="13"/>
      <c r="P443" s="2" t="s">
        <v>387</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627" t="str">
        <f>Q360</f>
        <v/>
      </c>
      <c r="G444" s="629"/>
      <c r="H444" s="135"/>
      <c r="I444" s="91" t="str">
        <f>T361</f>
        <v/>
      </c>
      <c r="J444" s="135"/>
      <c r="K444" s="135"/>
      <c r="L444" s="135"/>
      <c r="M444" s="303"/>
      <c r="O444" s="13"/>
      <c r="P444" s="107" t="s">
        <v>189</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631"/>
      <c r="G445" s="630"/>
      <c r="H445" s="135"/>
      <c r="I445" s="135"/>
      <c r="J445" s="135"/>
      <c r="K445" s="135"/>
      <c r="L445" s="135"/>
      <c r="M445" s="303"/>
      <c r="O445" s="13"/>
      <c r="P445" s="2" t="s">
        <v>387</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189</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387</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189</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387</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189</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76</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384</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76</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398</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76</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402</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76</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76</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403</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76</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 ref="Q358:Q359"/>
    <mergeCell ref="R358:R361"/>
    <mergeCell ref="Q360:Q361"/>
    <mergeCell ref="C366:C370"/>
    <mergeCell ref="C303:C307"/>
    <mergeCell ref="C308:C312"/>
    <mergeCell ref="C313:C317"/>
    <mergeCell ref="D413:H413"/>
    <mergeCell ref="I413:M413"/>
    <mergeCell ref="H399:I399"/>
    <mergeCell ref="J399:K39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P293:T293"/>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U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U295:U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r:uid="{00000000-0002-0000-0000-000000000000}">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
  <sheetViews>
    <sheetView zoomScale="75" zoomScaleNormal="75" workbookViewId="0"/>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29" t="str">
        <f>Fluoro!H267</f>
        <v>Test equipment:</v>
      </c>
      <c r="I3" s="569" t="str">
        <f>Fluoro!I267</f>
        <v>Radcal 90-2123</v>
      </c>
      <c r="J3" s="529" t="str">
        <f>Fluoro!J267</f>
        <v>Calibration date:</v>
      </c>
      <c r="K3" s="570">
        <f>Fluoro!K267</f>
        <v>44540</v>
      </c>
      <c r="L3" s="529" t="str">
        <f>Fluoro!L267</f>
        <v>Calibration due:</v>
      </c>
      <c r="M3" s="571">
        <f>Fluoro!M267</f>
        <v>44905</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604" t="str">
        <f>Fluoro!E269</f>
        <v>Auto 1</v>
      </c>
      <c r="F5" s="604">
        <f>Fluoro!F269</f>
        <v>0</v>
      </c>
      <c r="G5" s="604">
        <f>Fluoro!G269</f>
        <v>0</v>
      </c>
      <c r="H5" s="604" t="str">
        <f>Fluoro!H269</f>
        <v/>
      </c>
      <c r="I5" s="604">
        <f>Fluoro!I269</f>
        <v>0</v>
      </c>
      <c r="J5" s="604">
        <f>Fluoro!J269</f>
        <v>0</v>
      </c>
      <c r="K5" s="605" t="str">
        <f>Fluoro!K269</f>
        <v xml:space="preserve">Auto </v>
      </c>
      <c r="L5" s="605">
        <f>Fluoro!L269</f>
        <v>0</v>
      </c>
      <c r="M5" s="605">
        <f>Fluoro!M269</f>
        <v>0</v>
      </c>
    </row>
    <row r="6" spans="1:13" ht="14.1" customHeight="1" x14ac:dyDescent="0.25">
      <c r="A6" s="3">
        <v>6</v>
      </c>
      <c r="B6" s="10"/>
      <c r="C6" s="190" t="str">
        <f>Fluoro!C270</f>
        <v>(cm)</v>
      </c>
      <c r="D6" s="190" t="str">
        <f>Fluoro!D270</f>
        <v>(cm)</v>
      </c>
      <c r="E6" s="191" t="str">
        <f>Fluoro!E270</f>
        <v>kVp</v>
      </c>
      <c r="F6" s="192" t="str">
        <f>Fluoro!F270</f>
        <v>mA</v>
      </c>
      <c r="G6" s="193" t="s">
        <v>404</v>
      </c>
      <c r="H6" s="191" t="str">
        <f>Fluoro!H270</f>
        <v>kVp</v>
      </c>
      <c r="I6" s="192" t="str">
        <f>Fluoro!I270</f>
        <v>mA</v>
      </c>
      <c r="J6" s="193" t="s">
        <v>404</v>
      </c>
      <c r="K6" s="191" t="str">
        <f>Fluoro!K270</f>
        <v>kVp</v>
      </c>
      <c r="L6" s="192" t="str">
        <f>Fluoro!L270</f>
        <v>mA</v>
      </c>
      <c r="M6" s="44" t="s">
        <v>404</v>
      </c>
    </row>
    <row r="7" spans="1:13" ht="14.1" customHeight="1" x14ac:dyDescent="0.25">
      <c r="A7" s="3">
        <v>7</v>
      </c>
      <c r="B7" s="10"/>
      <c r="C7" s="637"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37">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37">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37"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37">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37">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37"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37">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37">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37"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37">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37">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37"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37">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37">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567"/>
    </row>
    <row r="35" spans="1:13" ht="14.1" customHeight="1" x14ac:dyDescent="0.25">
      <c r="A35" s="3">
        <v>35</v>
      </c>
      <c r="B35" s="10"/>
      <c r="C35" s="345" t="str">
        <f>Fluoro!C333</f>
        <v>Patient Entrance Exposure Rate – Digital Acquisition</v>
      </c>
      <c r="D35" s="135"/>
      <c r="E35" s="135"/>
      <c r="F35" s="135"/>
      <c r="G35" s="135"/>
      <c r="H35" s="226" t="str">
        <f>Fluoro!H267</f>
        <v>Test equipment:</v>
      </c>
      <c r="I35" s="572" t="str">
        <f>Fluoro!I267</f>
        <v>Radcal 90-2123</v>
      </c>
      <c r="J35" s="226" t="str">
        <f>Fluoro!J267</f>
        <v>Calibration date:</v>
      </c>
      <c r="K35" s="573">
        <f>Fluoro!K267</f>
        <v>44540</v>
      </c>
      <c r="L35" s="226" t="str">
        <f>Fluoro!L267</f>
        <v>Calibration due:</v>
      </c>
      <c r="M35" s="574">
        <f>Fluoro!M267</f>
        <v>44905</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604" t="str">
        <f>Fluoro!E335</f>
        <v>Auto 1</v>
      </c>
      <c r="F37" s="604">
        <f>Fluoro!F335</f>
        <v>0</v>
      </c>
      <c r="G37" s="604">
        <f>Fluoro!G335</f>
        <v>0</v>
      </c>
      <c r="H37" s="604" t="str">
        <f>Fluoro!H335</f>
        <v/>
      </c>
      <c r="I37" s="604">
        <f>Fluoro!I335</f>
        <v>0</v>
      </c>
      <c r="J37" s="604">
        <f>Fluoro!J335</f>
        <v>0</v>
      </c>
      <c r="K37" s="605" t="str">
        <f>Fluoro!K335</f>
        <v xml:space="preserve">Auto </v>
      </c>
      <c r="L37" s="605">
        <f>Fluoro!L335</f>
        <v>0</v>
      </c>
      <c r="M37" s="605">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404</v>
      </c>
      <c r="H38" s="191" t="str">
        <f>Fluoro!H336</f>
        <v>kVp</v>
      </c>
      <c r="I38" s="192" t="str">
        <f>Fluoro!I336</f>
        <v>mA</v>
      </c>
      <c r="J38" s="193" t="s">
        <v>404</v>
      </c>
      <c r="K38" s="191" t="str">
        <f>Fluoro!K336</f>
        <v>kVp</v>
      </c>
      <c r="L38" s="192" t="str">
        <f>Fluoro!L336</f>
        <v>mA</v>
      </c>
      <c r="M38" s="44" t="s">
        <v>404</v>
      </c>
    </row>
    <row r="39" spans="1:13" ht="14.1" customHeight="1" thickBot="1" x14ac:dyDescent="0.3">
      <c r="A39" s="3">
        <v>39</v>
      </c>
      <c r="B39" s="10"/>
      <c r="C39" s="637"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37">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37">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37"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37">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37">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37"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37">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37">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37"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37">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37">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37"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37">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37">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38"/>
      <c r="D60"/>
      <c r="E60"/>
      <c r="F60"/>
      <c r="G60"/>
      <c r="H60"/>
      <c r="I60"/>
      <c r="J60"/>
      <c r="K60"/>
      <c r="L60"/>
      <c r="M60" s="568"/>
    </row>
    <row r="61" spans="1:13" ht="14.1" customHeight="1" x14ac:dyDescent="0.25">
      <c r="A61" s="3">
        <v>61</v>
      </c>
      <c r="B61" s="10"/>
      <c r="C61" s="638"/>
      <c r="D61"/>
      <c r="E61"/>
      <c r="F61"/>
      <c r="G61"/>
      <c r="H61"/>
      <c r="I61"/>
      <c r="J61"/>
      <c r="K61"/>
      <c r="L61"/>
      <c r="M61" s="568"/>
    </row>
    <row r="62" spans="1:13" ht="14.1" customHeight="1" x14ac:dyDescent="0.25">
      <c r="A62" s="3">
        <v>62</v>
      </c>
      <c r="B62" s="10"/>
      <c r="C62"/>
      <c r="D62"/>
      <c r="E62"/>
      <c r="F62"/>
      <c r="G62"/>
      <c r="H62"/>
      <c r="I62"/>
      <c r="J62"/>
      <c r="K62"/>
      <c r="L62"/>
      <c r="M62" s="568"/>
    </row>
    <row r="63" spans="1:13" ht="14.1" customHeight="1" x14ac:dyDescent="0.25">
      <c r="A63" s="3">
        <v>63</v>
      </c>
      <c r="B63" s="10"/>
      <c r="C63"/>
      <c r="D63"/>
      <c r="E63"/>
      <c r="F63"/>
      <c r="G63"/>
      <c r="H63"/>
      <c r="I63"/>
      <c r="J63"/>
      <c r="K63"/>
      <c r="L63"/>
      <c r="M63" s="568"/>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76</v>
      </c>
      <c r="D66" s="67" t="str">
        <f>Fluoro!D330</f>
        <v/>
      </c>
      <c r="E66" s="1"/>
      <c r="F66" s="1"/>
      <c r="G66" s="1"/>
      <c r="H66" s="1"/>
      <c r="I66" s="1"/>
      <c r="J66" s="1"/>
      <c r="K66" s="1"/>
      <c r="L66" s="2" t="s">
        <v>23</v>
      </c>
      <c r="M66" s="68" t="str">
        <f>Fluoro!M330</f>
        <v/>
      </c>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17">
    <mergeCell ref="C60:C61"/>
    <mergeCell ref="C39:C41"/>
    <mergeCell ref="C42:C44"/>
    <mergeCell ref="C45:C47"/>
    <mergeCell ref="C48:C50"/>
    <mergeCell ref="C51:C53"/>
    <mergeCell ref="E37:G37"/>
    <mergeCell ref="H37:J37"/>
    <mergeCell ref="K37:M37"/>
    <mergeCell ref="C13:C15"/>
    <mergeCell ref="C16:C18"/>
    <mergeCell ref="C19:C21"/>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43"/>
  <sheetViews>
    <sheetView topLeftCell="A40" zoomScale="75" zoomScaleNormal="75" workbookViewId="0">
      <selection activeCell="D66" sqref="D66"/>
    </sheetView>
  </sheetViews>
  <sheetFormatPr defaultRowHeight="15.75" x14ac:dyDescent="0.25"/>
  <cols>
    <col min="1" max="28" width="10.625" style="1" customWidth="1"/>
  </cols>
  <sheetData>
    <row r="1" spans="1:28" ht="12.75" customHeight="1" x14ac:dyDescent="0.2">
      <c r="A1" s="639" t="s">
        <v>405</v>
      </c>
      <c r="B1" s="639"/>
      <c r="N1" s="278"/>
      <c r="O1" s="613" t="str">
        <f>Fluoro!O105</f>
        <v>Patient Entrance Exposure Rate (Fluoroscopy)*</v>
      </c>
      <c r="P1" s="613"/>
      <c r="Q1" s="613"/>
      <c r="R1" s="613" t="s">
        <v>406</v>
      </c>
      <c r="S1" s="613"/>
      <c r="T1" s="613"/>
      <c r="V1" s="278"/>
      <c r="W1" s="613" t="str">
        <f>Fluoro!O137</f>
        <v>Patient Entrance Exposure Rate – Digital Acquisition</v>
      </c>
      <c r="X1" s="613"/>
      <c r="Y1" s="613"/>
      <c r="Z1" s="613" t="s">
        <v>406</v>
      </c>
      <c r="AA1" s="613"/>
      <c r="AB1" s="613"/>
    </row>
    <row r="2" spans="1:28" ht="12.75" customHeight="1" x14ac:dyDescent="0.2">
      <c r="A2" s="279">
        <v>1</v>
      </c>
      <c r="B2" s="203" t="s">
        <v>340</v>
      </c>
      <c r="N2" s="278"/>
      <c r="O2" s="280" t="s">
        <v>227</v>
      </c>
      <c r="P2" s="280" t="s">
        <v>407</v>
      </c>
      <c r="Q2" s="281" t="s">
        <v>408</v>
      </c>
      <c r="R2" s="280" t="s">
        <v>227</v>
      </c>
      <c r="S2" s="280" t="s">
        <v>407</v>
      </c>
      <c r="T2" s="280" t="s">
        <v>408</v>
      </c>
      <c r="V2" s="278"/>
      <c r="W2" s="280" t="s">
        <v>227</v>
      </c>
      <c r="X2" s="280" t="s">
        <v>407</v>
      </c>
      <c r="Y2" s="281" t="s">
        <v>408</v>
      </c>
      <c r="Z2" s="280" t="s">
        <v>227</v>
      </c>
      <c r="AA2" s="280" t="s">
        <v>407</v>
      </c>
      <c r="AB2" s="280" t="s">
        <v>408</v>
      </c>
    </row>
    <row r="3" spans="1:28" ht="12.75" customHeight="1" x14ac:dyDescent="0.2">
      <c r="A3" s="279">
        <v>2</v>
      </c>
      <c r="B3" s="203" t="s">
        <v>343</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344</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345</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39" t="s">
        <v>409</v>
      </c>
      <c r="B7" s="639"/>
      <c r="D7" s="203" t="s">
        <v>410</v>
      </c>
      <c r="E7" s="203"/>
      <c r="F7" s="203">
        <v>65</v>
      </c>
      <c r="G7" s="203">
        <v>70</v>
      </c>
      <c r="H7" s="203">
        <v>75</v>
      </c>
      <c r="I7" s="203">
        <v>80</v>
      </c>
      <c r="J7" s="203" t="s">
        <v>411</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412</v>
      </c>
      <c r="O18" s="286">
        <f>IF(Fluoro!Q124="",NA(),Fluoro!Q124)</f>
        <v>0</v>
      </c>
      <c r="P18" s="286" t="e">
        <f>IF(OR(Fluoro!R124="",Fluoro!S124=""),NA(),Fluoro!S124/Fluoro!R124)</f>
        <v>#DIV/0!</v>
      </c>
      <c r="Q18" s="287" t="e">
        <f>NA()</f>
        <v>#N/A</v>
      </c>
      <c r="R18" s="278"/>
      <c r="S18" s="278"/>
      <c r="T18" s="278"/>
      <c r="V18" s="285" t="s">
        <v>412</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413</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414</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412</v>
      </c>
      <c r="O34" s="286">
        <f>IF(Fluoro!T124="",NA(),Fluoro!T124)</f>
        <v>0</v>
      </c>
      <c r="P34" s="286" t="e">
        <f>IF(OR(Fluoro!U124="",Fluoro!V124=""),NA(),Fluoro!V124/Fluoro!U124)</f>
        <v>#DIV/0!</v>
      </c>
      <c r="Q34" s="287" t="e">
        <f>NA()</f>
        <v>#N/A</v>
      </c>
      <c r="R34" s="278"/>
      <c r="S34" s="278"/>
      <c r="T34" s="278"/>
      <c r="V34" s="285" t="s">
        <v>412</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346</v>
      </c>
      <c r="B46" s="289" t="s">
        <v>415</v>
      </c>
      <c r="C46" s="203" t="s">
        <v>416</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349</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350</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351</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352</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412</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412</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353</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354</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355</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356</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357</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358</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359</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360</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417</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349</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350</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351</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352</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353</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354</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355</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356</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357</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358</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359</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360</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222</v>
      </c>
    </row>
    <row r="75" spans="1:19" ht="12.75" customHeight="1" x14ac:dyDescent="0.25">
      <c r="B75" s="1" t="s">
        <v>418</v>
      </c>
      <c r="E75" s="613" t="s">
        <v>419</v>
      </c>
      <c r="F75" s="613"/>
      <c r="I75" s="613" t="s">
        <v>420</v>
      </c>
      <c r="J75" s="613"/>
    </row>
    <row r="76" spans="1:19" ht="12.75" customHeight="1" x14ac:dyDescent="0.25">
      <c r="B76" s="1" t="s">
        <v>421</v>
      </c>
      <c r="E76" s="1" t="s">
        <v>148</v>
      </c>
      <c r="F76" s="1" t="s">
        <v>421</v>
      </c>
      <c r="G76" s="1" t="s">
        <v>422</v>
      </c>
      <c r="I76" s="1" t="s">
        <v>228</v>
      </c>
      <c r="J76" s="1" t="s">
        <v>231</v>
      </c>
    </row>
    <row r="77" spans="1:19" ht="12.75" customHeight="1" x14ac:dyDescent="0.25">
      <c r="A77" s="1" t="s">
        <v>165</v>
      </c>
      <c r="B77" s="1" t="s">
        <v>423</v>
      </c>
      <c r="D77" s="1" t="s">
        <v>165</v>
      </c>
      <c r="E77" s="1" t="s">
        <v>423</v>
      </c>
      <c r="F77" s="1" t="s">
        <v>423</v>
      </c>
      <c r="G77" s="1" t="s">
        <v>423</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424</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167</v>
      </c>
      <c r="C95" s="223" t="s">
        <v>167</v>
      </c>
      <c r="D95" s="223" t="s">
        <v>167</v>
      </c>
      <c r="E95" s="223" t="s">
        <v>167</v>
      </c>
      <c r="F95" s="223" t="s">
        <v>167</v>
      </c>
      <c r="G95" s="223" t="s">
        <v>167</v>
      </c>
      <c r="H95" s="223" t="s">
        <v>167</v>
      </c>
      <c r="I95" s="223" t="s">
        <v>167</v>
      </c>
      <c r="J95" s="223" t="s">
        <v>167</v>
      </c>
      <c r="K95" s="223" t="s">
        <v>167</v>
      </c>
      <c r="L95" s="223" t="s">
        <v>167</v>
      </c>
      <c r="M95" s="223" t="s">
        <v>167</v>
      </c>
      <c r="N95" s="223" t="s">
        <v>167</v>
      </c>
      <c r="O95" s="223" t="s">
        <v>167</v>
      </c>
      <c r="P95" s="223" t="s">
        <v>167</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425</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167</v>
      </c>
      <c r="C103" s="223" t="s">
        <v>167</v>
      </c>
      <c r="D103" s="223" t="s">
        <v>167</v>
      </c>
      <c r="E103" s="223" t="s">
        <v>167</v>
      </c>
      <c r="F103" s="223" t="s">
        <v>167</v>
      </c>
      <c r="G103" s="223" t="s">
        <v>167</v>
      </c>
      <c r="H103" s="223" t="s">
        <v>167</v>
      </c>
      <c r="I103" s="223" t="s">
        <v>167</v>
      </c>
      <c r="J103" s="223" t="s">
        <v>167</v>
      </c>
      <c r="K103" s="223" t="s">
        <v>167</v>
      </c>
      <c r="L103" s="223" t="s">
        <v>167</v>
      </c>
      <c r="M103" s="223" t="s">
        <v>167</v>
      </c>
      <c r="N103" s="223" t="s">
        <v>167</v>
      </c>
      <c r="O103" s="223" t="s">
        <v>167</v>
      </c>
      <c r="P103" s="223" t="s">
        <v>167</v>
      </c>
    </row>
    <row r="104" spans="1:16" ht="12.75" customHeight="1" x14ac:dyDescent="0.25">
      <c r="A104" s="223" t="str">
        <f>Fluoro!$P$139</f>
        <v>Attenuator</v>
      </c>
      <c r="B104" s="223" t="str">
        <f>IF(MAX(Fluoro!$S$141:$S$143)=0,"Not Avail.",Fluoro!$Q$107)</f>
        <v>Not Avail.</v>
      </c>
      <c r="C104" s="223" t="str">
        <f>IF(MAX(Fluoro!$S$144:$S$146)=0,"Not Avail.",Fluoro!$Q$107)</f>
        <v>Not Avail.</v>
      </c>
      <c r="D104" s="223" t="str">
        <f>IF(MAX(Fluoro!$S$147:$S$149)=0,"Not Avail.",Fluoro!$Q$107)</f>
        <v>Not Avail.</v>
      </c>
      <c r="E104" s="223" t="str">
        <f>IF(MAX(Fluoro!$S$150:$S$152)=0,"Not Avail.",Fluoro!$Q$107)</f>
        <v>Not Avail.</v>
      </c>
      <c r="F104" s="223" t="str">
        <f>IF(MAX(Fluoro!$S$153:$S$155)=0,"Not Avail.",Fluoro!$Q$107)</f>
        <v>Not Avail.</v>
      </c>
      <c r="G104" s="223" t="str">
        <f>IF(MAX(Fluoro!$V$141:$V$143)=0,"Not Avail.",Fluoro!$T$107)</f>
        <v>Not Avail.</v>
      </c>
      <c r="H104" s="223" t="str">
        <f>IF(MAX(Fluoro!$V$144:$V$146)=0,"Not Avail.",Fluoro!$T$107)</f>
        <v>Not Avail.</v>
      </c>
      <c r="I104" s="223" t="str">
        <f>IF(MAX(Fluoro!$V$147:$V$149)=0,"Not Avail.",Fluoro!$T$107)</f>
        <v>Not Avail.</v>
      </c>
      <c r="J104" s="223" t="str">
        <f>IF(MAX(Fluoro!$V$150:$V$152)=0,"Not Avail.",Fluoro!$T$107)</f>
        <v>Not Avail.</v>
      </c>
      <c r="K104" s="223" t="str">
        <f>IF(MAX(Fluoro!$V$153:$V$155)=0,"Not Avail.",Fluoro!$T$107)</f>
        <v>Not Avail.</v>
      </c>
      <c r="L104" s="223" t="str">
        <f>IF(MAX(Fluoro!$Y$141:$Y$143)=0,"Not Avail.",Fluoro!$W$107)</f>
        <v>Not Avail.</v>
      </c>
      <c r="M104" s="223" t="str">
        <f>IF(MAX(Fluoro!$Y$144:$Y$146)=0,"Not Avail.",Fluoro!$W$107)</f>
        <v>Not Avail.</v>
      </c>
      <c r="N104" s="223" t="str">
        <f>IF(MAX(Fluoro!$Y$147:$Y$149)=0,"Not Avail.",Fluoro!$W$107)</f>
        <v>Not Avail.</v>
      </c>
      <c r="O104" s="223" t="str">
        <f>IF(MAX(Fluoro!$Y$150:$Y$152)=0,"Not Avail.",Fluoro!$W$107)</f>
        <v>Not Avail.</v>
      </c>
      <c r="P104" s="223" t="str">
        <f>IF(MAX(Fluoro!$Y$153:$Y$155)=0,"Not Avail.",Fluoro!$W$107)</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426</v>
      </c>
      <c r="B110" s="223"/>
      <c r="C110" s="223"/>
      <c r="D110" s="223"/>
      <c r="E110" s="223"/>
      <c r="F110" s="223"/>
      <c r="G110" s="223"/>
      <c r="H110" s="223"/>
      <c r="I110" s="223"/>
      <c r="J110" s="223"/>
      <c r="K110" s="223"/>
      <c r="L110" s="223"/>
      <c r="M110" s="223"/>
      <c r="N110" s="223"/>
      <c r="O110" s="223"/>
    </row>
    <row r="111" spans="1:16" ht="12.75" customHeight="1" x14ac:dyDescent="0.25">
      <c r="A111" s="223"/>
      <c r="B111" s="1" t="s">
        <v>312</v>
      </c>
      <c r="F111" s="223"/>
      <c r="G111" s="223"/>
      <c r="H111" s="223"/>
      <c r="I111" s="223"/>
      <c r="J111" s="223"/>
      <c r="K111" s="223"/>
      <c r="L111" s="223"/>
      <c r="M111" s="223"/>
      <c r="N111" s="223"/>
      <c r="O111" s="223"/>
    </row>
    <row r="112" spans="1:16" ht="12.75" customHeight="1" x14ac:dyDescent="0.25">
      <c r="A112" s="223" t="s">
        <v>427</v>
      </c>
      <c r="B112" s="223">
        <v>1</v>
      </c>
      <c r="C112" s="223"/>
      <c r="D112" s="223"/>
      <c r="E112" s="223"/>
      <c r="F112" s="223"/>
      <c r="G112" s="223"/>
      <c r="H112" s="223"/>
      <c r="I112" s="223"/>
      <c r="J112" s="223"/>
      <c r="K112" s="223"/>
      <c r="L112" s="223"/>
      <c r="M112" s="223"/>
      <c r="N112" s="223"/>
      <c r="O112" s="223"/>
    </row>
    <row r="113" spans="1:15" ht="12.75" customHeight="1" x14ac:dyDescent="0.25">
      <c r="A113" s="223" t="s">
        <v>428</v>
      </c>
      <c r="B113" s="223">
        <v>10</v>
      </c>
      <c r="C113" s="223"/>
      <c r="D113" s="223"/>
      <c r="E113" s="223"/>
      <c r="F113" s="223"/>
      <c r="G113" s="223"/>
      <c r="H113" s="223"/>
      <c r="I113" s="223"/>
      <c r="J113" s="223"/>
      <c r="K113" s="223"/>
      <c r="L113" s="223"/>
      <c r="M113" s="223"/>
      <c r="N113" s="223"/>
      <c r="O113" s="223"/>
    </row>
    <row r="114" spans="1:15" ht="12.75" customHeight="1" x14ac:dyDescent="0.25">
      <c r="A114" s="223" t="s">
        <v>429</v>
      </c>
      <c r="B114" s="223">
        <v>100</v>
      </c>
      <c r="C114" s="223"/>
      <c r="D114" s="223"/>
      <c r="E114" s="223"/>
      <c r="F114" s="223"/>
      <c r="G114" s="223"/>
      <c r="H114" s="223"/>
      <c r="I114" s="223"/>
      <c r="J114" s="223"/>
      <c r="K114" s="223"/>
      <c r="L114" s="223"/>
      <c r="M114" s="223"/>
      <c r="N114" s="223"/>
      <c r="O114" s="223"/>
    </row>
    <row r="115" spans="1:15" ht="12.75" customHeight="1" x14ac:dyDescent="0.25">
      <c r="A115" s="223" t="s">
        <v>430</v>
      </c>
      <c r="B115" s="223">
        <v>0.01</v>
      </c>
      <c r="C115" s="223"/>
      <c r="D115" s="223"/>
      <c r="E115" s="223"/>
      <c r="F115" s="223"/>
      <c r="G115" s="223"/>
      <c r="H115" s="223"/>
      <c r="I115" s="223"/>
      <c r="J115" s="223"/>
      <c r="K115" s="223"/>
      <c r="L115" s="223"/>
      <c r="M115" s="223"/>
      <c r="N115" s="223"/>
      <c r="O115" s="223"/>
    </row>
    <row r="116" spans="1:15" ht="12.75" customHeight="1" x14ac:dyDescent="0.25">
      <c r="A116" s="1" t="s">
        <v>312</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1"/>
  <sheetViews>
    <sheetView zoomScaleNormal="100" workbookViewId="0">
      <selection activeCell="M1" sqref="M1:AF11"/>
    </sheetView>
  </sheetViews>
  <sheetFormatPr defaultRowHeight="15.75" x14ac:dyDescent="0.25"/>
  <cols>
    <col min="1" max="1025" width="10.625" customWidth="1"/>
  </cols>
  <sheetData>
    <row r="1" spans="1:32" x14ac:dyDescent="0.25">
      <c r="A1" s="80" t="s">
        <v>155</v>
      </c>
      <c r="B1" s="1"/>
      <c r="C1" s="1"/>
      <c r="D1" s="1"/>
      <c r="E1" s="1"/>
      <c r="F1" s="1"/>
      <c r="G1" s="1"/>
      <c r="H1" s="1"/>
      <c r="I1" s="1"/>
      <c r="J1" s="1"/>
      <c r="K1" s="14"/>
      <c r="M1" s="640" t="s">
        <v>459</v>
      </c>
      <c r="N1" s="581"/>
      <c r="O1" s="581"/>
      <c r="P1" s="581"/>
      <c r="Q1" s="581"/>
      <c r="R1" s="581"/>
      <c r="S1" s="581"/>
      <c r="T1" s="581"/>
      <c r="U1" s="640" t="s">
        <v>459</v>
      </c>
      <c r="V1" s="581"/>
      <c r="W1" s="581"/>
      <c r="X1" s="581"/>
      <c r="Y1" s="581"/>
      <c r="Z1" s="581"/>
      <c r="AA1" s="581"/>
      <c r="AB1" s="581"/>
      <c r="AC1" s="581"/>
      <c r="AD1" s="581"/>
      <c r="AE1" s="581"/>
      <c r="AF1" s="581"/>
    </row>
    <row r="2" spans="1:32" x14ac:dyDescent="0.25">
      <c r="A2" s="81" t="s">
        <v>158</v>
      </c>
      <c r="B2" s="14" t="str">
        <f>IF($R$100=1,"Acrylic","Aluminum")</f>
        <v>Aluminum</v>
      </c>
      <c r="C2" s="47" t="str">
        <f>Fluoro!Q106</f>
        <v/>
      </c>
      <c r="D2" s="48"/>
      <c r="E2" s="14"/>
      <c r="F2" s="47" t="str">
        <f>Fluoro!T106</f>
        <v/>
      </c>
      <c r="G2" s="48"/>
      <c r="H2" s="14"/>
      <c r="I2" s="47" t="str">
        <f>Fluoro!W106</f>
        <v/>
      </c>
      <c r="J2" s="48"/>
      <c r="K2" s="14"/>
      <c r="M2" s="581"/>
      <c r="N2" s="581"/>
      <c r="O2" s="581"/>
      <c r="P2" s="581"/>
      <c r="Q2" s="581"/>
      <c r="R2" s="581"/>
      <c r="S2" s="581"/>
      <c r="T2" s="581"/>
      <c r="U2" s="581"/>
      <c r="V2" s="581"/>
      <c r="W2" s="581"/>
      <c r="X2" s="581"/>
      <c r="Y2" s="581"/>
      <c r="Z2" s="581"/>
      <c r="AA2" s="581"/>
      <c r="AB2" s="581"/>
      <c r="AC2" s="581"/>
      <c r="AD2" s="581"/>
      <c r="AE2" s="581"/>
      <c r="AF2" s="581"/>
    </row>
    <row r="3" spans="1:32" x14ac:dyDescent="0.25">
      <c r="A3" s="81" t="s">
        <v>161</v>
      </c>
      <c r="B3" s="14" t="s">
        <v>162</v>
      </c>
      <c r="C3" s="1"/>
      <c r="D3" s="1"/>
      <c r="E3" s="14"/>
      <c r="F3" s="1"/>
      <c r="G3" s="1"/>
      <c r="H3" s="14"/>
      <c r="I3" s="1"/>
      <c r="J3" s="1"/>
      <c r="K3" s="14"/>
      <c r="M3" s="641" t="s">
        <v>460</v>
      </c>
      <c r="N3" s="641" t="s">
        <v>461</v>
      </c>
      <c r="O3" s="641" t="s">
        <v>462</v>
      </c>
      <c r="P3" s="641" t="s">
        <v>463</v>
      </c>
      <c r="Q3" s="641" t="s">
        <v>464</v>
      </c>
      <c r="R3" s="641" t="s">
        <v>465</v>
      </c>
      <c r="S3" s="581"/>
      <c r="T3" s="581"/>
      <c r="U3" s="641" t="s">
        <v>460</v>
      </c>
      <c r="V3" s="641" t="s">
        <v>461</v>
      </c>
      <c r="W3" s="641" t="s">
        <v>462</v>
      </c>
      <c r="X3" s="641" t="s">
        <v>463</v>
      </c>
      <c r="Y3" s="641" t="s">
        <v>464</v>
      </c>
      <c r="Z3" s="641" t="s">
        <v>465</v>
      </c>
      <c r="AA3" s="641" t="s">
        <v>466</v>
      </c>
      <c r="AB3" s="641" t="s">
        <v>467</v>
      </c>
      <c r="AC3" s="641" t="s">
        <v>468</v>
      </c>
      <c r="AD3" s="641" t="s">
        <v>469</v>
      </c>
      <c r="AE3" s="641" t="s">
        <v>470</v>
      </c>
      <c r="AF3" s="641" t="s">
        <v>471</v>
      </c>
    </row>
    <row r="4" spans="1:32" x14ac:dyDescent="0.25">
      <c r="A4" s="81" t="str">
        <f>IF(Fluoro!O104="","","("&amp;Fluoro!O104&amp;")")</f>
        <v>(cm)</v>
      </c>
      <c r="B4" s="23" t="s">
        <v>164</v>
      </c>
      <c r="C4" s="1" t="s">
        <v>165</v>
      </c>
      <c r="D4" s="1" t="s">
        <v>166</v>
      </c>
      <c r="E4" s="14" t="s">
        <v>431</v>
      </c>
      <c r="F4" s="1" t="s">
        <v>165</v>
      </c>
      <c r="G4" s="1" t="s">
        <v>166</v>
      </c>
      <c r="H4" s="14" t="s">
        <v>431</v>
      </c>
      <c r="I4" s="1" t="s">
        <v>165</v>
      </c>
      <c r="J4" s="1" t="s">
        <v>166</v>
      </c>
      <c r="K4" s="14" t="s">
        <v>431</v>
      </c>
      <c r="M4" s="581">
        <v>60</v>
      </c>
      <c r="N4" s="581"/>
      <c r="O4" s="581"/>
      <c r="P4" s="581"/>
      <c r="Q4" s="581"/>
      <c r="R4" s="581"/>
      <c r="S4" s="581"/>
      <c r="T4" s="581"/>
      <c r="U4" s="581">
        <v>60</v>
      </c>
      <c r="V4" s="581"/>
      <c r="W4" s="581"/>
      <c r="X4" s="581"/>
      <c r="Y4" s="581"/>
      <c r="Z4" s="581"/>
      <c r="AA4" s="581"/>
      <c r="AB4" s="581"/>
      <c r="AC4" s="581"/>
      <c r="AD4" s="581"/>
      <c r="AE4" s="581"/>
      <c r="AF4" s="581"/>
    </row>
    <row r="5" spans="1:32" x14ac:dyDescent="0.25">
      <c r="A5" s="82" t="s">
        <v>169</v>
      </c>
      <c r="B5" s="82">
        <v>10</v>
      </c>
      <c r="C5" s="83"/>
      <c r="D5" s="84"/>
      <c r="E5" s="85"/>
      <c r="F5" s="83"/>
      <c r="G5" s="84"/>
      <c r="H5" s="85"/>
      <c r="I5" s="83"/>
      <c r="J5" s="84"/>
      <c r="K5" s="85"/>
      <c r="M5" s="581">
        <v>80</v>
      </c>
      <c r="N5" s="581"/>
      <c r="O5" s="581"/>
      <c r="P5" s="581"/>
      <c r="Q5" s="581"/>
      <c r="R5" s="581"/>
      <c r="S5" s="581"/>
      <c r="T5" s="581"/>
      <c r="U5" s="581">
        <v>80</v>
      </c>
      <c r="V5" s="581"/>
      <c r="W5" s="581"/>
      <c r="X5" s="581"/>
      <c r="Y5" s="581"/>
      <c r="Z5" s="581"/>
      <c r="AA5" s="581"/>
      <c r="AB5" s="581"/>
      <c r="AC5" s="581"/>
      <c r="AD5" s="581"/>
      <c r="AE5" s="581"/>
      <c r="AF5" s="581"/>
    </row>
    <row r="6" spans="1:32" x14ac:dyDescent="0.25">
      <c r="A6" s="86" t="str">
        <f>Fluoro!O110</f>
        <v/>
      </c>
      <c r="B6" s="81">
        <v>20</v>
      </c>
      <c r="C6" s="87"/>
      <c r="D6" s="88"/>
      <c r="E6" s="89"/>
      <c r="F6" s="87"/>
      <c r="G6" s="88"/>
      <c r="H6" s="89"/>
      <c r="I6" s="87"/>
      <c r="J6" s="88"/>
      <c r="K6" s="89"/>
      <c r="M6" s="581">
        <v>80</v>
      </c>
      <c r="N6" s="581"/>
      <c r="O6" s="581"/>
      <c r="P6" s="581"/>
      <c r="Q6" s="581"/>
      <c r="R6" s="581"/>
      <c r="S6" s="581"/>
      <c r="T6" s="581"/>
      <c r="U6" s="581">
        <v>80</v>
      </c>
      <c r="V6" s="581"/>
      <c r="W6" s="581"/>
      <c r="X6" s="581"/>
      <c r="Y6" s="581"/>
      <c r="Z6" s="581"/>
      <c r="AA6" s="581"/>
      <c r="AB6" s="581"/>
      <c r="AC6" s="581"/>
      <c r="AD6" s="581"/>
      <c r="AE6" s="581"/>
      <c r="AF6" s="581"/>
    </row>
    <row r="7" spans="1:32" x14ac:dyDescent="0.25">
      <c r="A7" s="90"/>
      <c r="B7" s="91">
        <v>30</v>
      </c>
      <c r="C7" s="92"/>
      <c r="D7" s="93"/>
      <c r="E7" s="94"/>
      <c r="F7" s="92"/>
      <c r="G7" s="93"/>
      <c r="H7" s="94"/>
      <c r="I7" s="92"/>
      <c r="J7" s="93"/>
      <c r="K7" s="94"/>
      <c r="M7" s="581">
        <v>80</v>
      </c>
      <c r="N7" s="581"/>
      <c r="O7" s="581"/>
      <c r="P7" s="581"/>
      <c r="Q7" s="581"/>
      <c r="R7" s="581"/>
      <c r="S7" s="581"/>
      <c r="T7" s="581"/>
      <c r="U7" s="581">
        <v>80</v>
      </c>
      <c r="V7" s="581"/>
      <c r="W7" s="581"/>
      <c r="X7" s="581"/>
      <c r="Y7" s="581"/>
      <c r="Z7" s="581"/>
      <c r="AA7" s="581"/>
      <c r="AB7" s="581"/>
      <c r="AC7" s="581"/>
      <c r="AD7" s="581"/>
      <c r="AE7" s="581"/>
      <c r="AF7" s="581"/>
    </row>
    <row r="8" spans="1:32" x14ac:dyDescent="0.25">
      <c r="A8" s="82" t="s">
        <v>172</v>
      </c>
      <c r="B8" s="82">
        <v>10</v>
      </c>
      <c r="C8" s="83"/>
      <c r="D8" s="84"/>
      <c r="E8" s="85"/>
      <c r="F8" s="83"/>
      <c r="G8" s="84"/>
      <c r="H8" s="85"/>
      <c r="I8" s="83"/>
      <c r="J8" s="84"/>
      <c r="K8" s="85"/>
      <c r="M8" s="581">
        <v>80</v>
      </c>
      <c r="N8" s="581"/>
      <c r="O8" s="581"/>
      <c r="P8" s="581"/>
      <c r="Q8" s="581"/>
      <c r="R8" s="581"/>
      <c r="S8" s="581"/>
      <c r="T8" s="581"/>
      <c r="U8" s="581">
        <v>80</v>
      </c>
      <c r="V8" s="581"/>
      <c r="W8" s="581"/>
      <c r="X8" s="581"/>
      <c r="Y8" s="581"/>
      <c r="Z8" s="581"/>
      <c r="AA8" s="581"/>
      <c r="AB8" s="581"/>
      <c r="AC8" s="581"/>
      <c r="AD8" s="581"/>
      <c r="AE8" s="581"/>
      <c r="AF8" s="581"/>
    </row>
    <row r="9" spans="1:32" x14ac:dyDescent="0.25">
      <c r="A9" s="86" t="str">
        <f>Fluoro!O113</f>
        <v/>
      </c>
      <c r="B9" s="81">
        <v>20</v>
      </c>
      <c r="C9" s="87"/>
      <c r="D9" s="88"/>
      <c r="E9" s="89"/>
      <c r="F9" s="87"/>
      <c r="G9" s="88"/>
      <c r="H9" s="89"/>
      <c r="I9" s="87"/>
      <c r="J9" s="88"/>
      <c r="K9" s="89"/>
      <c r="M9" s="581">
        <v>80</v>
      </c>
      <c r="N9" s="581"/>
      <c r="O9" s="581"/>
      <c r="P9" s="581"/>
      <c r="Q9" s="581"/>
      <c r="R9" s="581"/>
      <c r="S9" s="581"/>
      <c r="T9" s="581"/>
      <c r="U9" s="581">
        <v>80</v>
      </c>
      <c r="V9" s="581"/>
      <c r="W9" s="581"/>
      <c r="X9" s="581"/>
      <c r="Y9" s="581"/>
      <c r="Z9" s="581"/>
      <c r="AA9" s="581"/>
      <c r="AB9" s="581"/>
      <c r="AC9" s="581"/>
      <c r="AD9" s="581"/>
      <c r="AE9" s="581"/>
      <c r="AF9" s="581"/>
    </row>
    <row r="10" spans="1:32" x14ac:dyDescent="0.25">
      <c r="A10" s="90"/>
      <c r="B10" s="91">
        <v>30</v>
      </c>
      <c r="C10" s="92"/>
      <c r="D10" s="93"/>
      <c r="E10" s="94"/>
      <c r="F10" s="92"/>
      <c r="G10" s="93"/>
      <c r="H10" s="94"/>
      <c r="I10" s="92"/>
      <c r="J10" s="93"/>
      <c r="K10" s="94"/>
      <c r="M10" s="581">
        <v>100</v>
      </c>
      <c r="N10" s="581"/>
      <c r="O10" s="581"/>
      <c r="P10" s="581"/>
      <c r="Q10" s="581"/>
      <c r="R10" s="581"/>
      <c r="S10" s="581"/>
      <c r="T10" s="581"/>
      <c r="U10" s="581">
        <v>100</v>
      </c>
      <c r="V10" s="581"/>
      <c r="W10" s="581"/>
      <c r="X10" s="581"/>
      <c r="Y10" s="581"/>
      <c r="Z10" s="581"/>
      <c r="AA10" s="581"/>
      <c r="AB10" s="581"/>
      <c r="AC10" s="581"/>
      <c r="AD10" s="581"/>
      <c r="AE10" s="581"/>
      <c r="AF10" s="581"/>
    </row>
    <row r="11" spans="1:32" x14ac:dyDescent="0.25">
      <c r="A11" s="82" t="s">
        <v>173</v>
      </c>
      <c r="B11" s="82">
        <v>10</v>
      </c>
      <c r="C11" s="83"/>
      <c r="D11" s="84"/>
      <c r="E11" s="85"/>
      <c r="F11" s="83"/>
      <c r="G11" s="84"/>
      <c r="H11" s="85"/>
      <c r="I11" s="83"/>
      <c r="J11" s="84"/>
      <c r="K11" s="85"/>
      <c r="M11" s="581">
        <v>120</v>
      </c>
      <c r="N11" s="581"/>
      <c r="O11" s="581"/>
      <c r="P11" s="581"/>
      <c r="Q11" s="581"/>
      <c r="R11" s="581"/>
      <c r="S11" s="581"/>
      <c r="T11" s="581"/>
      <c r="U11" s="581">
        <v>120</v>
      </c>
      <c r="V11" s="581"/>
      <c r="W11" s="581"/>
      <c r="X11" s="581"/>
      <c r="Y11" s="581"/>
      <c r="Z11" s="581"/>
      <c r="AA11" s="581"/>
      <c r="AB11" s="581"/>
      <c r="AC11" s="581"/>
      <c r="AD11" s="581"/>
      <c r="AE11" s="581"/>
      <c r="AF11" s="581"/>
    </row>
    <row r="12" spans="1:32" x14ac:dyDescent="0.25">
      <c r="A12" s="86" t="str">
        <f>Fluoro!O116</f>
        <v/>
      </c>
      <c r="B12" s="81">
        <v>20</v>
      </c>
      <c r="C12" s="87"/>
      <c r="D12" s="88"/>
      <c r="E12" s="89"/>
      <c r="F12" s="87"/>
      <c r="G12" s="88"/>
      <c r="H12" s="89"/>
      <c r="I12" s="87"/>
      <c r="J12" s="88"/>
      <c r="K12" s="89"/>
    </row>
    <row r="13" spans="1:32" x14ac:dyDescent="0.25">
      <c r="A13" s="90"/>
      <c r="B13" s="91">
        <v>30</v>
      </c>
      <c r="C13" s="92"/>
      <c r="D13" s="93"/>
      <c r="E13" s="94"/>
      <c r="F13" s="92"/>
      <c r="G13" s="93"/>
      <c r="H13" s="94"/>
      <c r="I13" s="92"/>
      <c r="J13" s="93"/>
      <c r="K13" s="94"/>
    </row>
    <row r="14" spans="1:32" x14ac:dyDescent="0.25">
      <c r="A14" s="82" t="s">
        <v>174</v>
      </c>
      <c r="B14" s="82">
        <v>10</v>
      </c>
      <c r="C14" s="83"/>
      <c r="D14" s="84"/>
      <c r="E14" s="85"/>
      <c r="F14" s="83"/>
      <c r="G14" s="84"/>
      <c r="H14" s="85"/>
      <c r="I14" s="83"/>
      <c r="J14" s="84"/>
      <c r="K14" s="85"/>
    </row>
    <row r="15" spans="1:32" x14ac:dyDescent="0.25">
      <c r="A15" s="86" t="str">
        <f>Fluoro!O119</f>
        <v/>
      </c>
      <c r="B15" s="81">
        <v>20</v>
      </c>
      <c r="C15" s="87"/>
      <c r="D15" s="88"/>
      <c r="E15" s="89"/>
      <c r="F15" s="87"/>
      <c r="G15" s="88"/>
      <c r="H15" s="89"/>
      <c r="I15" s="87"/>
      <c r="J15" s="88"/>
      <c r="K15" s="89"/>
    </row>
    <row r="16" spans="1:32" x14ac:dyDescent="0.25">
      <c r="A16" s="90"/>
      <c r="B16" s="91">
        <v>30</v>
      </c>
      <c r="C16" s="92"/>
      <c r="D16" s="93"/>
      <c r="E16" s="94"/>
      <c r="F16" s="92"/>
      <c r="G16" s="93"/>
      <c r="H16" s="94"/>
      <c r="I16" s="92"/>
      <c r="J16" s="93"/>
      <c r="K16" s="94"/>
    </row>
    <row r="17" spans="1:11" x14ac:dyDescent="0.25">
      <c r="A17" s="82" t="s">
        <v>175</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176</v>
      </c>
      <c r="C20" s="96"/>
      <c r="D20" s="97"/>
      <c r="E20" s="98"/>
      <c r="F20" s="96"/>
      <c r="G20" s="97"/>
      <c r="H20" s="98"/>
      <c r="I20" s="96"/>
      <c r="J20" s="97"/>
      <c r="K20" s="98"/>
    </row>
    <row r="22" spans="1:11" x14ac:dyDescent="0.25">
      <c r="A22" s="115" t="s">
        <v>432</v>
      </c>
      <c r="B22" s="7"/>
      <c r="C22" s="7"/>
      <c r="D22" s="7"/>
      <c r="E22" s="7"/>
      <c r="F22" s="7"/>
      <c r="G22" s="7"/>
      <c r="H22" s="7"/>
      <c r="I22" s="7"/>
      <c r="J22" s="7"/>
      <c r="K22" s="8"/>
    </row>
    <row r="23" spans="1:11" x14ac:dyDescent="0.25">
      <c r="A23" s="81" t="s">
        <v>158</v>
      </c>
      <c r="B23" s="14" t="str">
        <f>IF($R$100=1,"Acrylic","Aluminum")</f>
        <v>Aluminum</v>
      </c>
      <c r="C23" s="47" t="str">
        <f>Fluoro!Q138</f>
        <v/>
      </c>
      <c r="D23" s="48"/>
      <c r="E23" s="14"/>
      <c r="F23" s="47" t="str">
        <f>Fluoro!T138</f>
        <v/>
      </c>
      <c r="G23" s="48"/>
      <c r="H23" s="14"/>
      <c r="I23" s="47" t="str">
        <f>Fluoro!W138</f>
        <v/>
      </c>
      <c r="J23" s="48"/>
      <c r="K23" s="14"/>
    </row>
    <row r="24" spans="1:11" x14ac:dyDescent="0.25">
      <c r="A24" s="81" t="s">
        <v>161</v>
      </c>
      <c r="B24" s="14" t="s">
        <v>162</v>
      </c>
      <c r="C24" s="1"/>
      <c r="D24" s="1"/>
      <c r="E24" s="14"/>
      <c r="F24" s="1"/>
      <c r="G24" s="1"/>
      <c r="H24" s="14"/>
      <c r="I24" s="1"/>
      <c r="J24" s="1"/>
      <c r="K24" s="14"/>
    </row>
    <row r="25" spans="1:11" x14ac:dyDescent="0.25">
      <c r="A25" s="81" t="str">
        <f>IF(Fluoro!O104="","","("&amp;Fluoro!O104&amp;")")</f>
        <v>(cm)</v>
      </c>
      <c r="B25" s="23" t="s">
        <v>164</v>
      </c>
      <c r="C25" s="1" t="s">
        <v>165</v>
      </c>
      <c r="D25" s="1" t="s">
        <v>166</v>
      </c>
      <c r="E25" s="14" t="s">
        <v>431</v>
      </c>
      <c r="F25" s="1" t="s">
        <v>165</v>
      </c>
      <c r="G25" s="1" t="s">
        <v>166</v>
      </c>
      <c r="H25" s="14" t="s">
        <v>431</v>
      </c>
      <c r="I25" s="1" t="s">
        <v>165</v>
      </c>
      <c r="J25" s="1" t="s">
        <v>166</v>
      </c>
      <c r="K25" s="14" t="s">
        <v>431</v>
      </c>
    </row>
    <row r="26" spans="1:11" x14ac:dyDescent="0.25">
      <c r="A26" s="82" t="s">
        <v>169</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172</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173</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174</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175</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176</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433</v>
      </c>
      <c r="B1" s="293" t="s">
        <v>434</v>
      </c>
      <c r="C1" s="294"/>
    </row>
    <row r="2" spans="1:11" x14ac:dyDescent="0.25">
      <c r="A2" t="s">
        <v>435</v>
      </c>
      <c r="B2" s="295" t="str">
        <f>Fluoro!F13</f>
        <v/>
      </c>
      <c r="C2" s="296"/>
    </row>
    <row r="3" spans="1:11" x14ac:dyDescent="0.25">
      <c r="A3" t="s">
        <v>148</v>
      </c>
      <c r="B3" s="293" t="str">
        <f>Fluoro!D136</f>
        <v/>
      </c>
      <c r="C3" s="293" t="str">
        <f>Fluoro!H138</f>
        <v>TBD</v>
      </c>
    </row>
    <row r="4" spans="1:11" x14ac:dyDescent="0.25">
      <c r="A4" t="s">
        <v>436</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437</v>
      </c>
      <c r="B9" s="293" t="str">
        <f>Fluoro!Q107</f>
        <v>Auto 1</v>
      </c>
    </row>
    <row r="10" spans="1:11" x14ac:dyDescent="0.25">
      <c r="B10" s="293" t="str">
        <f>Fluoro!T107</f>
        <v/>
      </c>
    </row>
    <row r="11" spans="1:11" x14ac:dyDescent="0.25">
      <c r="B11" s="293" t="str">
        <f>Fluoro!W107</f>
        <v xml:space="preserve">Auto </v>
      </c>
    </row>
    <row r="12" spans="1:11" x14ac:dyDescent="0.25">
      <c r="A12" t="s">
        <v>438</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439</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437</v>
      </c>
      <c r="B28" s="293" t="str">
        <f>Fluoro!Q139</f>
        <v>Auto 1</v>
      </c>
    </row>
    <row r="29" spans="1:11" x14ac:dyDescent="0.25">
      <c r="B29" s="293" t="str">
        <f>Fluoro!T139</f>
        <v/>
      </c>
    </row>
    <row r="30" spans="1:11" x14ac:dyDescent="0.25">
      <c r="B30" s="293" t="str">
        <f>Fluoro!W139</f>
        <v xml:space="preserve">Auto </v>
      </c>
    </row>
    <row r="31" spans="1:11" x14ac:dyDescent="0.25">
      <c r="A31" t="s">
        <v>438</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439</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440</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440</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441</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346</v>
      </c>
      <c r="B82" s="293" t="s">
        <v>436</v>
      </c>
      <c r="C82" s="293" t="s">
        <v>349</v>
      </c>
      <c r="D82" s="293" t="s">
        <v>350</v>
      </c>
      <c r="E82" s="293" t="s">
        <v>351</v>
      </c>
      <c r="F82" s="293" t="s">
        <v>352</v>
      </c>
      <c r="G82" s="293" t="s">
        <v>353</v>
      </c>
      <c r="H82" s="293" t="s">
        <v>354</v>
      </c>
      <c r="I82" s="293" t="s">
        <v>355</v>
      </c>
      <c r="J82" s="293" t="s">
        <v>356</v>
      </c>
      <c r="K82" s="293" t="s">
        <v>357</v>
      </c>
      <c r="L82" s="293" t="s">
        <v>358</v>
      </c>
      <c r="M82" s="293" t="s">
        <v>359</v>
      </c>
      <c r="N82" s="293" t="s">
        <v>360</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442</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2022-04-28T14:24:39Z</dcterms:modified>
  <dc:language>en-US</dc:language>
</cp:coreProperties>
</file>