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0659397F-C29E-45CE-BE80-76CCB914D0B6}" xr6:coauthVersionLast="36" xr6:coauthVersionMax="36" xr10:uidLastSave="{00000000-0000-0000-0000-000000000000}"/>
  <bookViews>
    <workbookView xWindow="0" yWindow="0" windowWidth="18000" windowHeight="20676" activeTab="3" xr2:uid="{00000000-000D-0000-FFFF-FFFF00000000}"/>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40" i="1" l="1"/>
  <c r="G254" i="1"/>
  <c r="F240" i="1"/>
  <c r="J251" i="1"/>
  <c r="J223" i="1"/>
  <c r="J208" i="1"/>
  <c r="J207" i="1"/>
  <c r="I260" i="1"/>
  <c r="I259" i="1"/>
  <c r="I258" i="1"/>
  <c r="I257" i="1"/>
  <c r="I256" i="1"/>
  <c r="I255" i="1"/>
  <c r="I254" i="1"/>
  <c r="F254" i="1"/>
  <c r="E254" i="1"/>
  <c r="G260" i="1"/>
  <c r="F260" i="1"/>
  <c r="E260" i="1"/>
  <c r="D260" i="1"/>
  <c r="G259" i="1"/>
  <c r="F259" i="1"/>
  <c r="E259" i="1"/>
  <c r="D259" i="1"/>
  <c r="G258" i="1"/>
  <c r="D258" i="1"/>
  <c r="G257" i="1"/>
  <c r="D257" i="1"/>
  <c r="G256" i="1"/>
  <c r="E256" i="1"/>
  <c r="D256" i="1"/>
  <c r="G255" i="1"/>
  <c r="F255" i="1"/>
  <c r="E255" i="1"/>
  <c r="D255" i="1"/>
  <c r="D254" i="1"/>
  <c r="G251" i="1"/>
  <c r="D251" i="1"/>
  <c r="U287" i="1"/>
  <c r="H260" i="1" s="1"/>
  <c r="U286" i="1"/>
  <c r="U285" i="1"/>
  <c r="H258" i="1" s="1"/>
  <c r="U284" i="1"/>
  <c r="U283" i="1"/>
  <c r="H256" i="1" s="1"/>
  <c r="U282" i="1"/>
  <c r="H255" i="1" s="1"/>
  <c r="U281" i="1"/>
  <c r="U251" i="1"/>
  <c r="H226" i="1" s="1"/>
  <c r="R283" i="1"/>
  <c r="R284" i="1" s="1"/>
  <c r="R285" i="1" s="1"/>
  <c r="F258" i="1" s="1"/>
  <c r="Q283" i="1"/>
  <c r="Q284" i="1" s="1"/>
  <c r="U288" i="1" l="1"/>
  <c r="W285" i="1" s="1"/>
  <c r="J258" i="1" s="1"/>
  <c r="Q285" i="1"/>
  <c r="E258" i="1" s="1"/>
  <c r="E257" i="1"/>
  <c r="H257" i="1"/>
  <c r="H261" i="1"/>
  <c r="H254" i="1"/>
  <c r="H259" i="1"/>
  <c r="F256" i="1"/>
  <c r="F257" i="1"/>
  <c r="G247" i="1"/>
  <c r="G246" i="1"/>
  <c r="G245" i="1"/>
  <c r="G244" i="1"/>
  <c r="G242" i="1"/>
  <c r="G241" i="1"/>
  <c r="G240" i="1"/>
  <c r="W284" i="1" l="1"/>
  <c r="J257" i="1" s="1"/>
  <c r="W282" i="1"/>
  <c r="J255" i="1" s="1"/>
  <c r="W287" i="1"/>
  <c r="J260" i="1" s="1"/>
  <c r="W281" i="1"/>
  <c r="W283" i="1"/>
  <c r="J256" i="1" s="1"/>
  <c r="W286" i="1"/>
  <c r="J259" i="1" s="1"/>
  <c r="U243" i="1"/>
  <c r="H218" i="1" s="1"/>
  <c r="W288" i="1" l="1"/>
  <c r="J261" i="1" s="1"/>
  <c r="J254" i="1"/>
  <c r="U272" i="1"/>
  <c r="F247" i="1" s="1"/>
  <c r="U271" i="1"/>
  <c r="F246" i="1" s="1"/>
  <c r="U270" i="1"/>
  <c r="F245" i="1" s="1"/>
  <c r="U269" i="1"/>
  <c r="F244" i="1" s="1"/>
  <c r="U267" i="1"/>
  <c r="F242" i="1" s="1"/>
  <c r="U266" i="1"/>
  <c r="F241" i="1" s="1"/>
  <c r="U265" i="1"/>
  <c r="J165" i="1"/>
  <c r="I165" i="1"/>
  <c r="H165" i="1"/>
  <c r="G165" i="1"/>
  <c r="F165" i="1"/>
  <c r="E165" i="1"/>
  <c r="U257" i="1" l="1"/>
  <c r="H232" i="1" s="1"/>
  <c r="U256" i="1"/>
  <c r="H231" i="1" s="1"/>
  <c r="U255" i="1"/>
  <c r="H230" i="1" s="1"/>
  <c r="U254" i="1"/>
  <c r="H229" i="1" s="1"/>
  <c r="U253" i="1"/>
  <c r="H228" i="1" s="1"/>
  <c r="U252" i="1"/>
  <c r="H227" i="1" s="1"/>
  <c r="U242" i="1"/>
  <c r="H217" i="1" s="1"/>
  <c r="U241" i="1"/>
  <c r="H216" i="1" s="1"/>
  <c r="U240" i="1"/>
  <c r="H215" i="1" s="1"/>
  <c r="U239" i="1"/>
  <c r="H214" i="1" s="1"/>
  <c r="U238" i="1"/>
  <c r="H213" i="1" s="1"/>
  <c r="U237" i="1"/>
  <c r="H212" i="1" s="1"/>
  <c r="U236" i="1"/>
  <c r="H211" i="1" s="1"/>
  <c r="U469" i="1" l="1"/>
  <c r="T469" i="1"/>
  <c r="U468" i="1"/>
  <c r="T468" i="1"/>
  <c r="AF298" i="1"/>
  <c r="AE298" i="1"/>
  <c r="AF297" i="1"/>
  <c r="AE297" i="1"/>
  <c r="AF296" i="1"/>
  <c r="AE296" i="1"/>
  <c r="AF295" i="1"/>
  <c r="AE295" i="1"/>
  <c r="U426" i="1" l="1"/>
  <c r="T426" i="1"/>
  <c r="S426" i="1"/>
  <c r="R426" i="1"/>
  <c r="Q426" i="1"/>
  <c r="X413" i="1"/>
  <c r="W413" i="1"/>
  <c r="V413" i="1"/>
  <c r="U413" i="1"/>
  <c r="T413" i="1"/>
  <c r="S413" i="1"/>
  <c r="R413" i="1"/>
  <c r="Q413"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V153" i="1" l="1"/>
  <c r="U153" i="1"/>
  <c r="T153" i="1"/>
  <c r="S153" i="1"/>
  <c r="R153" i="1"/>
  <c r="Q153" i="1"/>
  <c r="V147" i="1"/>
  <c r="U147" i="1"/>
  <c r="T147" i="1"/>
  <c r="S147" i="1"/>
  <c r="R147" i="1"/>
  <c r="V146" i="1"/>
  <c r="U146" i="1"/>
  <c r="T146" i="1"/>
  <c r="S146" i="1"/>
  <c r="R146" i="1"/>
  <c r="Q147" i="1"/>
  <c r="Q146" i="1"/>
  <c r="V145" i="1"/>
  <c r="AF151" i="1" s="1"/>
  <c r="U145" i="1"/>
  <c r="AE151" i="1" s="1"/>
  <c r="T145" i="1"/>
  <c r="AD151" i="1" s="1"/>
  <c r="S145" i="1"/>
  <c r="AC151" i="1" s="1"/>
  <c r="R145" i="1"/>
  <c r="AB151" i="1" s="1"/>
  <c r="Q145" i="1"/>
  <c r="AA151" i="1" s="1"/>
  <c r="D475" i="1"/>
  <c r="M410" i="1"/>
  <c r="M409" i="1"/>
  <c r="AB154" i="1" l="1"/>
  <c r="AB155" i="1"/>
  <c r="AB153" i="1"/>
  <c r="AB156" i="1"/>
  <c r="AB152" i="1"/>
  <c r="R154" i="1" s="1"/>
  <c r="AF154" i="1"/>
  <c r="AF155" i="1"/>
  <c r="AF152" i="1"/>
  <c r="V154" i="1" s="1"/>
  <c r="AF153" i="1"/>
  <c r="AF156" i="1"/>
  <c r="AC152" i="1"/>
  <c r="S154" i="1" s="1"/>
  <c r="AC153" i="1"/>
  <c r="AC154" i="1"/>
  <c r="AC156" i="1"/>
  <c r="AC155" i="1"/>
  <c r="AD154" i="1"/>
  <c r="AD155" i="1"/>
  <c r="AD156" i="1"/>
  <c r="AD152" i="1"/>
  <c r="AD153" i="1"/>
  <c r="AA154" i="1"/>
  <c r="AA153" i="1"/>
  <c r="AA152" i="1"/>
  <c r="Q154" i="1" s="1"/>
  <c r="AA155" i="1"/>
  <c r="AA156" i="1"/>
  <c r="AE156" i="1"/>
  <c r="AE154" i="1"/>
  <c r="AE155" i="1"/>
  <c r="AE152" i="1"/>
  <c r="U154" i="1" s="1"/>
  <c r="AE153" i="1"/>
  <c r="T154" i="1"/>
  <c r="G166" i="1" l="1"/>
  <c r="S155" i="1"/>
  <c r="G167" i="1" s="1"/>
  <c r="R155" i="1"/>
  <c r="F167" i="1" s="1"/>
  <c r="F166" i="1"/>
  <c r="U155" i="1"/>
  <c r="I167" i="1" s="1"/>
  <c r="I166" i="1"/>
  <c r="V155" i="1"/>
  <c r="J167" i="1" s="1"/>
  <c r="J166" i="1"/>
  <c r="Q155" i="1"/>
  <c r="E167" i="1" s="1"/>
  <c r="E166" i="1"/>
  <c r="H166" i="1"/>
  <c r="T155" i="1"/>
  <c r="H167" i="1" s="1"/>
  <c r="T373" i="1"/>
  <c r="T372" i="1"/>
  <c r="V373" i="1"/>
  <c r="V372" i="1"/>
  <c r="U373" i="1"/>
  <c r="U372" i="1"/>
  <c r="V382" i="1"/>
  <c r="V381" i="1"/>
  <c r="V380" i="1"/>
  <c r="V379" i="1"/>
  <c r="V378" i="1"/>
  <c r="U382" i="1"/>
  <c r="U381" i="1"/>
  <c r="U380" i="1"/>
  <c r="U379" i="1"/>
  <c r="U378" i="1"/>
  <c r="T382" i="1"/>
  <c r="T381" i="1"/>
  <c r="T380" i="1"/>
  <c r="T379" i="1"/>
  <c r="T378" i="1"/>
  <c r="E7" i="13" l="1"/>
  <c r="B3" i="13"/>
  <c r="K5" i="11" l="1"/>
  <c r="E4" i="6" l="1"/>
  <c r="E5" i="6"/>
  <c r="E6" i="6"/>
  <c r="E37" i="6"/>
  <c r="U430" i="1"/>
  <c r="T430" i="1"/>
  <c r="S430" i="1"/>
  <c r="R430" i="1"/>
  <c r="Q430" i="1"/>
  <c r="Q417" i="1"/>
  <c r="C87" i="10" s="1"/>
  <c r="R417" i="1"/>
  <c r="C88" i="10" s="1"/>
  <c r="X417" i="1"/>
  <c r="F90" i="10" s="1"/>
  <c r="W417" i="1"/>
  <c r="F89" i="10" s="1"/>
  <c r="V417" i="1"/>
  <c r="F88" i="10" s="1"/>
  <c r="U417" i="1"/>
  <c r="F87" i="10" s="1"/>
  <c r="T417" i="1"/>
  <c r="C92" i="10" s="1"/>
  <c r="S417" i="1"/>
  <c r="C90" i="10" s="1"/>
  <c r="H276" i="1"/>
  <c r="H277" i="1"/>
  <c r="H278" i="1"/>
  <c r="H279" i="1"/>
  <c r="H280" i="1"/>
  <c r="T227" i="1"/>
  <c r="T228" i="1"/>
  <c r="B40" i="6"/>
  <c r="B4" i="6"/>
  <c r="B5" i="6"/>
  <c r="B6" i="6"/>
  <c r="I15" i="6"/>
  <c r="I14" i="6"/>
  <c r="I13" i="6"/>
  <c r="I12" i="6"/>
  <c r="F15" i="6"/>
  <c r="I11" i="6"/>
  <c r="F92" i="10" l="1"/>
  <c r="F91" i="10"/>
  <c r="C93" i="10"/>
  <c r="C91" i="10"/>
  <c r="C89" i="10"/>
  <c r="T406" i="1"/>
  <c r="T405" i="1"/>
  <c r="T403" i="1"/>
  <c r="T392" i="1"/>
  <c r="T391" i="1"/>
  <c r="T390" i="1"/>
  <c r="T389" i="1"/>
  <c r="V371" i="1"/>
  <c r="U371" i="1"/>
  <c r="V370" i="1"/>
  <c r="U370" i="1"/>
  <c r="V369" i="1"/>
  <c r="U369" i="1"/>
  <c r="V368" i="1"/>
  <c r="U368" i="1"/>
  <c r="T371" i="1"/>
  <c r="F14" i="6" s="1"/>
  <c r="T370" i="1"/>
  <c r="T369" i="1"/>
  <c r="T368" i="1"/>
  <c r="V363" i="1"/>
  <c r="U363" i="1"/>
  <c r="V362" i="1"/>
  <c r="U362" i="1"/>
  <c r="V361" i="1"/>
  <c r="U361" i="1"/>
  <c r="T363" i="1"/>
  <c r="C17" i="6" s="1"/>
  <c r="T361" i="1"/>
  <c r="C15" i="6" s="1"/>
  <c r="T362" i="1"/>
  <c r="C16" i="6" s="1"/>
  <c r="V360" i="1"/>
  <c r="U360" i="1"/>
  <c r="V358" i="1"/>
  <c r="U358" i="1"/>
  <c r="V357" i="1"/>
  <c r="U357" i="1"/>
  <c r="T360" i="1"/>
  <c r="C14" i="6" s="1"/>
  <c r="T359" i="1"/>
  <c r="C13" i="6" s="1"/>
  <c r="T358" i="1"/>
  <c r="C12" i="6" s="1"/>
  <c r="T357" i="1"/>
  <c r="C11" i="6" s="1"/>
  <c r="C98" i="10" l="1"/>
  <c r="C96" i="10"/>
  <c r="C97" i="10"/>
  <c r="X294" i="1"/>
  <c r="X329" i="1"/>
  <c r="F98" i="10"/>
  <c r="F96" i="10"/>
  <c r="F97" i="10"/>
  <c r="G106" i="10" l="1"/>
  <c r="X331" i="1" s="1"/>
  <c r="H106" i="10" l="1"/>
  <c r="C18" i="8"/>
  <c r="C12" i="8"/>
  <c r="C35" i="6"/>
  <c r="K460" i="1"/>
  <c r="F468" i="1"/>
  <c r="C29" i="6"/>
  <c r="C25" i="6"/>
  <c r="R432" i="1"/>
  <c r="E471" i="1" s="1"/>
  <c r="C24" i="6"/>
  <c r="C31" i="6"/>
  <c r="H460" i="1"/>
  <c r="D460" i="1"/>
  <c r="C4" i="6"/>
  <c r="D4" i="6"/>
  <c r="C5" i="6"/>
  <c r="D5" i="6"/>
  <c r="C6" i="6"/>
  <c r="D6" i="6"/>
  <c r="B36" i="6"/>
  <c r="C36" i="6"/>
  <c r="D36" i="6"/>
  <c r="B37" i="6"/>
  <c r="C37" i="6"/>
  <c r="D37" i="6"/>
  <c r="B38" i="6"/>
  <c r="C38" i="6"/>
  <c r="B39" i="6"/>
  <c r="C39" i="6"/>
  <c r="L423" i="1"/>
  <c r="L422" i="1"/>
  <c r="L420" i="1"/>
  <c r="L419" i="1"/>
  <c r="H423" i="1"/>
  <c r="H421" i="1"/>
  <c r="H420" i="1"/>
  <c r="H419"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s="1"/>
  <c r="AA3" i="1"/>
  <c r="R495" i="1"/>
  <c r="S494" i="1"/>
  <c r="R493" i="1"/>
  <c r="S492" i="1"/>
  <c r="R491" i="1"/>
  <c r="S490" i="1"/>
  <c r="R489" i="1"/>
  <c r="S488" i="1"/>
  <c r="R487" i="1"/>
  <c r="S486" i="1"/>
  <c r="R485" i="1"/>
  <c r="S484" i="1"/>
  <c r="R483" i="1"/>
  <c r="S482" i="1"/>
  <c r="R481" i="1"/>
  <c r="S480" i="1"/>
  <c r="R479" i="1"/>
  <c r="S478" i="1"/>
  <c r="U473" i="1"/>
  <c r="T473" i="1"/>
  <c r="D38" i="11" s="1"/>
  <c r="U472" i="1"/>
  <c r="I401" i="1" s="1"/>
  <c r="T472" i="1"/>
  <c r="H401" i="1" s="1"/>
  <c r="Q469" i="1"/>
  <c r="E401" i="1" s="1"/>
  <c r="Q468" i="1"/>
  <c r="E400" i="1" s="1"/>
  <c r="U462" i="1"/>
  <c r="S462" i="1"/>
  <c r="Q462" i="1"/>
  <c r="U461" i="1"/>
  <c r="S461" i="1"/>
  <c r="Q461" i="1"/>
  <c r="U460" i="1"/>
  <c r="S460" i="1"/>
  <c r="Q460" i="1"/>
  <c r="U459" i="1"/>
  <c r="S459" i="1"/>
  <c r="Q459" i="1"/>
  <c r="P459" i="1"/>
  <c r="AD111" i="1" s="1"/>
  <c r="U458" i="1"/>
  <c r="S458" i="1"/>
  <c r="Q458" i="1"/>
  <c r="P458" i="1"/>
  <c r="AD110" i="1" s="1"/>
  <c r="U457" i="1"/>
  <c r="S457" i="1"/>
  <c r="Q457" i="1"/>
  <c r="P457" i="1"/>
  <c r="AD109" i="1" s="1"/>
  <c r="R446" i="1"/>
  <c r="Q446" i="1"/>
  <c r="R445" i="1"/>
  <c r="U444" i="1"/>
  <c r="R444" i="1"/>
  <c r="V443" i="1"/>
  <c r="R443" i="1"/>
  <c r="V442" i="1"/>
  <c r="R442" i="1"/>
  <c r="Q442" i="1"/>
  <c r="AD100" i="1" s="1"/>
  <c r="V441" i="1"/>
  <c r="R441" i="1"/>
  <c r="Q441" i="1"/>
  <c r="AD99" i="1" s="1"/>
  <c r="D407" i="1"/>
  <c r="U429" i="1"/>
  <c r="T429" i="1"/>
  <c r="S429" i="1"/>
  <c r="R429" i="1"/>
  <c r="Q429" i="1"/>
  <c r="U428" i="1"/>
  <c r="T428" i="1"/>
  <c r="S428" i="1"/>
  <c r="R428" i="1"/>
  <c r="Q428" i="1"/>
  <c r="X416" i="1"/>
  <c r="W416" i="1"/>
  <c r="V416" i="1"/>
  <c r="U416" i="1"/>
  <c r="T416" i="1"/>
  <c r="S416" i="1"/>
  <c r="R416" i="1"/>
  <c r="Q416" i="1"/>
  <c r="X415" i="1"/>
  <c r="W415" i="1"/>
  <c r="V415" i="1"/>
  <c r="V418" i="1" s="1"/>
  <c r="I462" i="1" s="1"/>
  <c r="U415" i="1"/>
  <c r="T415" i="1"/>
  <c r="T418" i="1" s="1"/>
  <c r="G462" i="1" s="1"/>
  <c r="S415" i="1"/>
  <c r="R415" i="1"/>
  <c r="R418" i="1" s="1"/>
  <c r="E462" i="1" s="1"/>
  <c r="Q415" i="1"/>
  <c r="V406" i="1"/>
  <c r="U406" i="1"/>
  <c r="O409" i="1" s="1"/>
  <c r="D454" i="1"/>
  <c r="S406" i="1"/>
  <c r="C454" i="1" s="1"/>
  <c r="R406" i="1"/>
  <c r="V405" i="1"/>
  <c r="W405" i="1" s="1"/>
  <c r="F453" i="1" s="1"/>
  <c r="U405" i="1"/>
  <c r="D453" i="1"/>
  <c r="S405" i="1"/>
  <c r="C453" i="1" s="1"/>
  <c r="R405" i="1"/>
  <c r="S404" i="1"/>
  <c r="C452" i="1" s="1"/>
  <c r="R404" i="1"/>
  <c r="V403" i="1"/>
  <c r="E451" i="1" s="1"/>
  <c r="U403" i="1"/>
  <c r="D451" i="1"/>
  <c r="S403" i="1"/>
  <c r="C451" i="1" s="1"/>
  <c r="R403" i="1"/>
  <c r="X396" i="1"/>
  <c r="W396" i="1"/>
  <c r="V392" i="1"/>
  <c r="E438" i="1" s="1"/>
  <c r="U392" i="1"/>
  <c r="D438" i="1"/>
  <c r="S392" i="1"/>
  <c r="R392" i="1"/>
  <c r="V391" i="1"/>
  <c r="E437" i="1" s="1"/>
  <c r="U391" i="1"/>
  <c r="D437" i="1"/>
  <c r="S391" i="1"/>
  <c r="R391" i="1"/>
  <c r="V390" i="1"/>
  <c r="U390" i="1"/>
  <c r="D436" i="1"/>
  <c r="S390" i="1"/>
  <c r="R390" i="1"/>
  <c r="V389" i="1"/>
  <c r="U389" i="1"/>
  <c r="S389" i="1"/>
  <c r="D432" i="1" s="1"/>
  <c r="R389" i="1"/>
  <c r="C435" i="1" s="1"/>
  <c r="W382" i="1"/>
  <c r="S382" i="1"/>
  <c r="R382" i="1"/>
  <c r="S381" i="1"/>
  <c r="R381" i="1"/>
  <c r="W380" i="1"/>
  <c r="L421" i="1"/>
  <c r="S380" i="1"/>
  <c r="R380" i="1"/>
  <c r="W379" i="1"/>
  <c r="P74" i="10" s="1"/>
  <c r="S379" i="1"/>
  <c r="R379" i="1"/>
  <c r="W378" i="1"/>
  <c r="P73" i="10" s="1"/>
  <c r="S378" i="1"/>
  <c r="L416" i="1" s="1"/>
  <c r="R378" i="1"/>
  <c r="I412" i="1"/>
  <c r="D412" i="1"/>
  <c r="I411" i="1"/>
  <c r="D411" i="1"/>
  <c r="W373" i="1"/>
  <c r="J78" i="10" s="1"/>
  <c r="H424" i="1"/>
  <c r="S373" i="1"/>
  <c r="R373" i="1"/>
  <c r="M342" i="1"/>
  <c r="W372" i="1"/>
  <c r="S372" i="1"/>
  <c r="R372" i="1"/>
  <c r="M341" i="1"/>
  <c r="W371" i="1"/>
  <c r="J76" i="10" s="1"/>
  <c r="H422" i="1"/>
  <c r="S371" i="1"/>
  <c r="R371" i="1"/>
  <c r="S370" i="1"/>
  <c r="R370" i="1"/>
  <c r="D339" i="1"/>
  <c r="S369" i="1"/>
  <c r="R369" i="1"/>
  <c r="S368" i="1"/>
  <c r="H416" i="1" s="1"/>
  <c r="R368" i="1"/>
  <c r="E403" i="1"/>
  <c r="E402" i="1"/>
  <c r="D425" i="1"/>
  <c r="S363" i="1"/>
  <c r="R363" i="1"/>
  <c r="X362" i="1"/>
  <c r="E78" i="10" s="1"/>
  <c r="D424" i="1"/>
  <c r="S362" i="1"/>
  <c r="W362" i="1" s="1"/>
  <c r="D78" i="10" s="1"/>
  <c r="R362" i="1"/>
  <c r="W361" i="1"/>
  <c r="D423" i="1"/>
  <c r="S361" i="1"/>
  <c r="R361" i="1"/>
  <c r="D422" i="1"/>
  <c r="S360" i="1"/>
  <c r="R360" i="1"/>
  <c r="V359" i="1"/>
  <c r="U359" i="1"/>
  <c r="D421" i="1"/>
  <c r="S359" i="1"/>
  <c r="R359" i="1"/>
  <c r="D420" i="1"/>
  <c r="S358" i="1"/>
  <c r="R358" i="1"/>
  <c r="W357" i="1"/>
  <c r="D73" i="10" s="1"/>
  <c r="D419" i="1"/>
  <c r="S357" i="1"/>
  <c r="D416" i="1" s="1"/>
  <c r="R357" i="1"/>
  <c r="G390" i="1"/>
  <c r="F390" i="1"/>
  <c r="E390" i="1"/>
  <c r="G389" i="1"/>
  <c r="F389" i="1"/>
  <c r="E389" i="1"/>
  <c r="G388" i="1"/>
  <c r="F388" i="1"/>
  <c r="E388" i="1"/>
  <c r="X350" i="1"/>
  <c r="L396" i="1" s="1"/>
  <c r="G387" i="1"/>
  <c r="F387" i="1"/>
  <c r="E387" i="1"/>
  <c r="L385" i="1"/>
  <c r="E384" i="1"/>
  <c r="S346" i="1"/>
  <c r="G391" i="1" s="1"/>
  <c r="R346" i="1"/>
  <c r="F391" i="1" s="1"/>
  <c r="Q346" i="1"/>
  <c r="Q347" i="1" s="1"/>
  <c r="E392" i="1" s="1"/>
  <c r="X345" i="1"/>
  <c r="L390" i="1" s="1"/>
  <c r="T345" i="1"/>
  <c r="H390" i="1" s="1"/>
  <c r="T344" i="1"/>
  <c r="H389" i="1" s="1"/>
  <c r="T343" i="1"/>
  <c r="H388" i="1" s="1"/>
  <c r="T342" i="1"/>
  <c r="H387" i="1" s="1"/>
  <c r="G379" i="1"/>
  <c r="F379" i="1"/>
  <c r="E379" i="1"/>
  <c r="G378" i="1"/>
  <c r="F378" i="1"/>
  <c r="E378" i="1"/>
  <c r="G377" i="1"/>
  <c r="F377" i="1"/>
  <c r="E377" i="1"/>
  <c r="G376" i="1"/>
  <c r="F376" i="1"/>
  <c r="E376" i="1"/>
  <c r="L374" i="1"/>
  <c r="E373" i="1"/>
  <c r="S334" i="1"/>
  <c r="G380" i="1" s="1"/>
  <c r="R334" i="1"/>
  <c r="R335" i="1" s="1"/>
  <c r="F381" i="1" s="1"/>
  <c r="Q334" i="1"/>
  <c r="E380" i="1" s="1"/>
  <c r="C371" i="1"/>
  <c r="X333" i="1"/>
  <c r="L379" i="1" s="1"/>
  <c r="T333" i="1"/>
  <c r="H379" i="1" s="1"/>
  <c r="T332" i="1"/>
  <c r="H378" i="1" s="1"/>
  <c r="L377" i="1"/>
  <c r="T331" i="1"/>
  <c r="H377" i="1" s="1"/>
  <c r="T330" i="1"/>
  <c r="H376" i="1" s="1"/>
  <c r="L375" i="1"/>
  <c r="G365" i="1"/>
  <c r="F365" i="1"/>
  <c r="E365" i="1"/>
  <c r="G364" i="1"/>
  <c r="F364" i="1"/>
  <c r="E364" i="1"/>
  <c r="G363" i="1"/>
  <c r="F363" i="1"/>
  <c r="E363" i="1"/>
  <c r="G362" i="1"/>
  <c r="F362" i="1"/>
  <c r="E362" i="1"/>
  <c r="Q323" i="1"/>
  <c r="E372" i="1" s="1"/>
  <c r="H359" i="1"/>
  <c r="E359" i="1"/>
  <c r="H358" i="1"/>
  <c r="C357" i="1"/>
  <c r="S314" i="1"/>
  <c r="S315" i="1" s="1"/>
  <c r="G367" i="1" s="1"/>
  <c r="R314" i="1"/>
  <c r="F366" i="1" s="1"/>
  <c r="Q314" i="1"/>
  <c r="Q315" i="1" s="1"/>
  <c r="E367" i="1" s="1"/>
  <c r="G351" i="1"/>
  <c r="F351" i="1"/>
  <c r="E351" i="1"/>
  <c r="X313" i="1"/>
  <c r="L365" i="1" s="1"/>
  <c r="T313" i="1"/>
  <c r="H365" i="1" s="1"/>
  <c r="G350" i="1"/>
  <c r="F350" i="1"/>
  <c r="E350" i="1"/>
  <c r="T312" i="1"/>
  <c r="H364" i="1" s="1"/>
  <c r="G349" i="1"/>
  <c r="F349" i="1"/>
  <c r="E349" i="1"/>
  <c r="T311" i="1"/>
  <c r="G348" i="1"/>
  <c r="F348" i="1"/>
  <c r="E348" i="1"/>
  <c r="T310" i="1"/>
  <c r="H362" i="1" s="1"/>
  <c r="H345" i="1"/>
  <c r="E345" i="1"/>
  <c r="H344" i="1"/>
  <c r="E344" i="1"/>
  <c r="Q306" i="1"/>
  <c r="E358" i="1" s="1"/>
  <c r="C343" i="1"/>
  <c r="M274" i="1"/>
  <c r="M273" i="1"/>
  <c r="D271" i="1"/>
  <c r="S299" i="1"/>
  <c r="G352" i="1" s="1"/>
  <c r="R299" i="1"/>
  <c r="R300" i="1" s="1"/>
  <c r="F353" i="1" s="1"/>
  <c r="Q299" i="1"/>
  <c r="Q300" i="1" s="1"/>
  <c r="E353" i="1" s="1"/>
  <c r="L293" i="1"/>
  <c r="K293" i="1"/>
  <c r="E293" i="1"/>
  <c r="X298" i="1"/>
  <c r="L351" i="1" s="1"/>
  <c r="T298" i="1"/>
  <c r="H351" i="1" s="1"/>
  <c r="L292" i="1"/>
  <c r="K292" i="1"/>
  <c r="E292" i="1"/>
  <c r="T297" i="1"/>
  <c r="H350" i="1" s="1"/>
  <c r="L291" i="1"/>
  <c r="K291" i="1"/>
  <c r="I291" i="1"/>
  <c r="H291" i="1"/>
  <c r="G291" i="1"/>
  <c r="E291" i="1"/>
  <c r="T296" i="1"/>
  <c r="H349" i="1" s="1"/>
  <c r="L290" i="1"/>
  <c r="I290" i="1"/>
  <c r="H290" i="1"/>
  <c r="G290" i="1"/>
  <c r="E290" i="1"/>
  <c r="T295" i="1"/>
  <c r="L289" i="1"/>
  <c r="K289" i="1"/>
  <c r="I289" i="1"/>
  <c r="H289" i="1"/>
  <c r="G289" i="1"/>
  <c r="E289" i="1"/>
  <c r="L288" i="1"/>
  <c r="K288" i="1"/>
  <c r="I288" i="1"/>
  <c r="H288" i="1"/>
  <c r="E288" i="1"/>
  <c r="L287" i="1"/>
  <c r="K287" i="1"/>
  <c r="I287" i="1"/>
  <c r="H287" i="1"/>
  <c r="E287" i="1"/>
  <c r="L286" i="1"/>
  <c r="I286" i="1"/>
  <c r="H286" i="1"/>
  <c r="E286" i="1"/>
  <c r="E281" i="1"/>
  <c r="Y272" i="1"/>
  <c r="X272" i="1"/>
  <c r="G280" i="1"/>
  <c r="F280" i="1"/>
  <c r="E280" i="1"/>
  <c r="Y271" i="1"/>
  <c r="X271" i="1"/>
  <c r="G279" i="1"/>
  <c r="F279" i="1"/>
  <c r="E279" i="1"/>
  <c r="Y270" i="1"/>
  <c r="X270" i="1"/>
  <c r="G278" i="1"/>
  <c r="F278" i="1"/>
  <c r="E278" i="1"/>
  <c r="Y269" i="1"/>
  <c r="X269" i="1"/>
  <c r="G277" i="1"/>
  <c r="F277" i="1"/>
  <c r="E277" i="1"/>
  <c r="T268" i="1"/>
  <c r="G243" i="1" s="1"/>
  <c r="S268" i="1"/>
  <c r="U268" i="1" s="1"/>
  <c r="F243" i="1" s="1"/>
  <c r="R268" i="1"/>
  <c r="E243" i="1" s="1"/>
  <c r="G276" i="1"/>
  <c r="F276" i="1"/>
  <c r="E276" i="1"/>
  <c r="Y267" i="1"/>
  <c r="X267" i="1"/>
  <c r="Y266" i="1"/>
  <c r="X266" i="1"/>
  <c r="Y265" i="1"/>
  <c r="X265" i="1"/>
  <c r="E247" i="1"/>
  <c r="D247" i="1"/>
  <c r="X263" i="1"/>
  <c r="S263" i="1"/>
  <c r="G237" i="1" s="1"/>
  <c r="P263" i="1"/>
  <c r="D237" i="1" s="1"/>
  <c r="E246" i="1"/>
  <c r="D246" i="1"/>
  <c r="E245" i="1"/>
  <c r="D245" i="1"/>
  <c r="E244" i="1"/>
  <c r="D244" i="1"/>
  <c r="H243" i="1"/>
  <c r="D243" i="1"/>
  <c r="E242" i="1"/>
  <c r="D242" i="1"/>
  <c r="E241" i="1"/>
  <c r="D241" i="1"/>
  <c r="E240" i="1"/>
  <c r="D240" i="1"/>
  <c r="J237" i="1"/>
  <c r="R253" i="1"/>
  <c r="R254" i="1" s="1"/>
  <c r="Q253" i="1"/>
  <c r="Q254" i="1" s="1"/>
  <c r="I232" i="1"/>
  <c r="G232" i="1"/>
  <c r="F232" i="1"/>
  <c r="E232" i="1"/>
  <c r="D232" i="1"/>
  <c r="I231" i="1"/>
  <c r="G231" i="1"/>
  <c r="F231" i="1"/>
  <c r="E231" i="1"/>
  <c r="D231" i="1"/>
  <c r="I230" i="1"/>
  <c r="G230" i="1"/>
  <c r="D230" i="1"/>
  <c r="I229" i="1"/>
  <c r="G229" i="1"/>
  <c r="D229" i="1"/>
  <c r="I228" i="1"/>
  <c r="G228" i="1"/>
  <c r="D228" i="1"/>
  <c r="I227" i="1"/>
  <c r="G227" i="1"/>
  <c r="F227" i="1"/>
  <c r="E227" i="1"/>
  <c r="D227" i="1"/>
  <c r="I226" i="1"/>
  <c r="G226" i="1"/>
  <c r="F226" i="1"/>
  <c r="E226" i="1"/>
  <c r="D226" i="1"/>
  <c r="G223" i="1"/>
  <c r="D223" i="1"/>
  <c r="C222" i="1"/>
  <c r="R238" i="1"/>
  <c r="R239" i="1" s="1"/>
  <c r="Q238" i="1"/>
  <c r="Q239" i="1" s="1"/>
  <c r="U244" i="1"/>
  <c r="H219" i="1" s="1"/>
  <c r="I218" i="1"/>
  <c r="G218" i="1"/>
  <c r="F218" i="1"/>
  <c r="E218" i="1"/>
  <c r="D218" i="1"/>
  <c r="I217" i="1"/>
  <c r="G217" i="1"/>
  <c r="F217" i="1"/>
  <c r="E217" i="1"/>
  <c r="D217" i="1"/>
  <c r="I216" i="1"/>
  <c r="G216" i="1"/>
  <c r="F216" i="1"/>
  <c r="E216" i="1"/>
  <c r="D216" i="1"/>
  <c r="I215" i="1"/>
  <c r="G215" i="1"/>
  <c r="D215" i="1"/>
  <c r="I214" i="1"/>
  <c r="G214" i="1"/>
  <c r="D214" i="1"/>
  <c r="I213" i="1"/>
  <c r="G213" i="1"/>
  <c r="D213" i="1"/>
  <c r="I212" i="1"/>
  <c r="G212" i="1"/>
  <c r="F212" i="1"/>
  <c r="E212" i="1"/>
  <c r="D212" i="1"/>
  <c r="S228" i="1"/>
  <c r="R228" i="1"/>
  <c r="Q228" i="1"/>
  <c r="I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K40"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1" i="1" l="1"/>
  <c r="I38" i="1"/>
  <c r="H41" i="1"/>
  <c r="G40" i="1"/>
  <c r="L41" i="1"/>
  <c r="T211" i="1"/>
  <c r="H194" i="1" s="1"/>
  <c r="P186" i="1"/>
  <c r="P184" i="1"/>
  <c r="P185" i="1"/>
  <c r="F228" i="1"/>
  <c r="C419" i="1"/>
  <c r="B11" i="6"/>
  <c r="V269" i="1"/>
  <c r="V265" i="1"/>
  <c r="V270" i="1"/>
  <c r="V266" i="1"/>
  <c r="H241" i="1" s="1"/>
  <c r="V271" i="1"/>
  <c r="I246" i="1" s="1"/>
  <c r="V267" i="1"/>
  <c r="V272" i="1"/>
  <c r="D40" i="1"/>
  <c r="AK29" i="1"/>
  <c r="AK28" i="1"/>
  <c r="AL29" i="1"/>
  <c r="AL28" i="1"/>
  <c r="AD42" i="1"/>
  <c r="AC42" i="1" s="1"/>
  <c r="K25" i="1"/>
  <c r="C421" i="1"/>
  <c r="B13" i="6"/>
  <c r="C420" i="1"/>
  <c r="E420" i="1" s="1"/>
  <c r="B12" i="6"/>
  <c r="C422" i="1"/>
  <c r="E422" i="1" s="1"/>
  <c r="B14" i="6"/>
  <c r="D476" i="1"/>
  <c r="K8" i="11"/>
  <c r="L40" i="1"/>
  <c r="G41" i="1"/>
  <c r="M204" i="1"/>
  <c r="M476" i="1"/>
  <c r="AK22" i="1"/>
  <c r="AL22" i="1"/>
  <c r="R347" i="1"/>
  <c r="F392" i="1" s="1"/>
  <c r="G419" i="1"/>
  <c r="E11" i="6"/>
  <c r="G423" i="1"/>
  <c r="E15" i="6"/>
  <c r="K419" i="1"/>
  <c r="H11" i="6"/>
  <c r="C423" i="1"/>
  <c r="E423" i="1" s="1"/>
  <c r="B15" i="6"/>
  <c r="C424" i="1"/>
  <c r="B16" i="6"/>
  <c r="G421" i="1"/>
  <c r="I421" i="1" s="1"/>
  <c r="E13" i="6"/>
  <c r="K422" i="1"/>
  <c r="H14" i="6"/>
  <c r="K423" i="1"/>
  <c r="H15" i="6"/>
  <c r="C425" i="1"/>
  <c r="B17" i="6"/>
  <c r="G420" i="1"/>
  <c r="E12" i="6"/>
  <c r="G424" i="1"/>
  <c r="E16" i="6"/>
  <c r="K420" i="1"/>
  <c r="H12" i="6"/>
  <c r="K421" i="1"/>
  <c r="H13" i="6"/>
  <c r="G422" i="1"/>
  <c r="E14" i="6"/>
  <c r="E366" i="1"/>
  <c r="E228" i="1"/>
  <c r="J11" i="6"/>
  <c r="J13" i="6"/>
  <c r="P75" i="10"/>
  <c r="J15" i="6"/>
  <c r="P77" i="10"/>
  <c r="O67" i="1"/>
  <c r="M78" i="1" s="1"/>
  <c r="AD128" i="1"/>
  <c r="D37" i="11"/>
  <c r="AD129" i="1"/>
  <c r="B41" i="6"/>
  <c r="E285" i="1"/>
  <c r="M67" i="1"/>
  <c r="B6" i="13"/>
  <c r="AD21" i="1"/>
  <c r="AC21" i="1" s="1"/>
  <c r="B4" i="13"/>
  <c r="H38" i="1"/>
  <c r="K16" i="1"/>
  <c r="D8" i="11" s="1"/>
  <c r="E5" i="13"/>
  <c r="K41" i="1"/>
  <c r="K17" i="1"/>
  <c r="B5" i="13"/>
  <c r="K30" i="1"/>
  <c r="D136" i="1"/>
  <c r="E6" i="13"/>
  <c r="F17" i="1"/>
  <c r="E4" i="13"/>
  <c r="X406" i="1"/>
  <c r="G454" i="1" s="1"/>
  <c r="K23" i="1"/>
  <c r="F22" i="1"/>
  <c r="K18" i="1"/>
  <c r="F18" i="1"/>
  <c r="H402" i="1"/>
  <c r="G288" i="1"/>
  <c r="X389" i="1"/>
  <c r="G435" i="1" s="1"/>
  <c r="J12" i="6"/>
  <c r="J38" i="1"/>
  <c r="H40" i="1"/>
  <c r="E41" i="1"/>
  <c r="I41" i="1"/>
  <c r="G39" i="1"/>
  <c r="F41" i="1"/>
  <c r="J41" i="1"/>
  <c r="D16" i="6"/>
  <c r="E421" i="1"/>
  <c r="G16" i="6"/>
  <c r="G15" i="6"/>
  <c r="J77" i="10"/>
  <c r="X418" i="1"/>
  <c r="K462" i="1" s="1"/>
  <c r="G14" i="6"/>
  <c r="X363" i="1"/>
  <c r="E79" i="10" s="1"/>
  <c r="D15" i="6"/>
  <c r="D77" i="10"/>
  <c r="C21" i="6"/>
  <c r="X360" i="1"/>
  <c r="E76" i="10" s="1"/>
  <c r="X358" i="1"/>
  <c r="E74" i="10" s="1"/>
  <c r="D11" i="6"/>
  <c r="G287" i="1"/>
  <c r="S300" i="1"/>
  <c r="G353" i="1" s="1"/>
  <c r="Y169" i="1"/>
  <c r="M174" i="1" s="1"/>
  <c r="K142" i="1"/>
  <c r="K24" i="1"/>
  <c r="R255" i="1"/>
  <c r="F230" i="1" s="1"/>
  <c r="F229" i="1"/>
  <c r="R184" i="1"/>
  <c r="F182" i="1" s="1"/>
  <c r="T186" i="1"/>
  <c r="H184" i="1" s="1"/>
  <c r="K278" i="1"/>
  <c r="AD104" i="1"/>
  <c r="F24" i="1"/>
  <c r="F38" i="1"/>
  <c r="E39" i="1"/>
  <c r="L91" i="1"/>
  <c r="R187" i="1"/>
  <c r="F185" i="1" s="1"/>
  <c r="G286" i="1"/>
  <c r="G366" i="1"/>
  <c r="Q335" i="1"/>
  <c r="E381" i="1" s="1"/>
  <c r="X359" i="1"/>
  <c r="E75" i="10" s="1"/>
  <c r="X392" i="1"/>
  <c r="G438" i="1" s="1"/>
  <c r="R431" i="1"/>
  <c r="E470" i="1" s="1"/>
  <c r="B42" i="6"/>
  <c r="B21" i="6"/>
  <c r="B19" i="6"/>
  <c r="S185" i="1"/>
  <c r="G183" i="1" s="1"/>
  <c r="T314" i="1"/>
  <c r="H366" i="1" s="1"/>
  <c r="F352" i="1"/>
  <c r="S335" i="1"/>
  <c r="G381" i="1" s="1"/>
  <c r="K39" i="1"/>
  <c r="D184" i="1"/>
  <c r="F213" i="1"/>
  <c r="X369" i="1"/>
  <c r="K74" i="10" s="1"/>
  <c r="X382" i="1"/>
  <c r="Q77" i="10" s="1"/>
  <c r="W391" i="1"/>
  <c r="F437" i="1" s="1"/>
  <c r="T431" i="1"/>
  <c r="G470" i="1" s="1"/>
  <c r="S431" i="1"/>
  <c r="F470" i="1" s="1"/>
  <c r="B22" i="6"/>
  <c r="B20" i="6"/>
  <c r="B3" i="6"/>
  <c r="T393" i="1"/>
  <c r="T404" i="1" s="1"/>
  <c r="D452" i="1" s="1"/>
  <c r="F12" i="1"/>
  <c r="F25" i="1"/>
  <c r="F39" i="1"/>
  <c r="E38" i="1"/>
  <c r="J39" i="1"/>
  <c r="T299" i="1"/>
  <c r="T300" i="1" s="1"/>
  <c r="H353" i="1" s="1"/>
  <c r="E213" i="1"/>
  <c r="L38" i="1"/>
  <c r="I39" i="1"/>
  <c r="F40" i="1"/>
  <c r="D38" i="1"/>
  <c r="J40" i="1"/>
  <c r="AL39" i="1"/>
  <c r="Q373" i="1" s="1"/>
  <c r="AL44" i="1"/>
  <c r="Q380" i="1" s="1"/>
  <c r="AL46" i="1"/>
  <c r="Q381" i="1" s="1"/>
  <c r="AL34" i="1"/>
  <c r="Q370" i="1" s="1"/>
  <c r="AL49" i="1"/>
  <c r="AD74" i="1"/>
  <c r="K38" i="1"/>
  <c r="AL23" i="1"/>
  <c r="Q361" i="1" s="1"/>
  <c r="AD54" i="1"/>
  <c r="E40" i="1"/>
  <c r="AD37" i="1"/>
  <c r="AC37" i="1" s="1"/>
  <c r="K28" i="1"/>
  <c r="AL10" i="1"/>
  <c r="Q357" i="1" s="1"/>
  <c r="AL12" i="1"/>
  <c r="Q358" i="1" s="1"/>
  <c r="AL14" i="1"/>
  <c r="Q359" i="1" s="1"/>
  <c r="AL25" i="1"/>
  <c r="AL27" i="1"/>
  <c r="AD35" i="1"/>
  <c r="AC35" i="1" s="1"/>
  <c r="F30" i="1"/>
  <c r="D39" i="1"/>
  <c r="H39" i="1"/>
  <c r="L39" i="1"/>
  <c r="AD60" i="1"/>
  <c r="AL16" i="1"/>
  <c r="AK31" i="1"/>
  <c r="E474" i="1"/>
  <c r="AK45" i="1"/>
  <c r="AK43" i="1"/>
  <c r="AK40" i="1"/>
  <c r="P378" i="1" s="1"/>
  <c r="AK33" i="1"/>
  <c r="AK30" i="1"/>
  <c r="P368" i="1" s="1"/>
  <c r="H414" i="1" s="1"/>
  <c r="AK26" i="1"/>
  <c r="P363" i="1" s="1"/>
  <c r="AK24" i="1"/>
  <c r="P362" i="1" s="1"/>
  <c r="AK21" i="1"/>
  <c r="P406" i="1" s="1"/>
  <c r="AK19" i="1"/>
  <c r="AK17" i="1"/>
  <c r="AK15" i="1"/>
  <c r="P403" i="1" s="1"/>
  <c r="AK13" i="1"/>
  <c r="AK11" i="1"/>
  <c r="AK49" i="1"/>
  <c r="AK46" i="1"/>
  <c r="P381" i="1" s="1"/>
  <c r="AK44" i="1"/>
  <c r="P380" i="1" s="1"/>
  <c r="AK39" i="1"/>
  <c r="P373" i="1" s="1"/>
  <c r="AK34" i="1"/>
  <c r="P370" i="1" s="1"/>
  <c r="AK27" i="1"/>
  <c r="AK25" i="1"/>
  <c r="AK23" i="1"/>
  <c r="P361" i="1" s="1"/>
  <c r="AK20" i="1"/>
  <c r="P405" i="1" s="1"/>
  <c r="AK18" i="1"/>
  <c r="AK16" i="1"/>
  <c r="P391" i="1" s="1"/>
  <c r="AK14" i="1"/>
  <c r="P359" i="1" s="1"/>
  <c r="AK12" i="1"/>
  <c r="P358" i="1" s="1"/>
  <c r="AK10" i="1"/>
  <c r="P357" i="1" s="1"/>
  <c r="K21" i="1"/>
  <c r="AK48" i="1"/>
  <c r="P382" i="1" s="1"/>
  <c r="AK47" i="1"/>
  <c r="AK42" i="1"/>
  <c r="P379" i="1" s="1"/>
  <c r="AK37" i="1"/>
  <c r="AK35" i="1"/>
  <c r="AK32" i="1"/>
  <c r="P369" i="1" s="1"/>
  <c r="AD40" i="1"/>
  <c r="AC40" i="1" s="1"/>
  <c r="AL26" i="1"/>
  <c r="Q363" i="1" s="1"/>
  <c r="AL24" i="1"/>
  <c r="Q362" i="1" s="1"/>
  <c r="AL21" i="1"/>
  <c r="Q406" i="1" s="1"/>
  <c r="AL19" i="1"/>
  <c r="AL17" i="1"/>
  <c r="AL15" i="1"/>
  <c r="Q403" i="1" s="1"/>
  <c r="F448" i="1" s="1"/>
  <c r="AL13" i="1"/>
  <c r="AL11" i="1"/>
  <c r="F26" i="1"/>
  <c r="AD68" i="1"/>
  <c r="AL18" i="1"/>
  <c r="AL20" i="1"/>
  <c r="Q405" i="1" s="1"/>
  <c r="AK36" i="1"/>
  <c r="P371" i="1" s="1"/>
  <c r="AK38" i="1"/>
  <c r="P372" i="1" s="1"/>
  <c r="AK41" i="1"/>
  <c r="AL30" i="1"/>
  <c r="Q368" i="1" s="1"/>
  <c r="AL33" i="1"/>
  <c r="AL40" i="1"/>
  <c r="Q378" i="1" s="1"/>
  <c r="AL43" i="1"/>
  <c r="AL45" i="1"/>
  <c r="K27" i="1"/>
  <c r="AL32" i="1"/>
  <c r="Q369" i="1" s="1"/>
  <c r="AL35" i="1"/>
  <c r="AL37" i="1"/>
  <c r="AL42" i="1"/>
  <c r="Q379" i="1" s="1"/>
  <c r="AL47" i="1"/>
  <c r="AL31" i="1"/>
  <c r="AL36" i="1"/>
  <c r="Q371" i="1" s="1"/>
  <c r="AL38" i="1"/>
  <c r="Q372" i="1" s="1"/>
  <c r="AL41" i="1"/>
  <c r="AL48" i="1"/>
  <c r="Q382" i="1" s="1"/>
  <c r="F10" i="1"/>
  <c r="R420" i="1"/>
  <c r="E464" i="1" s="1"/>
  <c r="E460" i="1"/>
  <c r="R419" i="1"/>
  <c r="E463" i="1" s="1"/>
  <c r="T433" i="1"/>
  <c r="G472" i="1" s="1"/>
  <c r="G468" i="1"/>
  <c r="C34" i="6"/>
  <c r="C28" i="6"/>
  <c r="I460" i="1"/>
  <c r="V420" i="1"/>
  <c r="I464" i="1" s="1"/>
  <c r="V419" i="1"/>
  <c r="I463" i="1" s="1"/>
  <c r="G460" i="1"/>
  <c r="C26" i="6"/>
  <c r="I424" i="1"/>
  <c r="S433" i="1"/>
  <c r="F472" i="1" s="1"/>
  <c r="C33" i="6"/>
  <c r="C30" i="6"/>
  <c r="C27" i="6"/>
  <c r="C23" i="6"/>
  <c r="W242" i="1"/>
  <c r="J217" i="1" s="1"/>
  <c r="M422" i="1"/>
  <c r="C32" i="6"/>
  <c r="I420" i="1"/>
  <c r="I422" i="1"/>
  <c r="W358" i="1"/>
  <c r="W359" i="1"/>
  <c r="I419" i="1"/>
  <c r="X368" i="1"/>
  <c r="K73" i="10" s="1"/>
  <c r="W369" i="1"/>
  <c r="X370" i="1"/>
  <c r="K75" i="10" s="1"/>
  <c r="X372" i="1"/>
  <c r="K77" i="10" s="1"/>
  <c r="X373" i="1"/>
  <c r="K78" i="10" s="1"/>
  <c r="M423" i="1"/>
  <c r="X405" i="1"/>
  <c r="G453" i="1" s="1"/>
  <c r="W406" i="1"/>
  <c r="S418" i="1"/>
  <c r="F462" i="1" s="1"/>
  <c r="W418" i="1"/>
  <c r="J462" i="1" s="1"/>
  <c r="Q431" i="1"/>
  <c r="D470" i="1" s="1"/>
  <c r="U431" i="1"/>
  <c r="H470" i="1" s="1"/>
  <c r="X357" i="1"/>
  <c r="E73" i="10" s="1"/>
  <c r="X361" i="1"/>
  <c r="E77" i="10" s="1"/>
  <c r="X371" i="1"/>
  <c r="K76" i="10" s="1"/>
  <c r="M419" i="1"/>
  <c r="X379" i="1"/>
  <c r="Q74" i="10" s="1"/>
  <c r="W389" i="1"/>
  <c r="F435" i="1" s="1"/>
  <c r="T394" i="1"/>
  <c r="D440" i="1" s="1"/>
  <c r="Q418" i="1"/>
  <c r="D462" i="1" s="1"/>
  <c r="U418" i="1"/>
  <c r="H462" i="1" s="1"/>
  <c r="F13" i="1"/>
  <c r="B2" i="6" s="1"/>
  <c r="I402" i="1"/>
  <c r="AD9" i="1"/>
  <c r="AC9" i="1" s="1"/>
  <c r="AD11" i="1"/>
  <c r="AC11" i="1" s="1"/>
  <c r="AD13" i="1"/>
  <c r="AC13" i="1" s="1"/>
  <c r="AD15" i="1"/>
  <c r="AC15" i="1" s="1"/>
  <c r="AD17" i="1"/>
  <c r="AC17" i="1" s="1"/>
  <c r="AD22" i="1"/>
  <c r="AC22" i="1" s="1"/>
  <c r="AD24" i="1"/>
  <c r="AC24" i="1" s="1"/>
  <c r="AD33" i="1"/>
  <c r="AC33" i="1" s="1"/>
  <c r="AD39" i="1"/>
  <c r="AC39" i="1" s="1"/>
  <c r="AD43" i="1"/>
  <c r="AC43" i="1" s="1"/>
  <c r="F16" i="1"/>
  <c r="V473" i="1"/>
  <c r="J402"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L90" i="1"/>
  <c r="T184" i="1"/>
  <c r="Q185" i="1"/>
  <c r="E183" i="1" s="1"/>
  <c r="U185" i="1"/>
  <c r="I183" i="1" s="1"/>
  <c r="R186" i="1"/>
  <c r="P187" i="1"/>
  <c r="D185" i="1" s="1"/>
  <c r="T187" i="1"/>
  <c r="H185" i="1" s="1"/>
  <c r="C179" i="1"/>
  <c r="S207" i="1"/>
  <c r="G190" i="1" s="1"/>
  <c r="S208" i="1"/>
  <c r="G191" i="1" s="1"/>
  <c r="S209" i="1"/>
  <c r="G192" i="1" s="1"/>
  <c r="S210" i="1"/>
  <c r="G193" i="1" s="1"/>
  <c r="S211" i="1"/>
  <c r="G194" i="1" s="1"/>
  <c r="W237" i="1"/>
  <c r="J212" i="1" s="1"/>
  <c r="W239" i="1"/>
  <c r="J214" i="1" s="1"/>
  <c r="W243" i="1"/>
  <c r="J218" i="1" s="1"/>
  <c r="U258" i="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15" i="1"/>
  <c r="F367" i="1" s="1"/>
  <c r="F380" i="1"/>
  <c r="E425" i="1"/>
  <c r="X378" i="1"/>
  <c r="Q73" i="10" s="1"/>
  <c r="D468" i="1"/>
  <c r="Q433" i="1"/>
  <c r="D472" i="1" s="1"/>
  <c r="H468" i="1"/>
  <c r="U433" i="1"/>
  <c r="H472" i="1" s="1"/>
  <c r="Q432" i="1"/>
  <c r="D471" i="1" s="1"/>
  <c r="H348" i="1"/>
  <c r="E352" i="1"/>
  <c r="H363" i="1"/>
  <c r="S347" i="1"/>
  <c r="G392" i="1" s="1"/>
  <c r="E391" i="1"/>
  <c r="W360" i="1"/>
  <c r="W363" i="1"/>
  <c r="W368" i="1"/>
  <c r="W370" i="1"/>
  <c r="I423" i="1"/>
  <c r="M420" i="1"/>
  <c r="X380" i="1"/>
  <c r="Q75" i="10" s="1"/>
  <c r="W381" i="1"/>
  <c r="X381" i="1"/>
  <c r="Q76" i="10" s="1"/>
  <c r="U394" i="1"/>
  <c r="W403" i="1"/>
  <c r="C19" i="6" s="1"/>
  <c r="X403" i="1"/>
  <c r="G451" i="1" s="1"/>
  <c r="U432" i="1"/>
  <c r="H471" i="1" s="1"/>
  <c r="T334" i="1"/>
  <c r="E424" i="1"/>
  <c r="W390" i="1"/>
  <c r="F436" i="1" s="1"/>
  <c r="E436" i="1"/>
  <c r="X390" i="1"/>
  <c r="G436" i="1" s="1"/>
  <c r="F460" i="1"/>
  <c r="S420" i="1"/>
  <c r="F464" i="1" s="1"/>
  <c r="S419" i="1"/>
  <c r="F463" i="1" s="1"/>
  <c r="J460" i="1"/>
  <c r="W420" i="1"/>
  <c r="J464" i="1" s="1"/>
  <c r="W419" i="1"/>
  <c r="J463" i="1" s="1"/>
  <c r="W472" i="1"/>
  <c r="K401" i="1" s="1"/>
  <c r="V472" i="1"/>
  <c r="J401" i="1" s="1"/>
  <c r="T346" i="1"/>
  <c r="E419" i="1"/>
  <c r="M421" i="1"/>
  <c r="U393" i="1"/>
  <c r="V394" i="1"/>
  <c r="E440" i="1" s="1"/>
  <c r="D435" i="1"/>
  <c r="E453" i="1"/>
  <c r="T419" i="1"/>
  <c r="G463" i="1" s="1"/>
  <c r="X419" i="1"/>
  <c r="K463" i="1" s="1"/>
  <c r="T420" i="1"/>
  <c r="G464" i="1" s="1"/>
  <c r="X420" i="1"/>
  <c r="K464" i="1" s="1"/>
  <c r="E468" i="1"/>
  <c r="S432" i="1"/>
  <c r="F471" i="1" s="1"/>
  <c r="X391" i="1"/>
  <c r="G437" i="1" s="1"/>
  <c r="W392" i="1"/>
  <c r="F438" i="1" s="1"/>
  <c r="V393" i="1"/>
  <c r="E435" i="1"/>
  <c r="E454" i="1"/>
  <c r="Q419" i="1"/>
  <c r="D463" i="1" s="1"/>
  <c r="U419" i="1"/>
  <c r="H463" i="1" s="1"/>
  <c r="Q420" i="1"/>
  <c r="D464" i="1" s="1"/>
  <c r="U420" i="1"/>
  <c r="H464" i="1" s="1"/>
  <c r="T432" i="1"/>
  <c r="G471" i="1" s="1"/>
  <c r="R433" i="1"/>
  <c r="E472" i="1" s="1"/>
  <c r="I241" i="1" l="1"/>
  <c r="W252" i="1"/>
  <c r="J227" i="1" s="1"/>
  <c r="H233" i="1"/>
  <c r="E195" i="1"/>
  <c r="H195" i="1"/>
  <c r="G195" i="1"/>
  <c r="D195" i="1"/>
  <c r="F195" i="1"/>
  <c r="I195" i="1"/>
  <c r="E82" i="10"/>
  <c r="E84" i="10"/>
  <c r="E83" i="10"/>
  <c r="U412" i="1"/>
  <c r="B27" i="6" s="1"/>
  <c r="W412" i="1"/>
  <c r="B29" i="6" s="1"/>
  <c r="H459" i="1"/>
  <c r="L78" i="1"/>
  <c r="G467" i="1"/>
  <c r="L414" i="1"/>
  <c r="H246" i="1"/>
  <c r="M426" i="1"/>
  <c r="J14" i="6"/>
  <c r="P76" i="10"/>
  <c r="P82" i="10" s="1"/>
  <c r="D459" i="1"/>
  <c r="K459" i="1"/>
  <c r="E459" i="1"/>
  <c r="X412" i="1"/>
  <c r="B30" i="6" s="1"/>
  <c r="J459" i="1"/>
  <c r="T395" i="1"/>
  <c r="D441" i="1" s="1"/>
  <c r="D442" i="1" s="1"/>
  <c r="H10" i="6"/>
  <c r="G73" i="10"/>
  <c r="D87" i="10" s="1"/>
  <c r="E10" i="6"/>
  <c r="D448" i="1"/>
  <c r="B18" i="6"/>
  <c r="R412" i="1"/>
  <c r="B24" i="6" s="1"/>
  <c r="B10" i="6"/>
  <c r="K83" i="10"/>
  <c r="K82" i="10"/>
  <c r="Q82" i="10"/>
  <c r="Q79" i="10"/>
  <c r="Q78" i="10"/>
  <c r="T412" i="1"/>
  <c r="B26" i="6" s="1"/>
  <c r="V412" i="1"/>
  <c r="B28" i="6" s="1"/>
  <c r="G459" i="1"/>
  <c r="F459" i="1"/>
  <c r="Q412" i="1"/>
  <c r="B23" i="6" s="1"/>
  <c r="S412" i="1"/>
  <c r="B25" i="6" s="1"/>
  <c r="I459" i="1"/>
  <c r="D414" i="1"/>
  <c r="E426" i="1"/>
  <c r="G13" i="6"/>
  <c r="J75" i="10"/>
  <c r="I426" i="1"/>
  <c r="G12" i="6"/>
  <c r="J74" i="10"/>
  <c r="G11" i="6"/>
  <c r="J73" i="10"/>
  <c r="K79" i="10"/>
  <c r="D17" i="6"/>
  <c r="D79" i="10"/>
  <c r="D14" i="6"/>
  <c r="D76" i="10"/>
  <c r="D13" i="6"/>
  <c r="D75" i="10"/>
  <c r="D12" i="6"/>
  <c r="D74" i="10"/>
  <c r="H352" i="1"/>
  <c r="H415" i="1"/>
  <c r="G75" i="10"/>
  <c r="D89" i="10" s="1"/>
  <c r="D415" i="1"/>
  <c r="A75" i="10"/>
  <c r="A89" i="10" s="1"/>
  <c r="D467" i="1"/>
  <c r="M73" i="10"/>
  <c r="G87" i="10" s="1"/>
  <c r="L415" i="1"/>
  <c r="M75" i="10"/>
  <c r="G89" i="10" s="1"/>
  <c r="A73" i="10"/>
  <c r="A87" i="10" s="1"/>
  <c r="D439" i="1"/>
  <c r="H467" i="1"/>
  <c r="D469" i="1"/>
  <c r="T315" i="1"/>
  <c r="H367" i="1" s="1"/>
  <c r="T189" i="1"/>
  <c r="H187" i="1" s="1"/>
  <c r="F454" i="1"/>
  <c r="C22" i="6"/>
  <c r="P189" i="1"/>
  <c r="D187" i="1" s="1"/>
  <c r="Q425" i="1"/>
  <c r="B31" i="6" s="1"/>
  <c r="S425" i="1"/>
  <c r="B33" i="6" s="1"/>
  <c r="U425" i="1"/>
  <c r="B35" i="6" s="1"/>
  <c r="F467" i="1"/>
  <c r="E467" i="1"/>
  <c r="R425" i="1"/>
  <c r="B32" i="6" s="1"/>
  <c r="T425" i="1"/>
  <c r="B34" i="6" s="1"/>
  <c r="W473" i="1"/>
  <c r="K402" i="1" s="1"/>
  <c r="P392" i="1"/>
  <c r="P390" i="1"/>
  <c r="P360" i="1"/>
  <c r="P404" i="1"/>
  <c r="P389" i="1"/>
  <c r="D431" i="1" s="1"/>
  <c r="Q404" i="1"/>
  <c r="Q392" i="1"/>
  <c r="Q389" i="1"/>
  <c r="F431" i="1" s="1"/>
  <c r="Q390" i="1"/>
  <c r="Q360" i="1"/>
  <c r="Q391" i="1"/>
  <c r="D33" i="6"/>
  <c r="H469" i="1"/>
  <c r="D35" i="6"/>
  <c r="U434" i="1"/>
  <c r="H473" i="1" s="1"/>
  <c r="D32" i="6"/>
  <c r="W394" i="1"/>
  <c r="F440" i="1" s="1"/>
  <c r="V404" i="1"/>
  <c r="E452" i="1" s="1"/>
  <c r="E439" i="1"/>
  <c r="V395" i="1"/>
  <c r="E441" i="1" s="1"/>
  <c r="E442" i="1" s="1"/>
  <c r="U395" i="1"/>
  <c r="U404" i="1"/>
  <c r="T347" i="1"/>
  <c r="H392" i="1" s="1"/>
  <c r="H391" i="1"/>
  <c r="H380" i="1"/>
  <c r="T335" i="1"/>
  <c r="H381" i="1" s="1"/>
  <c r="H240" i="1"/>
  <c r="W255" i="1"/>
  <c r="J230" i="1" s="1"/>
  <c r="W256" i="1"/>
  <c r="J231" i="1" s="1"/>
  <c r="W257" i="1"/>
  <c r="J232" i="1" s="1"/>
  <c r="W254" i="1"/>
  <c r="J229" i="1" s="1"/>
  <c r="F184" i="1"/>
  <c r="R189" i="1"/>
  <c r="F187" i="1" s="1"/>
  <c r="D182" i="1"/>
  <c r="P188" i="1"/>
  <c r="D186" i="1" s="1"/>
  <c r="Q189" i="1"/>
  <c r="E187" i="1" s="1"/>
  <c r="E184" i="1"/>
  <c r="X393" i="1"/>
  <c r="H247" i="1"/>
  <c r="I247" i="1"/>
  <c r="F451" i="1"/>
  <c r="U188" i="1"/>
  <c r="I186" i="1" s="1"/>
  <c r="I182" i="1"/>
  <c r="W251" i="1"/>
  <c r="R188" i="1"/>
  <c r="F186" i="1" s="1"/>
  <c r="H242" i="1"/>
  <c r="I242" i="1"/>
  <c r="I245" i="1"/>
  <c r="H245" i="1"/>
  <c r="Q188" i="1"/>
  <c r="E186" i="1" s="1"/>
  <c r="E182" i="1"/>
  <c r="X394" i="1"/>
  <c r="G440" i="1" s="1"/>
  <c r="W244" i="1"/>
  <c r="J219" i="1" s="1"/>
  <c r="J211" i="1"/>
  <c r="K149" i="1"/>
  <c r="O52" i="1"/>
  <c r="W393"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69" i="1"/>
  <c r="D31" i="6"/>
  <c r="R434" i="1"/>
  <c r="E473" i="1" s="1"/>
  <c r="S434" i="1"/>
  <c r="F473" i="1" s="1"/>
  <c r="I89" i="10"/>
  <c r="J83" i="10"/>
  <c r="J82" i="10"/>
  <c r="Q434" i="1"/>
  <c r="D473" i="1" s="1"/>
  <c r="I87" i="10"/>
  <c r="D29" i="6"/>
  <c r="D28" i="6"/>
  <c r="U421" i="1"/>
  <c r="H465" i="1" s="1"/>
  <c r="J79" i="10"/>
  <c r="C106" i="10"/>
  <c r="B106" i="10"/>
  <c r="D106" i="10"/>
  <c r="X296" i="1" s="1"/>
  <c r="L347" i="1"/>
  <c r="E106" i="10"/>
  <c r="B104" i="10"/>
  <c r="A106" i="10"/>
  <c r="D24" i="6"/>
  <c r="Q421" i="1"/>
  <c r="D465" i="1" s="1"/>
  <c r="D23" i="6"/>
  <c r="D461" i="1"/>
  <c r="D188" i="1"/>
  <c r="F188" i="1"/>
  <c r="E188" i="1"/>
  <c r="R421" i="1"/>
  <c r="E465" i="1" s="1"/>
  <c r="F469" i="1"/>
  <c r="W421" i="1"/>
  <c r="J465" i="1" s="1"/>
  <c r="I461" i="1"/>
  <c r="G188" i="1"/>
  <c r="E461" i="1"/>
  <c r="AD88" i="1"/>
  <c r="V421" i="1"/>
  <c r="I465" i="1" s="1"/>
  <c r="D27" i="6"/>
  <c r="H461" i="1"/>
  <c r="D25" i="6"/>
  <c r="F461" i="1"/>
  <c r="S421" i="1"/>
  <c r="F465" i="1" s="1"/>
  <c r="J461" i="1"/>
  <c r="G461" i="1"/>
  <c r="D26" i="6"/>
  <c r="T421" i="1"/>
  <c r="G465" i="1" s="1"/>
  <c r="T434" i="1"/>
  <c r="G473" i="1" s="1"/>
  <c r="D34" i="6"/>
  <c r="G469" i="1"/>
  <c r="K461" i="1"/>
  <c r="D30" i="6"/>
  <c r="X421" i="1"/>
  <c r="K465" i="1" s="1"/>
  <c r="L57" i="1"/>
  <c r="M57" i="1"/>
  <c r="W258" i="1"/>
  <c r="J233" i="1" s="1"/>
  <c r="J226" i="1"/>
  <c r="I188" i="1"/>
  <c r="W395" i="1"/>
  <c r="F441" i="1" s="1"/>
  <c r="F442" i="1" s="1"/>
  <c r="W404" i="1"/>
  <c r="C20" i="6" s="1"/>
  <c r="F439" i="1"/>
  <c r="G439" i="1"/>
  <c r="X404" i="1"/>
  <c r="G452" i="1" s="1"/>
  <c r="X395" i="1"/>
  <c r="G441" i="1" s="1"/>
  <c r="X309" i="1" l="1"/>
  <c r="F106" i="10" s="1"/>
  <c r="X311" i="1" s="1"/>
  <c r="X341" i="1"/>
  <c r="U345" i="1"/>
  <c r="I390" i="1" s="1"/>
  <c r="U333" i="1"/>
  <c r="I379" i="1" s="1"/>
  <c r="U343" i="1"/>
  <c r="I388" i="1" s="1"/>
  <c r="U342" i="1"/>
  <c r="U330" i="1"/>
  <c r="U344" i="1"/>
  <c r="I389" i="1" s="1"/>
  <c r="U332" i="1"/>
  <c r="I378" i="1" s="1"/>
  <c r="U331" i="1"/>
  <c r="I377" i="1" s="1"/>
  <c r="U313" i="1"/>
  <c r="I365" i="1" s="1"/>
  <c r="U312" i="1"/>
  <c r="I364" i="1" s="1"/>
  <c r="U311" i="1"/>
  <c r="I363" i="1" s="1"/>
  <c r="U310" i="1"/>
  <c r="L349" i="1"/>
  <c r="G442" i="1"/>
  <c r="U295" i="1"/>
  <c r="U298" i="1"/>
  <c r="I351" i="1" s="1"/>
  <c r="U297" i="1"/>
  <c r="I350" i="1" s="1"/>
  <c r="U296" i="1"/>
  <c r="I349" i="1" s="1"/>
  <c r="F452" i="1"/>
  <c r="W407" i="1"/>
  <c r="F455" i="1" s="1"/>
  <c r="L361" i="1" l="1"/>
  <c r="I106" i="10"/>
  <c r="X343" i="1" s="1"/>
  <c r="L388" i="1" s="1"/>
  <c r="L386" i="1"/>
  <c r="I387" i="1"/>
  <c r="U346" i="1"/>
  <c r="I376" i="1"/>
  <c r="U334" i="1"/>
  <c r="L363" i="1"/>
  <c r="I362" i="1"/>
  <c r="U314" i="1"/>
  <c r="I91" i="10"/>
  <c r="I348" i="1"/>
  <c r="U299" i="1"/>
  <c r="X330" i="1" l="1"/>
  <c r="I380" i="1"/>
  <c r="U335" i="1"/>
  <c r="I381" i="1" s="1"/>
  <c r="U347" i="1"/>
  <c r="I392" i="1" s="1"/>
  <c r="I391" i="1"/>
  <c r="X342" i="1"/>
  <c r="X310" i="1"/>
  <c r="I366" i="1"/>
  <c r="U315" i="1"/>
  <c r="I367" i="1" s="1"/>
  <c r="I96" i="10"/>
  <c r="I98" i="10"/>
  <c r="I97" i="10"/>
  <c r="U300" i="1"/>
  <c r="I353" i="1" s="1"/>
  <c r="I352" i="1"/>
  <c r="X295" i="1"/>
  <c r="X344" i="1" l="1"/>
  <c r="L387" i="1"/>
  <c r="X332" i="1"/>
  <c r="L376" i="1"/>
  <c r="L362" i="1"/>
  <c r="X312" i="1"/>
  <c r="X297" i="1"/>
  <c r="K30" i="11" s="1"/>
  <c r="L348" i="1"/>
  <c r="X336" i="1" l="1"/>
  <c r="X334" i="1"/>
  <c r="X317" i="1"/>
  <c r="L368" i="1" s="1"/>
  <c r="X314" i="1"/>
  <c r="L366" i="1" s="1"/>
  <c r="X348" i="1"/>
  <c r="X346" i="1"/>
  <c r="L391" i="1" s="1"/>
  <c r="AD90" i="1"/>
  <c r="L378" i="1"/>
  <c r="L382" i="1"/>
  <c r="L380" i="1"/>
  <c r="X349" i="1"/>
  <c r="AD91" i="1"/>
  <c r="L389" i="1"/>
  <c r="L393" i="1"/>
  <c r="K31" i="11"/>
  <c r="B8" i="6"/>
  <c r="L364" i="1"/>
  <c r="AD89" i="1"/>
  <c r="X318" i="1"/>
  <c r="L369" i="1" s="1"/>
  <c r="L350" i="1"/>
  <c r="X299" i="1"/>
  <c r="L352" i="1" s="1"/>
  <c r="AD86" i="1"/>
  <c r="B7" i="6"/>
  <c r="X302" i="1"/>
  <c r="L354" i="1" s="1"/>
  <c r="X303" i="1"/>
  <c r="L355" i="1" s="1"/>
  <c r="F11" i="6" s="1"/>
  <c r="E39" i="6"/>
  <c r="F12" i="6"/>
  <c r="E38" i="6"/>
  <c r="D38" i="6"/>
  <c r="D39" i="6"/>
  <c r="F13" i="6"/>
  <c r="F16" i="6"/>
  <c r="L395" i="1" l="1"/>
  <c r="B9" i="6"/>
  <c r="AD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22" authorId="0" shapeId="0" xr:uid="{00000000-0006-0000-0000-000001000000}">
      <text>
        <r>
          <rPr>
            <b/>
            <sz val="8"/>
            <color indexed="81"/>
            <rFont val="Tahoma"/>
            <family val="2"/>
          </rPr>
          <t>Click in boxes to use drop-down lists</t>
        </r>
      </text>
    </comment>
    <comment ref="I34" authorId="0" shapeId="0" xr:uid="{00000000-0006-0000-0000-000002000000}">
      <text>
        <r>
          <rPr>
            <b/>
            <sz val="8"/>
            <color indexed="81"/>
            <rFont val="Tahoma"/>
            <family val="2"/>
          </rPr>
          <t>Click in boxes to use drop-down lists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Pamela</author>
  </authors>
  <commentList>
    <comment ref="J10" authorId="0" shapeId="0" xr:uid="{00000000-0006-0000-0100-00000100000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s>
  <commentList>
    <comment ref="B4" authorId="0" shapeId="0" xr:uid="{00000000-0006-0000-0600-000001000000}">
      <text>
        <r>
          <rPr>
            <b/>
            <sz val="9"/>
            <color indexed="81"/>
            <rFont val="Tahoma"/>
            <family val="2"/>
          </rPr>
          <t>Eugene Mah:</t>
        </r>
        <r>
          <rPr>
            <sz val="9"/>
            <color indexed="81"/>
            <rFont val="Tahoma"/>
            <family val="2"/>
          </rPr>
          <t xml:space="preserve">
Target/Filter</t>
        </r>
      </text>
    </comment>
    <comment ref="B5" authorId="0" shapeId="0" xr:uid="{00000000-0006-0000-0600-000002000000}">
      <text>
        <r>
          <rPr>
            <b/>
            <sz val="9"/>
            <color indexed="81"/>
            <rFont val="Tahoma"/>
            <family val="2"/>
          </rPr>
          <t>Eugene Mah:</t>
        </r>
        <r>
          <rPr>
            <sz val="9"/>
            <color indexed="81"/>
            <rFont val="Tahoma"/>
            <family val="2"/>
          </rPr>
          <t xml:space="preserve">
kV</t>
        </r>
      </text>
    </comment>
    <comment ref="B6" authorId="0" shapeId="0" xr:uid="{00000000-0006-0000-0600-00000300000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<sst xmlns="http://schemas.openxmlformats.org/spreadsheetml/2006/main" count="2578" uniqueCount="725">
  <si>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</si>
  <si>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</si>
  <si>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</si>
  <si>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</si>
  <si>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</si>
  <si>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</si>
  <si>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</si>
  <si>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</si>
  <si>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</si>
  <si>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</si>
  <si>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</si>
  <si>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</si>
  <si>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</si>
  <si>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</si>
  <si>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</si>
  <si>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</si>
  <si>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</si>
  <si>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</si>
  <si>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</si>
  <si>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</si>
  <si>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</si>
  <si>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</si>
  <si>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</si>
  <si>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</si>
  <si>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</si>
  <si>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</si>
  <si>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</si>
  <si>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</si>
  <si>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</si>
  <si>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</si>
  <si>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</si>
  <si>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</si>
  <si>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</si>
  <si>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</si>
  <si>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</si>
  <si>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</si>
  <si>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</si>
  <si>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</si>
  <si>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</si>
  <si>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</si>
  <si>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</si>
  <si>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</si>
  <si>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</si>
  <si>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</si>
  <si>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</si>
  <si>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</si>
  <si>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</si>
  <si>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</si>
  <si>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</si>
  <si>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</si>
  <si>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</si>
  <si>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</si>
  <si>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</si>
  <si>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</si>
  <si>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</si>
  <si>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</si>
  <si>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</si>
  <si>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</si>
  <si>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</si>
  <si>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</si>
  <si>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</si>
  <si>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</si>
  <si>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</si>
  <si>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</si>
  <si>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</si>
  <si>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</si>
  <si>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</si>
  <si>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</si>
  <si>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</si>
  <si>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</si>
  <si>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</si>
  <si>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</si>
  <si>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</si>
  <si>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</si>
  <si>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</si>
  <si>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</si>
  <si>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</si>
  <si>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</si>
  <si>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</si>
  <si>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</si>
  <si>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</si>
  <si>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</si>
  <si>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</si>
  <si>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</si>
  <si>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</si>
  <si>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</si>
  <si>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</si>
  <si>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</si>
  <si>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</si>
  <si>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</si>
  <si>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</si>
  <si>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</si>
  <si>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</si>
  <si>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</si>
  <si>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</si>
  <si>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</si>
  <si>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</si>
  <si>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</si>
  <si>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</si>
  <si>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</si>
  <si>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</si>
  <si>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</si>
  <si>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</si>
  <si>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</si>
  <si>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</si>
  <si>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</si>
  <si>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</si>
  <si>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</si>
  <si>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</si>
  <si>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</si>
  <si>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</si>
  <si>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</si>
  <si>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</si>
  <si>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</si>
  <si>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</si>
  <si>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</si>
  <si>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</si>
  <si>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</si>
  <si>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</si>
  <si>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</si>
  <si>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</si>
  <si>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</si>
  <si>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</si>
  <si>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</si>
  <si>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</si>
  <si>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</si>
  <si>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</si>
  <si>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</si>
  <si>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</si>
  <si>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</si>
  <si>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</si>
  <si>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</si>
  <si>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</si>
  <si>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</si>
  <si>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</si>
  <si>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</si>
  <si>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</si>
  <si>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</si>
  <si>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</si>
  <si>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</si>
  <si>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</si>
  <si>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</si>
  <si>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</si>
  <si>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</si>
  <si>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</si>
  <si>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</si>
  <si>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</si>
  <si>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</si>
  <si>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</si>
  <si>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</si>
  <si>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</si>
  <si>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</si>
  <si>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</si>
  <si>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</si>
  <si>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</si>
  <si>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</si>
  <si>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</si>
  <si>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</si>
  <si>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</si>
  <si>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</si>
  <si>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</si>
  <si>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</si>
  <si>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</si>
  <si>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</si>
  <si>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</si>
  <si>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</si>
  <si>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</si>
  <si>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</si>
  <si>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</si>
  <si>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</si>
  <si>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</si>
  <si>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</si>
  <si>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</si>
  <si>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</si>
  <si>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</si>
  <si>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</si>
  <si>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</si>
  <si>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</si>
  <si>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</si>
  <si>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</si>
  <si>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</si>
  <si>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</si>
  <si>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</si>
  <si>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</si>
  <si>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</si>
  <si>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</si>
  <si>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</si>
  <si>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</si>
  <si>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</si>
  <si>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</si>
  <si>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</si>
  <si>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</si>
  <si>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</si>
  <si>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</si>
  <si>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</si>
  <si>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</si>
  <si>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</si>
  <si>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</si>
  <si>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</si>
  <si>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</si>
  <si>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</si>
  <si>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</si>
  <si>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</si>
  <si>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</si>
  <si>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</si>
  <si>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</si>
  <si>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</si>
  <si>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</si>
  <si>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</si>
  <si>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</si>
  <si>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</si>
  <si>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</si>
  <si>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</si>
  <si>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</si>
  <si>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</si>
  <si>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</si>
  <si>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</si>
  <si>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</si>
  <si>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</si>
  <si>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</si>
  <si>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</si>
  <si>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</si>
  <si>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</si>
  <si>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</si>
  <si>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</si>
  <si>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</si>
  <si>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</si>
  <si>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</si>
  <si>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</si>
  <si>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</si>
  <si>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</si>
  <si>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</si>
  <si>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</si>
  <si>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</si>
  <si>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</si>
  <si>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</si>
  <si>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</si>
  <si>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</si>
  <si>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</si>
  <si>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</si>
  <si>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</si>
  <si>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</si>
  <si>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</si>
  <si>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</si>
  <si>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</si>
  <si>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</si>
  <si>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</si>
  <si>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</si>
  <si>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</si>
  <si>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</si>
  <si>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</si>
  <si>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</si>
  <si>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</si>
  <si>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</si>
  <si>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</si>
  <si>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</si>
  <si>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</si>
  <si>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</si>
  <si>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</si>
  <si>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</si>
  <si>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</si>
  <si>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</si>
  <si>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</si>
  <si>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</si>
  <si>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</si>
  <si>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</si>
  <si>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</si>
  <si>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</si>
  <si>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</si>
  <si>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</si>
  <si>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</si>
  <si>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</si>
  <si>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</si>
  <si>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</si>
  <si>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</si>
  <si>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</si>
  <si>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</si>
  <si>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</si>
  <si>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</si>
  <si>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</si>
  <si>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</si>
  <si>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</si>
  <si>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</si>
  <si>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</si>
  <si>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</si>
  <si>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</si>
  <si>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</si>
  <si>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</si>
  <si>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</si>
  <si>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</si>
  <si>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</si>
  <si>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</si>
  <si>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</si>
  <si>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</si>
  <si>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</si>
  <si>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</si>
  <si>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</si>
  <si>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</si>
  <si>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</si>
  <si>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</si>
  <si>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</si>
  <si>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</si>
  <si>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</si>
  <si>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</si>
  <si>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</si>
  <si>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</si>
  <si>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</si>
  <si>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</si>
  <si>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</si>
  <si>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</si>
  <si>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</si>
  <si>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</si>
  <si>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</si>
  <si>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</si>
  <si>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</si>
  <si>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</si>
  <si>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</si>
  <si>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</si>
  <si>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</si>
  <si>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</si>
  <si>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</si>
  <si>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</si>
  <si>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</si>
  <si>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</si>
  <si>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</si>
  <si>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</si>
  <si>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</si>
  <si>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</si>
  <si>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</si>
  <si>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</si>
  <si>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</si>
  <si>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</si>
  <si>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</si>
  <si>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</si>
  <si>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</si>
  <si>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</si>
  <si>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</si>
  <si>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</si>
  <si>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</si>
  <si>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</si>
  <si>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</si>
  <si>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</si>
  <si>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</si>
  <si>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</si>
  <si>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</si>
  <si>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</si>
  <si>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</si>
  <si>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</si>
  <si>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</si>
  <si>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</si>
  <si>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</si>
  <si>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</si>
  <si>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</si>
  <si>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</si>
  <si>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</si>
  <si>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</si>
  <si>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</si>
  <si>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</si>
  <si>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</si>
  <si>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</si>
  <si>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</si>
  <si>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</si>
  <si>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</si>
  <si>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</si>
  <si>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</si>
  <si>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</si>
  <si>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</si>
  <si>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</si>
  <si>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</si>
  <si>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</si>
  <si>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</si>
  <si>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</si>
  <si>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</si>
  <si>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</si>
  <si>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</si>
  <si>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</si>
  <si>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</si>
  <si>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</si>
  <si>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</si>
  <si>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</si>
  <si>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</si>
  <si>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</si>
  <si>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</si>
  <si>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</si>
  <si>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</si>
  <si>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</si>
  <si>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</si>
  <si>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</si>
  <si>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</si>
  <si>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</si>
  <si>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</si>
  <si>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</si>
  <si>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</si>
  <si>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</si>
  <si>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</si>
  <si>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</si>
  <si>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</si>
  <si>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</si>
  <si>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</si>
  <si>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</si>
  <si>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</si>
  <si>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</si>
  <si>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</si>
  <si>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</si>
  <si>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</si>
  <si>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</si>
  <si>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</si>
  <si>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</si>
  <si>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</si>
  <si>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</si>
  <si>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</si>
  <si>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</si>
  <si>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</si>
  <si>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</si>
  <si>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</si>
  <si>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</si>
  <si>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</si>
  <si>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</si>
  <si>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</si>
  <si>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</si>
  <si>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</si>
  <si>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</si>
  <si>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</si>
  <si>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</si>
  <si>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</si>
  <si>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</si>
  <si>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</si>
  <si>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</si>
  <si>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</si>
  <si>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</si>
  <si>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</si>
  <si>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</si>
  <si>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</si>
  <si>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</si>
  <si>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</si>
  <si>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</si>
  <si>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</si>
  <si>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</si>
  <si>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</si>
  <si>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</si>
  <si>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</si>
  <si>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</si>
  <si>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</si>
  <si>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</si>
  <si>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</si>
  <si>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</si>
  <si>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</si>
  <si>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</si>
  <si>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</si>
  <si>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</si>
  <si>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</si>
  <si>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</si>
  <si>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</si>
  <si>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</si>
  <si>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</si>
  <si>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</si>
  <si>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</si>
  <si>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</si>
  <si>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</si>
  <si>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</si>
  <si>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</si>
  <si>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</si>
  <si>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</si>
  <si>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</si>
  <si>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</si>
  <si>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</si>
  <si>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</si>
  <si>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</si>
  <si>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</si>
  <si>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</si>
  <si>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</si>
  <si>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</si>
  <si>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</si>
  <si>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</si>
  <si>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</si>
  <si>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</si>
  <si>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</si>
  <si>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</si>
  <si>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</si>
  <si>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</si>
  <si>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</si>
  <si>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</si>
  <si>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</si>
  <si>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</si>
  <si>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</si>
  <si>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</si>
  <si>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</si>
  <si>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</si>
  <si>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</si>
  <si>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</si>
  <si>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</si>
  <si>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</si>
  <si>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</si>
  <si>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</si>
  <si>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</si>
  <si>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</si>
  <si>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</si>
  <si>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</si>
  <si>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</si>
  <si>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</si>
  <si>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</si>
  <si>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</si>
  <si>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</si>
  <si>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</si>
  <si>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</si>
  <si>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</si>
  <si>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</si>
  <si>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</si>
  <si>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</si>
  <si>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</si>
  <si>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</si>
  <si>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</si>
  <si>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</si>
  <si>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</si>
  <si>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</si>
  <si>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</si>
  <si>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</si>
  <si>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</si>
  <si>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</si>
  <si>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</si>
  <si>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</si>
  <si>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</si>
  <si>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</si>
  <si>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</si>
  <si>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</si>
  <si>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</si>
  <si>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</si>
  <si>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</si>
  <si>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</si>
  <si>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</si>
  <si>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</si>
  <si>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</si>
  <si>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</si>
  <si>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</si>
  <si>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</si>
  <si>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</si>
  <si>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</si>
  <si>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</si>
  <si>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</si>
  <si>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</si>
  <si>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</si>
  <si>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</si>
  <si>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</si>
  <si>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</si>
  <si>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</si>
  <si>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</si>
  <si>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</si>
  <si>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</si>
  <si>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</si>
  <si>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</si>
  <si>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</si>
  <si>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</si>
  <si>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</si>
  <si>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</si>
  <si>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</si>
  <si>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</si>
  <si>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</si>
  <si>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</si>
  <si>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</si>
  <si>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</si>
  <si>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</si>
  <si>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</si>
  <si>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</si>
  <si>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</si>
  <si>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</si>
  <si>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</si>
  <si>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</si>
  <si>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</si>
  <si>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</si>
  <si>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</si>
  <si>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</si>
  <si>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</si>
  <si>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</si>
  <si>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</si>
  <si>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</si>
  <si>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</si>
  <si>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</si>
  <si>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</si>
  <si>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</si>
  <si>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</si>
  <si>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</si>
  <si>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</si>
  <si>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</si>
  <si>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</si>
  <si>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</si>
  <si>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</si>
  <si>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</si>
  <si>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</si>
  <si>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</si>
  <si>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</si>
  <si>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</si>
  <si>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</si>
  <si>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</si>
  <si>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</si>
  <si>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</si>
  <si>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</si>
  <si>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</si>
  <si>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</si>
  <si>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</si>
  <si>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</si>
  <si>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</si>
  <si>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</si>
  <si>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</si>
  <si>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</si>
  <si>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</si>
  <si>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</si>
  <si>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</si>
  <si>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</si>
  <si>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</si>
  <si>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</si>
  <si>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</si>
  <si>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</si>
  <si>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</si>
  <si>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</si>
  <si>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</si>
  <si>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</si>
  <si>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</si>
  <si>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</si>
  <si>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</si>
  <si>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</si>
  <si>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</si>
  <si>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</si>
  <si>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</si>
  <si>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</si>
  <si>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</si>
  <si>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</si>
  <si>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</si>
  <si>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</si>
  <si>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</si>
  <si>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</si>
  <si>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</si>
  <si>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</si>
  <si>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</si>
  <si>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</si>
  <si>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</si>
  <si>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</si>
  <si>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</si>
  <si>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</si>
  <si>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</si>
  <si>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</si>
  <si>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</si>
  <si>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</si>
  <si>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</si>
  <si>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</si>
  <si>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</si>
  <si>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</si>
  <si>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</si>
  <si>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</si>
  <si>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</si>
  <si>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</si>
  <si>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</si>
  <si>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</si>
  <si>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</si>
  <si>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</si>
  <si>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</si>
  <si>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</si>
  <si>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</si>
  <si>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</si>
  <si>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</si>
  <si>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</si>
  <si>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</si>
  <si>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</si>
  <si>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</si>
  <si>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</si>
  <si>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</si>
  <si>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</si>
  <si>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</si>
  <si>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</si>
  <si>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</si>
  <si>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</si>
  <si>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</si>
  <si>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</si>
  <si>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</si>
  <si>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</si>
  <si>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</si>
  <si>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</si>
  <si>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</si>
  <si>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</si>
  <si>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</si>
  <si>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</si>
  <si>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</si>
  <si>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</si>
  <si>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</si>
  <si>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</si>
  <si>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</si>
  <si>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</si>
  <si>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</si>
  <si>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</si>
  <si>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</si>
  <si>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</si>
  <si>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</si>
  <si>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</si>
  <si>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</si>
  <si>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</si>
  <si>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</si>
  <si>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</si>
  <si>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</si>
  <si>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</si>
  <si>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</si>
  <si>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</si>
  <si>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</si>
  <si>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</si>
  <si>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</si>
  <si>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</si>
  <si>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</si>
  <si>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</si>
  <si>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</si>
  <si>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</si>
  <si>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</si>
  <si>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</si>
  <si>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</si>
  <si>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</si>
  <si>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</si>
  <si>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</si>
  <si>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</si>
  <si>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</si>
  <si>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</si>
  <si>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</si>
  <si>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</si>
  <si>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</si>
  <si>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</si>
  <si>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Unit has a Stereotactic Breast Biopsy Add-on</t>
  </si>
  <si>
    <t>Revision 2.4.2-2020409</t>
  </si>
  <si>
    <t>Artifact Evaluation Acceptable:</t>
  </si>
  <si>
    <t>Detector Uniformity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</si>
</sst>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9">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22">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Border="1" applyAlignment="1">
      <alignment horizontal="center" vertical="center"/>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29" xfId="0" applyNumberFormat="1"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cellXfs>
  <cellStyles count="7">
    <cellStyle name="Explanatory Text" xfId="1" builtinId="53"/>
    <cellStyle name="Explanatory Text 2" xfId="3" xr:uid="{00000000-0005-0000-0000-000001000000}"/>
    <cellStyle name="Normal" xfId="0" builtinId="0"/>
    <cellStyle name="Normal 2" xfId="2" xr:uid="{00000000-0005-0000-0000-000003000000}"/>
    <cellStyle name="Normal 2 2" xfId="5" xr:uid="{00000000-0005-0000-0000-000004000000}"/>
    <cellStyle name="Normal 3" xfId="4" xr:uid="{00000000-0005-0000-0000-000005000000}"/>
    <cellStyle name="Percent" xfId="6" builtinId="5"/>
  </cellStyles>
  <dxfs count="6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checked="Checked"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checked="Checked"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checked="Checked"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541020</xdr:colOff>
          <xdr:row>13</xdr:row>
          <xdr:rowOff>7620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541020</xdr:colOff>
          <xdr:row>14</xdr:row>
          <xdr:rowOff>7620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15</xdr:row>
          <xdr:rowOff>0</xdr:rowOff>
        </xdr:from>
        <xdr:to>
          <xdr:col>3</xdr:col>
          <xdr:colOff>76200</xdr:colOff>
          <xdr:row>16</xdr:row>
          <xdr:rowOff>7620</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411480</xdr:colOff>
          <xdr:row>15</xdr:row>
          <xdr:rowOff>0</xdr:rowOff>
        </xdr:from>
        <xdr:to>
          <xdr:col>12</xdr:col>
          <xdr:colOff>137160</xdr:colOff>
          <xdr:row>16</xdr:row>
          <xdr:rowOff>7620</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922020</xdr:colOff>
          <xdr:row>16</xdr:row>
          <xdr:rowOff>7620</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236220</xdr:colOff>
          <xdr:row>16</xdr:row>
          <xdr:rowOff>7620</xdr:rowOff>
        </xdr:from>
        <xdr:to>
          <xdr:col>5</xdr:col>
          <xdr:colOff>106680</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2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2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2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2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2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2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2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2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2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2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2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2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2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2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2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2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2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2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2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2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2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2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2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2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2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2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2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2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2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2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2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2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2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2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2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2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2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2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2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2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2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2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2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2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2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2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2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2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2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2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2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2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2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2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2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2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2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2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2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2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2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2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2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2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2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2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2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2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2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2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2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2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2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2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2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2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2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2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2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2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2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2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2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2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2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2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2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2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2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8"/>
  <sheetViews>
    <sheetView workbookViewId="0">
      <selection activeCell="K8" sqref="K8:N8"/>
    </sheetView>
  </sheetViews>
  <sheetFormatPr defaultColWidth="9" defaultRowHeight="13.2"/>
  <cols>
    <col min="1" max="1" width="5" style="31" customWidth="1"/>
    <col min="2" max="2" width="5.5" style="31" customWidth="1"/>
    <col min="3" max="3" width="15.09765625" style="31" customWidth="1"/>
    <col min="4" max="4" width="12" style="31" customWidth="1"/>
    <col min="5" max="5" width="5.69921875" style="31" customWidth="1"/>
    <col min="6" max="6" width="4.09765625" style="31" customWidth="1"/>
    <col min="7" max="10" width="7.59765625" style="31" customWidth="1"/>
    <col min="11" max="11" width="8.5" style="31" customWidth="1"/>
    <col min="12" max="12" width="7.59765625" style="31" customWidth="1"/>
    <col min="13" max="14" width="5.69921875" style="31" customWidth="1"/>
    <col min="15" max="16384" width="9" style="31"/>
  </cols>
  <sheetData>
    <row r="1" spans="1:15" ht="24.6">
      <c r="A1" s="619" t="s">
        <v>405</v>
      </c>
      <c r="B1" s="619"/>
      <c r="C1" s="619"/>
      <c r="D1" s="619"/>
      <c r="E1" s="619"/>
      <c r="F1" s="619"/>
      <c r="G1" s="619"/>
      <c r="H1" s="619"/>
      <c r="I1" s="619"/>
      <c r="J1" s="619"/>
      <c r="K1" s="619"/>
      <c r="L1" s="619"/>
      <c r="M1" s="619"/>
      <c r="N1" s="619"/>
    </row>
    <row r="2" spans="1:15" ht="24.6">
      <c r="A2" s="619" t="s">
        <v>638</v>
      </c>
      <c r="B2" s="619"/>
      <c r="C2" s="619"/>
      <c r="D2" s="619"/>
      <c r="E2" s="619"/>
      <c r="F2" s="619"/>
      <c r="G2" s="619"/>
      <c r="H2" s="619"/>
      <c r="I2" s="619"/>
      <c r="J2" s="619"/>
      <c r="K2" s="619"/>
      <c r="L2" s="619"/>
      <c r="M2" s="619"/>
      <c r="N2" s="619"/>
    </row>
    <row r="3" spans="1:15" ht="16.5" customHeight="1">
      <c r="A3" s="32"/>
      <c r="B3" s="32"/>
      <c r="C3" s="32"/>
      <c r="D3" s="32"/>
      <c r="E3" s="32"/>
      <c r="F3" s="32"/>
      <c r="G3" s="32"/>
      <c r="H3" s="32"/>
      <c r="I3" s="32"/>
      <c r="J3" s="32"/>
      <c r="K3" s="32"/>
      <c r="L3" s="32"/>
      <c r="M3" s="32"/>
      <c r="N3" s="32"/>
    </row>
    <row r="4" spans="1:15" ht="16.5" customHeight="1">
      <c r="A4" s="33" t="s">
        <v>406</v>
      </c>
      <c r="B4" s="33"/>
      <c r="C4" s="620" t="s">
        <v>701</v>
      </c>
      <c r="D4" s="621"/>
      <c r="E4" s="621"/>
      <c r="F4" s="621"/>
      <c r="G4" s="621"/>
      <c r="H4" s="622"/>
      <c r="I4" s="34"/>
      <c r="J4" s="35" t="s">
        <v>407</v>
      </c>
      <c r="K4" s="623"/>
      <c r="L4" s="624"/>
      <c r="M4" s="624"/>
      <c r="N4" s="625"/>
    </row>
    <row r="5" spans="1:15" ht="16.5" customHeight="1">
      <c r="A5" s="33" t="s">
        <v>408</v>
      </c>
      <c r="B5" s="33"/>
      <c r="C5" s="620" t="s">
        <v>702</v>
      </c>
      <c r="D5" s="621"/>
      <c r="E5" s="621"/>
      <c r="F5" s="621"/>
      <c r="G5" s="621"/>
      <c r="H5" s="622"/>
      <c r="I5" s="34"/>
      <c r="J5" s="35" t="s">
        <v>409</v>
      </c>
      <c r="K5" s="623">
        <f>Sheet1!P7</f>
        <v>0</v>
      </c>
      <c r="L5" s="624"/>
      <c r="M5" s="624"/>
      <c r="N5" s="625"/>
    </row>
    <row r="6" spans="1:15" ht="16.5" customHeight="1">
      <c r="A6" s="33" t="s">
        <v>410</v>
      </c>
      <c r="B6" s="33"/>
      <c r="C6" s="33"/>
      <c r="D6" s="620" t="s">
        <v>5</v>
      </c>
      <c r="E6" s="621"/>
      <c r="F6" s="621"/>
      <c r="G6" s="621"/>
      <c r="H6" s="622"/>
      <c r="I6" s="34"/>
      <c r="J6" s="35" t="s">
        <v>411</v>
      </c>
      <c r="K6" s="620"/>
      <c r="L6" s="621"/>
      <c r="M6" s="621"/>
      <c r="N6" s="622"/>
    </row>
    <row r="7" spans="1:15" ht="16.5" customHeight="1">
      <c r="A7" s="33" t="s">
        <v>412</v>
      </c>
      <c r="B7" s="33"/>
      <c r="C7" s="33"/>
      <c r="D7" s="620" t="s">
        <v>413</v>
      </c>
      <c r="E7" s="621"/>
      <c r="F7" s="621"/>
      <c r="G7" s="621"/>
      <c r="H7" s="622"/>
      <c r="I7" s="34"/>
      <c r="J7" s="35" t="s">
        <v>414</v>
      </c>
      <c r="K7" s="620" t="s">
        <v>632</v>
      </c>
      <c r="L7" s="621"/>
      <c r="M7" s="621"/>
      <c r="N7" s="622"/>
    </row>
    <row r="8" spans="1:15" ht="16.5" customHeight="1">
      <c r="A8" s="33" t="s">
        <v>415</v>
      </c>
      <c r="B8" s="33"/>
      <c r="C8" s="33"/>
      <c r="D8" s="626" t="str">
        <f>Sheet1!K16</f>
        <v/>
      </c>
      <c r="E8" s="627"/>
      <c r="F8" s="627"/>
      <c r="G8" s="627"/>
      <c r="H8" s="628"/>
      <c r="I8" s="34"/>
      <c r="J8" s="35" t="s">
        <v>416</v>
      </c>
      <c r="K8" s="620" t="str">
        <f>Sheet1!R14</f>
        <v/>
      </c>
      <c r="L8" s="621"/>
      <c r="M8" s="621"/>
      <c r="N8" s="622"/>
    </row>
    <row r="9" spans="1:15" ht="11.25" customHeight="1">
      <c r="A9" s="36"/>
      <c r="K9" s="37"/>
      <c r="L9" s="37"/>
      <c r="M9" s="37"/>
      <c r="N9" s="37"/>
      <c r="O9" s="37"/>
    </row>
    <row r="10" spans="1:15" s="33" customFormat="1" ht="16.5" customHeight="1">
      <c r="A10" s="36" t="s">
        <v>639</v>
      </c>
      <c r="D10" s="630" t="s">
        <v>703</v>
      </c>
      <c r="E10" s="631"/>
      <c r="F10" s="631"/>
      <c r="G10" s="631"/>
      <c r="H10" s="632"/>
      <c r="I10" s="38" t="s">
        <v>640</v>
      </c>
    </row>
    <row r="11" spans="1:15" ht="11.25" customHeight="1">
      <c r="C11" s="33"/>
      <c r="D11" s="33"/>
      <c r="E11" s="33"/>
      <c r="F11" s="33"/>
      <c r="G11" s="39"/>
      <c r="H11" s="39"/>
      <c r="I11" s="39"/>
      <c r="J11" s="39"/>
      <c r="K11" s="39"/>
      <c r="L11" s="39"/>
      <c r="M11" s="39"/>
      <c r="N11" s="39"/>
      <c r="O11" s="37"/>
    </row>
    <row r="12" spans="1:15" ht="16.5" customHeight="1" thickBot="1">
      <c r="A12" s="33" t="s">
        <v>418</v>
      </c>
      <c r="B12" s="33"/>
      <c r="C12" s="33"/>
      <c r="D12" s="633" t="s">
        <v>419</v>
      </c>
      <c r="E12" s="633"/>
      <c r="F12" s="633"/>
      <c r="G12" s="633" t="s">
        <v>414</v>
      </c>
      <c r="H12" s="633"/>
      <c r="I12" s="633" t="s">
        <v>8</v>
      </c>
      <c r="J12" s="633"/>
      <c r="K12" s="633" t="s">
        <v>417</v>
      </c>
      <c r="L12" s="633"/>
      <c r="M12" s="633"/>
      <c r="N12" s="633"/>
    </row>
    <row r="13" spans="1:15" ht="16.5" customHeight="1" thickTop="1">
      <c r="A13" s="33"/>
      <c r="B13" s="33"/>
      <c r="C13" s="40" t="s">
        <v>420</v>
      </c>
      <c r="D13" s="634" t="s">
        <v>676</v>
      </c>
      <c r="E13" s="635"/>
      <c r="F13" s="636"/>
      <c r="G13" s="634" t="s">
        <v>677</v>
      </c>
      <c r="H13" s="636"/>
      <c r="I13" s="637"/>
      <c r="J13" s="638"/>
      <c r="K13" s="634" t="s">
        <v>678</v>
      </c>
      <c r="L13" s="635"/>
      <c r="M13" s="635"/>
      <c r="N13" s="636"/>
    </row>
    <row r="14" spans="1:15" ht="16.5" customHeight="1">
      <c r="C14" s="40" t="s">
        <v>421</v>
      </c>
      <c r="D14" s="639" t="s">
        <v>676</v>
      </c>
      <c r="E14" s="640"/>
      <c r="F14" s="641"/>
      <c r="G14" s="639" t="s">
        <v>679</v>
      </c>
      <c r="H14" s="641"/>
      <c r="I14" s="630"/>
      <c r="J14" s="632"/>
      <c r="K14" s="639" t="s">
        <v>680</v>
      </c>
      <c r="L14" s="640"/>
      <c r="M14" s="640"/>
      <c r="N14" s="641"/>
    </row>
    <row r="15" spans="1:15" s="41" customFormat="1" ht="36" customHeight="1">
      <c r="A15" s="642" t="s">
        <v>641</v>
      </c>
      <c r="B15" s="642"/>
      <c r="C15" s="642"/>
      <c r="D15" s="642"/>
      <c r="E15" s="642"/>
      <c r="F15" s="642"/>
      <c r="G15" s="642"/>
      <c r="H15" s="642"/>
      <c r="I15" s="642"/>
      <c r="J15" s="642"/>
      <c r="K15" s="642"/>
      <c r="L15" s="642"/>
      <c r="M15" s="642"/>
      <c r="N15" s="642"/>
    </row>
    <row r="16" spans="1:15" ht="16.5" customHeight="1">
      <c r="A16" s="36" t="s">
        <v>422</v>
      </c>
      <c r="B16" s="36"/>
      <c r="C16" s="42"/>
      <c r="D16" s="43" t="s">
        <v>642</v>
      </c>
      <c r="E16" s="42"/>
      <c r="F16" s="42"/>
      <c r="G16" s="35"/>
      <c r="H16" s="44"/>
      <c r="I16" s="45"/>
      <c r="J16" s="35"/>
      <c r="K16" s="42"/>
      <c r="L16" s="42"/>
      <c r="M16" s="46"/>
      <c r="N16" s="40" t="s">
        <v>423</v>
      </c>
    </row>
    <row r="17" spans="1:15" s="54" customFormat="1" ht="15.75" customHeight="1">
      <c r="A17" s="47" t="s">
        <v>643</v>
      </c>
      <c r="B17" s="48"/>
      <c r="C17" s="49"/>
      <c r="D17" s="50" t="s">
        <v>352</v>
      </c>
      <c r="E17" s="49"/>
      <c r="F17" s="50" t="s">
        <v>644</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29" t="s">
        <v>424</v>
      </c>
      <c r="B19" s="629"/>
      <c r="C19" s="629"/>
      <c r="D19" s="629"/>
      <c r="E19" s="629"/>
      <c r="F19" s="629"/>
      <c r="G19" s="629"/>
      <c r="H19" s="629"/>
      <c r="I19" s="629"/>
      <c r="J19" s="629"/>
      <c r="K19" s="629"/>
      <c r="L19" s="629"/>
      <c r="M19" s="629"/>
      <c r="N19" s="629"/>
    </row>
    <row r="20" spans="1:15" ht="15" customHeight="1">
      <c r="A20" s="645" t="s">
        <v>425</v>
      </c>
      <c r="B20" s="645"/>
      <c r="C20" s="645"/>
      <c r="D20" s="645"/>
      <c r="E20" s="645"/>
      <c r="F20" s="645"/>
      <c r="G20" s="645"/>
      <c r="H20" s="645"/>
      <c r="I20" s="645"/>
      <c r="J20" s="645"/>
      <c r="K20" s="645"/>
      <c r="L20" s="645"/>
      <c r="M20" s="645"/>
      <c r="N20" s="645"/>
    </row>
    <row r="21" spans="1:15" ht="15" customHeight="1">
      <c r="M21" s="646" t="s">
        <v>426</v>
      </c>
      <c r="N21" s="646"/>
    </row>
    <row r="22" spans="1:15" ht="15.75" customHeight="1">
      <c r="A22" s="58" t="s">
        <v>427</v>
      </c>
      <c r="B22" s="33"/>
      <c r="C22" s="33"/>
      <c r="D22" s="33"/>
      <c r="E22" s="33"/>
      <c r="F22" s="59"/>
      <c r="G22" s="59"/>
      <c r="H22" s="33"/>
      <c r="I22" s="33"/>
      <c r="J22" s="33"/>
      <c r="K22" s="33"/>
      <c r="L22" s="33"/>
      <c r="M22" s="643"/>
      <c r="N22" s="644"/>
    </row>
    <row r="23" spans="1:15" ht="15.75" customHeight="1">
      <c r="A23" s="58" t="s">
        <v>428</v>
      </c>
      <c r="B23" s="33"/>
      <c r="C23" s="33"/>
      <c r="D23" s="33"/>
      <c r="E23" s="33"/>
      <c r="F23" s="59"/>
      <c r="G23" s="59"/>
      <c r="H23" s="33"/>
      <c r="I23" s="33"/>
      <c r="J23" s="33"/>
      <c r="K23" s="33"/>
      <c r="L23" s="33"/>
      <c r="M23" s="643"/>
      <c r="N23" s="644"/>
    </row>
    <row r="24" spans="1:15" ht="15.75" customHeight="1">
      <c r="A24" s="58" t="s">
        <v>429</v>
      </c>
      <c r="B24" s="33"/>
      <c r="C24" s="33"/>
      <c r="D24" s="33"/>
      <c r="E24" s="33"/>
      <c r="F24" s="59"/>
      <c r="G24" s="59"/>
      <c r="H24" s="33"/>
      <c r="I24" s="33"/>
      <c r="J24" s="34"/>
      <c r="K24" s="34"/>
      <c r="L24" s="34"/>
      <c r="M24" s="643"/>
      <c r="N24" s="644"/>
    </row>
    <row r="25" spans="1:15" ht="15.75" customHeight="1">
      <c r="A25" s="58" t="s">
        <v>430</v>
      </c>
      <c r="B25" s="33"/>
      <c r="C25" s="33"/>
      <c r="D25" s="33"/>
      <c r="E25" s="33"/>
      <c r="F25" s="59"/>
      <c r="G25" s="59"/>
      <c r="H25" s="33"/>
      <c r="I25" s="33"/>
      <c r="J25" s="33"/>
      <c r="K25" s="33"/>
      <c r="L25" s="33"/>
      <c r="M25" s="643"/>
      <c r="N25" s="644"/>
    </row>
    <row r="26" spans="1:15" ht="15.75" customHeight="1">
      <c r="A26" s="58" t="s">
        <v>431</v>
      </c>
      <c r="B26" s="33"/>
      <c r="C26" s="33"/>
      <c r="D26" s="33"/>
      <c r="E26" s="33"/>
      <c r="F26" s="59"/>
      <c r="G26" s="59"/>
      <c r="H26" s="33"/>
      <c r="I26" s="33"/>
      <c r="J26" s="33"/>
      <c r="K26" s="33"/>
      <c r="L26" s="33"/>
      <c r="M26" s="643"/>
      <c r="N26" s="644"/>
    </row>
    <row r="27" spans="1:15" ht="15.75" customHeight="1">
      <c r="A27" s="58" t="s">
        <v>432</v>
      </c>
      <c r="B27" s="33"/>
      <c r="C27" s="33"/>
      <c r="D27" s="33"/>
      <c r="E27" s="33"/>
      <c r="F27" s="59"/>
      <c r="G27" s="59"/>
      <c r="H27" s="33"/>
      <c r="I27" s="33"/>
      <c r="J27" s="33"/>
      <c r="K27" s="33"/>
      <c r="L27" s="33"/>
      <c r="M27" s="643"/>
      <c r="N27" s="644"/>
    </row>
    <row r="28" spans="1:15" ht="15.75" customHeight="1">
      <c r="A28" s="58" t="s">
        <v>645</v>
      </c>
      <c r="B28" s="33"/>
      <c r="C28" s="33"/>
      <c r="D28" s="33"/>
      <c r="E28" s="33"/>
      <c r="F28" s="59"/>
      <c r="G28" s="59"/>
      <c r="H28" s="33"/>
      <c r="I28" s="33"/>
      <c r="J28" s="33"/>
      <c r="K28" s="33"/>
      <c r="L28" s="33"/>
      <c r="M28" s="643"/>
      <c r="N28" s="644"/>
    </row>
    <row r="29" spans="1:15" ht="15.75" customHeight="1">
      <c r="A29" s="58" t="s">
        <v>646</v>
      </c>
      <c r="B29" s="33"/>
      <c r="C29" s="33"/>
      <c r="D29" s="33"/>
      <c r="E29" s="33"/>
      <c r="F29" s="59"/>
      <c r="G29" s="59"/>
      <c r="H29" s="33"/>
      <c r="I29" s="33"/>
      <c r="J29" s="33"/>
      <c r="K29" s="33"/>
      <c r="L29" s="33"/>
    </row>
    <row r="30" spans="1:15" ht="15.75" customHeight="1">
      <c r="A30" s="33"/>
      <c r="B30" s="60" t="s">
        <v>647</v>
      </c>
      <c r="F30" s="61"/>
      <c r="G30" s="61"/>
      <c r="K30" s="142" t="str">
        <f>Sheet1!X297</f>
        <v/>
      </c>
      <c r="L30" s="62" t="s">
        <v>327</v>
      </c>
      <c r="M30" s="643"/>
      <c r="N30" s="644"/>
    </row>
    <row r="31" spans="1:15" ht="15.75" customHeight="1">
      <c r="A31" s="33"/>
      <c r="B31" s="62" t="s">
        <v>648</v>
      </c>
      <c r="C31" s="63"/>
      <c r="D31" s="64"/>
      <c r="E31" s="64"/>
      <c r="F31" s="65"/>
      <c r="G31" s="65"/>
      <c r="H31" s="64"/>
      <c r="I31" s="64"/>
      <c r="J31" s="64"/>
      <c r="K31" s="143" t="str">
        <f>Sheet1!X312</f>
        <v/>
      </c>
      <c r="L31" s="62" t="s">
        <v>327</v>
      </c>
      <c r="M31" s="643"/>
      <c r="N31" s="644"/>
    </row>
    <row r="32" spans="1:15" ht="15.75" customHeight="1">
      <c r="A32" s="33" t="s">
        <v>433</v>
      </c>
      <c r="B32" s="33"/>
      <c r="C32" s="33"/>
      <c r="D32" s="33"/>
      <c r="E32" s="33"/>
      <c r="F32" s="59"/>
      <c r="G32" s="59"/>
      <c r="H32" s="33"/>
      <c r="I32" s="33"/>
      <c r="J32" s="33"/>
      <c r="K32" s="33"/>
      <c r="L32" s="33"/>
      <c r="M32" s="643"/>
      <c r="N32" s="644"/>
    </row>
    <row r="33" spans="1:14" ht="15.75" customHeight="1" thickBot="1">
      <c r="A33" s="33" t="s">
        <v>434</v>
      </c>
      <c r="B33" s="33"/>
      <c r="C33" s="33"/>
      <c r="D33" s="33"/>
      <c r="E33" s="33"/>
      <c r="F33" s="33"/>
      <c r="G33" s="66" t="s">
        <v>435</v>
      </c>
      <c r="H33" s="66" t="s">
        <v>436</v>
      </c>
      <c r="I33" s="66" t="s">
        <v>437</v>
      </c>
      <c r="J33" s="33"/>
      <c r="K33" s="33"/>
      <c r="L33" s="33"/>
    </row>
    <row r="34" spans="1:14" ht="15.75" customHeight="1" thickTop="1">
      <c r="C34" s="60" t="s">
        <v>649</v>
      </c>
      <c r="D34" s="42"/>
      <c r="E34" s="42"/>
      <c r="F34" s="67"/>
      <c r="G34" s="68" t="str">
        <f>IF(Sheet1!P460="","",Sheet1!P460)</f>
        <v/>
      </c>
      <c r="H34" s="68" t="str">
        <f>IF(Sheet1!P461="","",Sheet1!P461)</f>
        <v/>
      </c>
      <c r="I34" s="69" t="str">
        <f>IF(Sheet1!P462="","",Sheet1!P462)</f>
        <v/>
      </c>
      <c r="K34" s="37"/>
      <c r="L34" s="37"/>
      <c r="M34" s="643"/>
      <c r="N34" s="644"/>
    </row>
    <row r="35" spans="1:14" ht="15.75" customHeight="1">
      <c r="C35" s="63" t="s">
        <v>650</v>
      </c>
      <c r="D35" s="62"/>
      <c r="E35" s="62"/>
      <c r="F35" s="70"/>
      <c r="G35" s="71" t="str">
        <f>IF(Sheet1!T460="","",Sheet1!T460)</f>
        <v/>
      </c>
      <c r="H35" s="71" t="str">
        <f>IF(Sheet1!T461="","",Sheet1!T461)</f>
        <v/>
      </c>
      <c r="I35" s="71" t="str">
        <f>IF(Sheet1!T462="","",Sheet1!T462)</f>
        <v/>
      </c>
      <c r="L35" s="37"/>
      <c r="M35" s="643"/>
      <c r="N35" s="644"/>
    </row>
    <row r="36" spans="1:14" ht="15.75" customHeight="1">
      <c r="A36" s="33" t="s">
        <v>651</v>
      </c>
      <c r="B36" s="33"/>
      <c r="C36" s="33"/>
      <c r="D36" s="33"/>
      <c r="E36" s="33"/>
      <c r="F36" s="59"/>
      <c r="G36" s="59"/>
      <c r="H36" s="33"/>
      <c r="I36" s="33"/>
      <c r="J36" s="33"/>
      <c r="K36" s="33"/>
      <c r="L36" s="34"/>
      <c r="M36" s="39"/>
      <c r="N36" s="39"/>
    </row>
    <row r="37" spans="1:14" ht="15.75" customHeight="1">
      <c r="A37" s="33"/>
      <c r="B37" s="33"/>
      <c r="C37" s="42" t="s">
        <v>652</v>
      </c>
      <c r="D37" s="141" t="e">
        <f>Sheet1!T472</f>
        <v>#DIV/0!</v>
      </c>
      <c r="E37" s="33"/>
      <c r="F37" s="59"/>
      <c r="G37" s="59"/>
      <c r="H37" s="33"/>
      <c r="I37" s="33"/>
      <c r="J37" s="67"/>
      <c r="K37" s="72"/>
      <c r="L37" s="72"/>
      <c r="M37" s="643"/>
      <c r="N37" s="644"/>
    </row>
    <row r="38" spans="1:14" ht="15.75" customHeight="1">
      <c r="A38" s="33"/>
      <c r="B38" s="33"/>
      <c r="C38" s="42" t="s">
        <v>653</v>
      </c>
      <c r="D38" s="141" t="e">
        <f>Sheet1!T473</f>
        <v>#DIV/0!</v>
      </c>
      <c r="E38" s="73" t="s">
        <v>654</v>
      </c>
      <c r="F38" s="59"/>
      <c r="G38" s="59"/>
      <c r="H38" s="33"/>
      <c r="I38" s="33"/>
      <c r="J38" s="74"/>
      <c r="K38" s="72"/>
      <c r="L38" s="72"/>
      <c r="M38" s="42"/>
      <c r="N38" s="42"/>
    </row>
    <row r="39" spans="1:14" ht="15.75" customHeight="1">
      <c r="A39" s="33"/>
      <c r="B39" s="33"/>
      <c r="C39" s="42" t="s">
        <v>655</v>
      </c>
      <c r="D39" s="33"/>
      <c r="E39" s="33"/>
      <c r="F39" s="59"/>
      <c r="G39" s="59"/>
      <c r="H39" s="33"/>
      <c r="I39" s="33"/>
      <c r="J39" s="67"/>
      <c r="K39" s="72"/>
      <c r="L39" s="72"/>
      <c r="M39" s="643"/>
      <c r="N39" s="644"/>
    </row>
    <row r="40" spans="1:14" ht="15.75" customHeight="1">
      <c r="A40" s="33" t="s">
        <v>656</v>
      </c>
      <c r="B40" s="33"/>
      <c r="C40" s="33"/>
      <c r="D40" s="33"/>
      <c r="E40" s="33"/>
      <c r="F40" s="33"/>
      <c r="G40" s="33"/>
      <c r="H40" s="33"/>
      <c r="I40" s="33"/>
      <c r="J40" s="33"/>
      <c r="K40" s="33"/>
      <c r="L40" s="33"/>
      <c r="M40" s="643"/>
      <c r="N40" s="644"/>
    </row>
    <row r="41" spans="1:14" ht="15.75" customHeight="1">
      <c r="A41" s="33" t="s">
        <v>657</v>
      </c>
      <c r="B41" s="33"/>
      <c r="C41" s="33"/>
      <c r="D41" s="33"/>
      <c r="E41" s="33"/>
      <c r="F41" s="33"/>
      <c r="G41" s="33"/>
      <c r="H41" s="33"/>
      <c r="I41" s="33"/>
      <c r="J41" s="33"/>
      <c r="K41" s="33"/>
      <c r="L41" s="33"/>
      <c r="M41" s="643"/>
      <c r="N41" s="644"/>
    </row>
    <row r="42" spans="1:14" ht="15.75" customHeight="1">
      <c r="A42" s="33" t="s">
        <v>658</v>
      </c>
      <c r="B42" s="33"/>
      <c r="C42" s="33"/>
      <c r="D42" s="33"/>
      <c r="E42" s="33"/>
      <c r="F42" s="33"/>
      <c r="G42" s="33"/>
      <c r="H42" s="33"/>
      <c r="I42" s="33"/>
      <c r="J42" s="33"/>
      <c r="K42" s="33"/>
      <c r="L42" s="33"/>
      <c r="M42" s="643"/>
      <c r="N42" s="644"/>
    </row>
    <row r="43" spans="1:14" ht="15.75" customHeight="1">
      <c r="A43" s="58" t="s">
        <v>659</v>
      </c>
      <c r="B43" s="58"/>
      <c r="C43" s="58"/>
      <c r="D43" s="58"/>
      <c r="E43" s="58"/>
      <c r="F43" s="58"/>
      <c r="G43" s="58"/>
      <c r="H43" s="58"/>
      <c r="I43" s="58"/>
      <c r="J43" s="58"/>
      <c r="K43" s="58"/>
      <c r="L43" s="33"/>
      <c r="M43" s="643"/>
      <c r="N43" s="648"/>
    </row>
    <row r="44" spans="1:14" ht="15.75" customHeight="1">
      <c r="A44" s="33" t="s">
        <v>660</v>
      </c>
      <c r="B44" s="33"/>
      <c r="C44" s="33"/>
      <c r="D44" s="33"/>
      <c r="E44" s="33"/>
      <c r="F44" s="33"/>
      <c r="G44" s="33"/>
      <c r="H44" s="33"/>
      <c r="I44" s="33"/>
      <c r="J44" s="33"/>
      <c r="K44" s="33"/>
      <c r="L44" s="33"/>
      <c r="M44" s="643"/>
      <c r="N44" s="644"/>
    </row>
    <row r="45" spans="1:14" ht="15.75" customHeight="1">
      <c r="A45" s="33" t="s">
        <v>661</v>
      </c>
      <c r="B45" s="33"/>
      <c r="C45" s="33"/>
      <c r="D45" s="33"/>
      <c r="E45" s="33"/>
      <c r="F45" s="33"/>
      <c r="G45" s="33"/>
      <c r="H45" s="33"/>
      <c r="I45" s="33"/>
      <c r="J45" s="33"/>
      <c r="K45" s="33"/>
      <c r="L45" s="33"/>
      <c r="M45" s="643"/>
      <c r="N45" s="644"/>
    </row>
    <row r="46" spans="1:14" ht="15.75" customHeight="1">
      <c r="A46" s="33" t="s">
        <v>662</v>
      </c>
      <c r="B46" s="33"/>
      <c r="C46" s="33"/>
      <c r="D46" s="33"/>
      <c r="E46" s="33"/>
      <c r="F46" s="33"/>
      <c r="G46" s="33"/>
      <c r="H46" s="33"/>
      <c r="I46" s="33"/>
      <c r="J46" s="33"/>
      <c r="K46" s="33"/>
      <c r="L46" s="33"/>
      <c r="M46" s="643"/>
      <c r="N46" s="644"/>
    </row>
    <row r="47" spans="1:14" ht="15.75" customHeight="1">
      <c r="A47" s="33"/>
      <c r="B47" s="33"/>
      <c r="C47" s="33"/>
      <c r="D47" s="33"/>
      <c r="E47" s="33"/>
      <c r="F47" s="33"/>
      <c r="G47" s="33"/>
      <c r="H47" s="33"/>
      <c r="I47" s="33"/>
      <c r="J47" s="33"/>
      <c r="K47" s="33"/>
      <c r="L47" s="33"/>
      <c r="M47" s="72"/>
      <c r="N47" s="72"/>
    </row>
    <row r="48" spans="1:14" ht="15.75" customHeight="1">
      <c r="A48" s="647" t="s">
        <v>663</v>
      </c>
      <c r="B48" s="647"/>
      <c r="C48" s="647"/>
      <c r="D48" s="647"/>
      <c r="E48" s="647"/>
      <c r="F48" s="647"/>
      <c r="G48" s="647"/>
      <c r="H48" s="647"/>
      <c r="I48" s="647"/>
      <c r="J48" s="647"/>
      <c r="K48" s="647"/>
      <c r="L48" s="647"/>
      <c r="M48" s="647"/>
      <c r="N48" s="647"/>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618" priority="7" stopIfTrue="1" operator="equal">
      <formula>"Fail"</formula>
    </cfRule>
  </conditionalFormatting>
  <conditionalFormatting sqref="M41:N41">
    <cfRule type="cellIs" dxfId="617" priority="6" stopIfTrue="1" operator="equal">
      <formula>"Fail"</formula>
    </cfRule>
  </conditionalFormatting>
  <conditionalFormatting sqref="M34:N34">
    <cfRule type="cellIs" dxfId="616" priority="5" stopIfTrue="1" operator="equal">
      <formula>"Fail"</formula>
    </cfRule>
  </conditionalFormatting>
  <conditionalFormatting sqref="M31:N31">
    <cfRule type="cellIs" dxfId="615" priority="2" stopIfTrue="1" operator="equal">
      <formula>"Fail"</formula>
    </cfRule>
  </conditionalFormatting>
  <conditionalFormatting sqref="M35:N35">
    <cfRule type="cellIs" dxfId="614" priority="4" stopIfTrue="1" operator="equal">
      <formula>"Fail"</formula>
    </cfRule>
  </conditionalFormatting>
  <conditionalFormatting sqref="M30:N30">
    <cfRule type="cellIs" dxfId="613" priority="3" stopIfTrue="1" operator="equal">
      <formula>"Fail"</formula>
    </cfRule>
  </conditionalFormatting>
  <conditionalFormatting sqref="M46:N46">
    <cfRule type="cellIs" dxfId="612" priority="1" stopIfTrue="1" operator="equal">
      <formula>"Fail"</formula>
    </cfRule>
  </conditionalFormatting>
  <dataValidations count="7">
    <dataValidation type="list" allowBlank="1" sqref="K7:N7" xr:uid="{00000000-0002-0000-0000-000000000000}">
      <formula1>Model</formula1>
    </dataValidation>
    <dataValidation type="list" allowBlank="1" showInputMessage="1" showErrorMessage="1" sqref="M37:N37 M34:N34 M22:N27 M32:N32 M30:N30" xr:uid="{00000000-0002-0000-0000-000001000000}">
      <formula1>PF</formula1>
    </dataValidation>
    <dataValidation type="list" allowBlank="1" showInputMessage="1" showErrorMessage="1" sqref="M28:N28 N39:N42 M31:N31 M35:N35 N44:N47 M39:M47" xr:uid="{00000000-0002-0000-0000-000002000000}">
      <formula1>NA</formula1>
    </dataValidation>
    <dataValidation type="list" allowBlank="1" showInputMessage="1" sqref="G34" xr:uid="{00000000-0002-0000-0000-000003000000}">
      <formula1>FiberList</formula1>
    </dataValidation>
    <dataValidation type="list" allowBlank="1" showInputMessage="1" sqref="G35" xr:uid="{00000000-0002-0000-0000-000004000000}">
      <formula1>"FiberList"</formula1>
    </dataValidation>
    <dataValidation type="list" allowBlank="1" showInputMessage="1" sqref="H34:I35" xr:uid="{00000000-0002-0000-0000-000005000000}">
      <formula1>SpeckMassList</formula1>
    </dataValidation>
    <dataValidation allowBlank="1" showInputMessage="1" sqref="D37:D38" xr:uid="{00000000-0002-0000-0000-000006000000}"/>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541020</xdr:colOff>
                    <xdr:row>13</xdr:row>
                    <xdr:rowOff>7620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541020</xdr:colOff>
                    <xdr:row>14</xdr:row>
                    <xdr:rowOff>7620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922020</xdr:colOff>
                    <xdr:row>15</xdr:row>
                    <xdr:rowOff>0</xdr:rowOff>
                  </from>
                  <to>
                    <xdr:col>3</xdr:col>
                    <xdr:colOff>76200</xdr:colOff>
                    <xdr:row>16</xdr:row>
                    <xdr:rowOff>7620</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411480</xdr:colOff>
                    <xdr:row>15</xdr:row>
                    <xdr:rowOff>0</xdr:rowOff>
                  </from>
                  <to>
                    <xdr:col>12</xdr:col>
                    <xdr:colOff>137160</xdr:colOff>
                    <xdr:row>16</xdr:row>
                    <xdr:rowOff>7620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922020</xdr:colOff>
                    <xdr:row>16</xdr:row>
                    <xdr:rowOff>7620</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236220</xdr:colOff>
                    <xdr:row>16</xdr:row>
                    <xdr:rowOff>7620</xdr:rowOff>
                  </from>
                  <to>
                    <xdr:col>5</xdr:col>
                    <xdr:colOff>106680</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sqref="A1:L1"/>
    </sheetView>
  </sheetViews>
  <sheetFormatPr defaultColWidth="9" defaultRowHeight="13.2"/>
  <cols>
    <col min="1" max="1" width="3.3984375" style="31" customWidth="1"/>
    <col min="2" max="2" width="18.09765625" style="31" customWidth="1"/>
    <col min="3" max="4" width="8.59765625" style="31" customWidth="1"/>
    <col min="5" max="5" width="5.69921875" style="31" customWidth="1"/>
    <col min="6" max="6" width="3.19921875" style="31" customWidth="1"/>
    <col min="7" max="7" width="13.69921875" style="31" customWidth="1"/>
    <col min="8" max="8" width="11.09765625" style="31" customWidth="1"/>
    <col min="9" max="9" width="9.19921875" style="31" customWidth="1"/>
    <col min="10" max="10" width="8.3984375" style="31" customWidth="1"/>
    <col min="11" max="11" width="9" style="31"/>
    <col min="12" max="12" width="4.09765625" style="31" customWidth="1"/>
    <col min="13" max="16384" width="9" style="31"/>
  </cols>
  <sheetData>
    <row r="1" spans="1:12" ht="27" customHeight="1">
      <c r="A1" s="652" t="s">
        <v>405</v>
      </c>
      <c r="B1" s="652"/>
      <c r="C1" s="652"/>
      <c r="D1" s="652"/>
      <c r="E1" s="652"/>
      <c r="F1" s="652"/>
      <c r="G1" s="652"/>
      <c r="H1" s="652"/>
      <c r="I1" s="652"/>
      <c r="J1" s="652"/>
      <c r="K1" s="652"/>
      <c r="L1" s="652"/>
    </row>
    <row r="2" spans="1:12" ht="18" customHeight="1">
      <c r="A2" s="653" t="s">
        <v>664</v>
      </c>
      <c r="B2" s="654"/>
      <c r="C2" s="654"/>
      <c r="D2" s="654"/>
      <c r="E2" s="654"/>
      <c r="F2" s="654"/>
      <c r="G2" s="654"/>
      <c r="H2" s="654"/>
      <c r="I2" s="654"/>
      <c r="J2" s="654"/>
      <c r="K2" s="654"/>
      <c r="L2" s="654"/>
    </row>
    <row r="3" spans="1:12" ht="15.75" customHeight="1"/>
    <row r="4" spans="1:12" ht="24" customHeight="1">
      <c r="A4" s="655" t="s">
        <v>440</v>
      </c>
      <c r="B4" s="655"/>
      <c r="C4" s="655"/>
      <c r="D4" s="655"/>
      <c r="E4" s="655"/>
      <c r="F4" s="655"/>
      <c r="G4" s="655"/>
      <c r="H4" s="655"/>
      <c r="I4" s="655"/>
      <c r="J4" s="655"/>
      <c r="K4" s="655"/>
      <c r="L4" s="655"/>
    </row>
    <row r="5" spans="1:12" ht="42" customHeight="1">
      <c r="A5" s="656" t="s">
        <v>665</v>
      </c>
      <c r="B5" s="656"/>
      <c r="C5" s="656"/>
      <c r="D5" s="656"/>
      <c r="E5" s="656"/>
      <c r="F5" s="656"/>
      <c r="G5" s="656"/>
      <c r="H5" s="656"/>
      <c r="I5" s="656"/>
      <c r="J5" s="656"/>
      <c r="K5" s="656"/>
      <c r="L5" s="656"/>
    </row>
    <row r="6" spans="1:12" ht="15" customHeight="1">
      <c r="A6" s="75" t="s">
        <v>666</v>
      </c>
      <c r="B6" s="76"/>
      <c r="C6" s="76"/>
      <c r="D6" s="76"/>
      <c r="E6" s="76"/>
      <c r="F6" s="76"/>
      <c r="G6" s="76"/>
      <c r="H6" s="76"/>
      <c r="I6" s="77"/>
      <c r="J6" s="78"/>
      <c r="K6" s="78"/>
      <c r="L6" s="79"/>
    </row>
    <row r="7" spans="1:12" ht="15" customHeight="1">
      <c r="A7" s="80" t="s">
        <v>667</v>
      </c>
      <c r="B7" s="81"/>
      <c r="C7" s="81"/>
      <c r="D7" s="81"/>
      <c r="E7" s="81"/>
      <c r="F7" s="81"/>
      <c r="G7" s="81"/>
      <c r="H7" s="81"/>
      <c r="I7" s="81"/>
      <c r="J7" s="81"/>
      <c r="K7" s="81"/>
      <c r="L7" s="82"/>
    </row>
    <row r="8" spans="1:12" ht="15" customHeight="1">
      <c r="J8" s="657"/>
      <c r="K8" s="657"/>
      <c r="L8" s="657"/>
    </row>
    <row r="9" spans="1:12" ht="15" customHeight="1">
      <c r="A9" s="37"/>
      <c r="E9" s="37"/>
      <c r="H9" s="83" t="s">
        <v>441</v>
      </c>
      <c r="I9" s="54"/>
      <c r="J9" s="658" t="s">
        <v>426</v>
      </c>
      <c r="K9" s="658"/>
      <c r="L9" s="658"/>
    </row>
    <row r="10" spans="1:12" ht="15.75" customHeight="1">
      <c r="A10" s="84" t="s">
        <v>442</v>
      </c>
      <c r="B10" s="85" t="s">
        <v>668</v>
      </c>
      <c r="H10" s="86" t="s">
        <v>443</v>
      </c>
      <c r="J10" s="649"/>
      <c r="K10" s="650"/>
      <c r="L10" s="651"/>
    </row>
    <row r="11" spans="1:12" ht="15.75" customHeight="1">
      <c r="A11" s="87" t="s">
        <v>444</v>
      </c>
      <c r="B11" s="85" t="s">
        <v>445</v>
      </c>
      <c r="H11" s="86" t="s">
        <v>443</v>
      </c>
      <c r="J11" s="649"/>
      <c r="K11" s="650"/>
      <c r="L11" s="651"/>
    </row>
    <row r="12" spans="1:12" ht="15.75" customHeight="1">
      <c r="A12" s="87" t="s">
        <v>446</v>
      </c>
      <c r="B12" s="85" t="s">
        <v>175</v>
      </c>
      <c r="H12" s="86" t="s">
        <v>443</v>
      </c>
      <c r="J12" s="649"/>
      <c r="K12" s="650"/>
      <c r="L12" s="651"/>
    </row>
    <row r="13" spans="1:12" ht="15.75" customHeight="1">
      <c r="A13" s="87" t="s">
        <v>447</v>
      </c>
      <c r="B13" s="85" t="s">
        <v>448</v>
      </c>
      <c r="H13" s="86" t="s">
        <v>443</v>
      </c>
      <c r="J13" s="649"/>
      <c r="K13" s="650"/>
      <c r="L13" s="651"/>
    </row>
    <row r="14" spans="1:12" ht="15.75" customHeight="1">
      <c r="A14" s="87" t="s">
        <v>449</v>
      </c>
      <c r="B14" s="85" t="s">
        <v>450</v>
      </c>
      <c r="H14" s="86" t="s">
        <v>443</v>
      </c>
      <c r="J14" s="649"/>
      <c r="K14" s="650"/>
      <c r="L14" s="651"/>
    </row>
    <row r="15" spans="1:12" ht="15.75" customHeight="1">
      <c r="A15" s="87" t="s">
        <v>451</v>
      </c>
      <c r="B15" s="85" t="s">
        <v>452</v>
      </c>
      <c r="H15" s="86" t="s">
        <v>443</v>
      </c>
      <c r="J15" s="649"/>
      <c r="K15" s="650"/>
      <c r="L15" s="651"/>
    </row>
    <row r="16" spans="1:12" ht="15.75" customHeight="1">
      <c r="A16" s="87" t="s">
        <v>453</v>
      </c>
      <c r="B16" s="88" t="s">
        <v>166</v>
      </c>
      <c r="H16" s="86" t="s">
        <v>454</v>
      </c>
      <c r="J16" s="649"/>
      <c r="K16" s="650"/>
      <c r="L16" s="651"/>
    </row>
    <row r="17" spans="1:12" ht="15.75" customHeight="1">
      <c r="A17" s="87" t="s">
        <v>455</v>
      </c>
      <c r="B17" s="88" t="s">
        <v>456</v>
      </c>
      <c r="H17" s="86" t="s">
        <v>457</v>
      </c>
      <c r="J17" s="649"/>
      <c r="K17" s="650"/>
      <c r="L17" s="651"/>
    </row>
    <row r="18" spans="1:12" ht="15.75" customHeight="1">
      <c r="A18" s="84" t="s">
        <v>458</v>
      </c>
      <c r="B18" s="85" t="s">
        <v>459</v>
      </c>
      <c r="H18" s="86" t="s">
        <v>460</v>
      </c>
      <c r="J18" s="649"/>
      <c r="K18" s="650"/>
      <c r="L18" s="651"/>
    </row>
    <row r="19" spans="1:12" ht="15.75" customHeight="1">
      <c r="A19" s="84" t="s">
        <v>461</v>
      </c>
      <c r="B19" s="85" t="s">
        <v>462</v>
      </c>
      <c r="H19" s="89" t="s">
        <v>463</v>
      </c>
      <c r="J19" s="649"/>
      <c r="K19" s="650"/>
      <c r="L19" s="651"/>
    </row>
    <row r="20" spans="1:12" ht="15.75" customHeight="1">
      <c r="A20" s="90" t="s">
        <v>464</v>
      </c>
      <c r="B20" s="85" t="s">
        <v>669</v>
      </c>
      <c r="C20" s="64"/>
      <c r="D20" s="64"/>
      <c r="E20" s="64"/>
      <c r="F20" s="64"/>
      <c r="G20" s="64"/>
      <c r="H20" s="91" t="s">
        <v>463</v>
      </c>
      <c r="J20" s="649"/>
      <c r="K20" s="650"/>
      <c r="L20" s="651"/>
    </row>
    <row r="21" spans="1:12" ht="15.75" customHeight="1">
      <c r="A21" s="84" t="s">
        <v>465</v>
      </c>
      <c r="B21" s="85" t="s">
        <v>670</v>
      </c>
      <c r="H21" s="89" t="s">
        <v>671</v>
      </c>
      <c r="J21" s="649"/>
      <c r="K21" s="650"/>
      <c r="L21" s="651"/>
    </row>
    <row r="22" spans="1:12" ht="15.75" customHeight="1">
      <c r="A22" s="84" t="s">
        <v>672</v>
      </c>
      <c r="B22" s="85" t="s">
        <v>673</v>
      </c>
      <c r="H22" s="86" t="s">
        <v>674</v>
      </c>
      <c r="J22" s="649"/>
      <c r="K22" s="650"/>
      <c r="L22" s="651"/>
    </row>
    <row r="23" spans="1:12" ht="15.75" customHeight="1"/>
    <row r="24" spans="1:12" ht="24" customHeight="1">
      <c r="A24" s="659" t="s">
        <v>466</v>
      </c>
      <c r="B24" s="659"/>
      <c r="C24" s="659"/>
      <c r="D24" s="659"/>
      <c r="E24" s="659"/>
      <c r="F24" s="659"/>
      <c r="G24" s="659"/>
      <c r="H24" s="659"/>
      <c r="I24" s="659"/>
      <c r="J24" s="659"/>
      <c r="K24" s="659"/>
      <c r="L24" s="659"/>
    </row>
    <row r="25" spans="1:12" ht="15" customHeight="1"/>
    <row r="26" spans="1:12" ht="241.5" customHeight="1">
      <c r="A26" s="660"/>
      <c r="B26" s="661"/>
      <c r="C26" s="661"/>
      <c r="D26" s="661"/>
      <c r="E26" s="661"/>
      <c r="F26" s="661"/>
      <c r="G26" s="661"/>
      <c r="H26" s="661"/>
      <c r="I26" s="661"/>
      <c r="J26" s="661"/>
      <c r="K26" s="661"/>
      <c r="L26" s="662"/>
    </row>
    <row r="27" spans="1:12" ht="15" customHeight="1" thickBot="1"/>
    <row r="28" spans="1:12" ht="204.75" customHeight="1" thickBot="1">
      <c r="A28" s="663" t="s">
        <v>675</v>
      </c>
      <c r="B28" s="664"/>
      <c r="C28" s="664"/>
      <c r="D28" s="664"/>
      <c r="E28" s="664"/>
      <c r="F28" s="664"/>
      <c r="G28" s="664"/>
      <c r="H28" s="664"/>
      <c r="I28" s="664"/>
      <c r="J28" s="664"/>
      <c r="K28" s="664"/>
      <c r="L28" s="665"/>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611" priority="2" stopIfTrue="1" operator="equal">
      <formula>"Fail"</formula>
    </cfRule>
  </conditionalFormatting>
  <conditionalFormatting sqref="J21:L21">
    <cfRule type="cellIs" dxfId="610" priority="1" stopIfTrue="1" operator="equal">
      <formula>"Fail"</formula>
    </cfRule>
  </conditionalFormatting>
  <dataValidations count="2">
    <dataValidation type="list" allowBlank="1" showInputMessage="1" showErrorMessage="1" sqref="J11:L19" xr:uid="{00000000-0002-0000-0100-000000000000}">
      <formula1>PF</formula1>
    </dataValidation>
    <dataValidation type="list" allowBlank="1" showInputMessage="1" showErrorMessage="1" sqref="J21:L22 J10:L10 J20" xr:uid="{00000000-0002-0000-0100-00000100000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zoomScaleNormal="100" workbookViewId="0">
      <selection activeCell="E6" sqref="E6"/>
    </sheetView>
  </sheetViews>
  <sheetFormatPr defaultRowHeight="13.2"/>
  <cols>
    <col min="1" max="1" width="13.5" style="31" customWidth="1"/>
    <col min="2" max="2" width="6.5" style="31" customWidth="1"/>
    <col min="3" max="3" width="36.19921875" style="31" customWidth="1"/>
    <col min="4" max="4" width="9.8984375" style="31" customWidth="1"/>
    <col min="5" max="5" width="15.5" style="31" customWidth="1"/>
    <col min="6" max="7" width="9" style="31"/>
    <col min="8" max="8" width="10.8984375" style="31" customWidth="1"/>
    <col min="9" max="256" width="9" style="31"/>
    <col min="257" max="257" width="13.5" style="31" customWidth="1"/>
    <col min="258" max="258" width="6.5" style="31" customWidth="1"/>
    <col min="259" max="259" width="36.19921875" style="31" customWidth="1"/>
    <col min="260" max="260" width="9.8984375" style="31" customWidth="1"/>
    <col min="261" max="261" width="15.5" style="31" customWidth="1"/>
    <col min="262" max="263" width="9" style="31"/>
    <col min="264" max="264" width="10.8984375" style="31" customWidth="1"/>
    <col min="265" max="512" width="9" style="31"/>
    <col min="513" max="513" width="13.5" style="31" customWidth="1"/>
    <col min="514" max="514" width="6.5" style="31" customWidth="1"/>
    <col min="515" max="515" width="36.19921875" style="31" customWidth="1"/>
    <col min="516" max="516" width="9.8984375" style="31" customWidth="1"/>
    <col min="517" max="517" width="15.5" style="31" customWidth="1"/>
    <col min="518" max="519" width="9" style="31"/>
    <col min="520" max="520" width="10.8984375" style="31" customWidth="1"/>
    <col min="521" max="768" width="9" style="31"/>
    <col min="769" max="769" width="13.5" style="31" customWidth="1"/>
    <col min="770" max="770" width="6.5" style="31" customWidth="1"/>
    <col min="771" max="771" width="36.19921875" style="31" customWidth="1"/>
    <col min="772" max="772" width="9.8984375" style="31" customWidth="1"/>
    <col min="773" max="773" width="15.5" style="31" customWidth="1"/>
    <col min="774" max="775" width="9" style="31"/>
    <col min="776" max="776" width="10.8984375" style="31" customWidth="1"/>
    <col min="777" max="1024" width="9" style="31"/>
    <col min="1025" max="1025" width="13.5" style="31" customWidth="1"/>
    <col min="1026" max="1026" width="6.5" style="31" customWidth="1"/>
    <col min="1027" max="1027" width="36.19921875" style="31" customWidth="1"/>
    <col min="1028" max="1028" width="9.8984375" style="31" customWidth="1"/>
    <col min="1029" max="1029" width="15.5" style="31" customWidth="1"/>
    <col min="1030" max="1031" width="9" style="31"/>
    <col min="1032" max="1032" width="10.8984375" style="31" customWidth="1"/>
    <col min="1033" max="1280" width="9" style="31"/>
    <col min="1281" max="1281" width="13.5" style="31" customWidth="1"/>
    <col min="1282" max="1282" width="6.5" style="31" customWidth="1"/>
    <col min="1283" max="1283" width="36.19921875" style="31" customWidth="1"/>
    <col min="1284" max="1284" width="9.8984375" style="31" customWidth="1"/>
    <col min="1285" max="1285" width="15.5" style="31" customWidth="1"/>
    <col min="1286" max="1287" width="9" style="31"/>
    <col min="1288" max="1288" width="10.8984375" style="31" customWidth="1"/>
    <col min="1289" max="1536" width="9" style="31"/>
    <col min="1537" max="1537" width="13.5" style="31" customWidth="1"/>
    <col min="1538" max="1538" width="6.5" style="31" customWidth="1"/>
    <col min="1539" max="1539" width="36.19921875" style="31" customWidth="1"/>
    <col min="1540" max="1540" width="9.8984375" style="31" customWidth="1"/>
    <col min="1541" max="1541" width="15.5" style="31" customWidth="1"/>
    <col min="1542" max="1543" width="9" style="31"/>
    <col min="1544" max="1544" width="10.8984375" style="31" customWidth="1"/>
    <col min="1545" max="1792" width="9" style="31"/>
    <col min="1793" max="1793" width="13.5" style="31" customWidth="1"/>
    <col min="1794" max="1794" width="6.5" style="31" customWidth="1"/>
    <col min="1795" max="1795" width="36.19921875" style="31" customWidth="1"/>
    <col min="1796" max="1796" width="9.8984375" style="31" customWidth="1"/>
    <col min="1797" max="1797" width="15.5" style="31" customWidth="1"/>
    <col min="1798" max="1799" width="9" style="31"/>
    <col min="1800" max="1800" width="10.8984375" style="31" customWidth="1"/>
    <col min="1801" max="2048" width="9" style="31"/>
    <col min="2049" max="2049" width="13.5" style="31" customWidth="1"/>
    <col min="2050" max="2050" width="6.5" style="31" customWidth="1"/>
    <col min="2051" max="2051" width="36.19921875" style="31" customWidth="1"/>
    <col min="2052" max="2052" width="9.8984375" style="31" customWidth="1"/>
    <col min="2053" max="2053" width="15.5" style="31" customWidth="1"/>
    <col min="2054" max="2055" width="9" style="31"/>
    <col min="2056" max="2056" width="10.8984375" style="31" customWidth="1"/>
    <col min="2057" max="2304" width="9" style="31"/>
    <col min="2305" max="2305" width="13.5" style="31" customWidth="1"/>
    <col min="2306" max="2306" width="6.5" style="31" customWidth="1"/>
    <col min="2307" max="2307" width="36.19921875" style="31" customWidth="1"/>
    <col min="2308" max="2308" width="9.8984375" style="31" customWidth="1"/>
    <col min="2309" max="2309" width="15.5" style="31" customWidth="1"/>
    <col min="2310" max="2311" width="9" style="31"/>
    <col min="2312" max="2312" width="10.8984375" style="31" customWidth="1"/>
    <col min="2313" max="2560" width="9" style="31"/>
    <col min="2561" max="2561" width="13.5" style="31" customWidth="1"/>
    <col min="2562" max="2562" width="6.5" style="31" customWidth="1"/>
    <col min="2563" max="2563" width="36.19921875" style="31" customWidth="1"/>
    <col min="2564" max="2564" width="9.8984375" style="31" customWidth="1"/>
    <col min="2565" max="2565" width="15.5" style="31" customWidth="1"/>
    <col min="2566" max="2567" width="9" style="31"/>
    <col min="2568" max="2568" width="10.8984375" style="31" customWidth="1"/>
    <col min="2569" max="2816" width="9" style="31"/>
    <col min="2817" max="2817" width="13.5" style="31" customWidth="1"/>
    <col min="2818" max="2818" width="6.5" style="31" customWidth="1"/>
    <col min="2819" max="2819" width="36.19921875" style="31" customWidth="1"/>
    <col min="2820" max="2820" width="9.8984375" style="31" customWidth="1"/>
    <col min="2821" max="2821" width="15.5" style="31" customWidth="1"/>
    <col min="2822" max="2823" width="9" style="31"/>
    <col min="2824" max="2824" width="10.8984375" style="31" customWidth="1"/>
    <col min="2825" max="3072" width="9" style="31"/>
    <col min="3073" max="3073" width="13.5" style="31" customWidth="1"/>
    <col min="3074" max="3074" width="6.5" style="31" customWidth="1"/>
    <col min="3075" max="3075" width="36.19921875" style="31" customWidth="1"/>
    <col min="3076" max="3076" width="9.8984375" style="31" customWidth="1"/>
    <col min="3077" max="3077" width="15.5" style="31" customWidth="1"/>
    <col min="3078" max="3079" width="9" style="31"/>
    <col min="3080" max="3080" width="10.8984375" style="31" customWidth="1"/>
    <col min="3081" max="3328" width="9" style="31"/>
    <col min="3329" max="3329" width="13.5" style="31" customWidth="1"/>
    <col min="3330" max="3330" width="6.5" style="31" customWidth="1"/>
    <col min="3331" max="3331" width="36.19921875" style="31" customWidth="1"/>
    <col min="3332" max="3332" width="9.8984375" style="31" customWidth="1"/>
    <col min="3333" max="3333" width="15.5" style="31" customWidth="1"/>
    <col min="3334" max="3335" width="9" style="31"/>
    <col min="3336" max="3336" width="10.8984375" style="31" customWidth="1"/>
    <col min="3337" max="3584" width="9" style="31"/>
    <col min="3585" max="3585" width="13.5" style="31" customWidth="1"/>
    <col min="3586" max="3586" width="6.5" style="31" customWidth="1"/>
    <col min="3587" max="3587" width="36.19921875" style="31" customWidth="1"/>
    <col min="3588" max="3588" width="9.8984375" style="31" customWidth="1"/>
    <col min="3589" max="3589" width="15.5" style="31" customWidth="1"/>
    <col min="3590" max="3591" width="9" style="31"/>
    <col min="3592" max="3592" width="10.8984375" style="31" customWidth="1"/>
    <col min="3593" max="3840" width="9" style="31"/>
    <col min="3841" max="3841" width="13.5" style="31" customWidth="1"/>
    <col min="3842" max="3842" width="6.5" style="31" customWidth="1"/>
    <col min="3843" max="3843" width="36.19921875" style="31" customWidth="1"/>
    <col min="3844" max="3844" width="9.8984375" style="31" customWidth="1"/>
    <col min="3845" max="3845" width="15.5" style="31" customWidth="1"/>
    <col min="3846" max="3847" width="9" style="31"/>
    <col min="3848" max="3848" width="10.8984375" style="31" customWidth="1"/>
    <col min="3849" max="4096" width="9" style="31"/>
    <col min="4097" max="4097" width="13.5" style="31" customWidth="1"/>
    <col min="4098" max="4098" width="6.5" style="31" customWidth="1"/>
    <col min="4099" max="4099" width="36.19921875" style="31" customWidth="1"/>
    <col min="4100" max="4100" width="9.8984375" style="31" customWidth="1"/>
    <col min="4101" max="4101" width="15.5" style="31" customWidth="1"/>
    <col min="4102" max="4103" width="9" style="31"/>
    <col min="4104" max="4104" width="10.8984375" style="31" customWidth="1"/>
    <col min="4105" max="4352" width="9" style="31"/>
    <col min="4353" max="4353" width="13.5" style="31" customWidth="1"/>
    <col min="4354" max="4354" width="6.5" style="31" customWidth="1"/>
    <col min="4355" max="4355" width="36.19921875" style="31" customWidth="1"/>
    <col min="4356" max="4356" width="9.8984375" style="31" customWidth="1"/>
    <col min="4357" max="4357" width="15.5" style="31" customWidth="1"/>
    <col min="4358" max="4359" width="9" style="31"/>
    <col min="4360" max="4360" width="10.8984375" style="31" customWidth="1"/>
    <col min="4361" max="4608" width="9" style="31"/>
    <col min="4609" max="4609" width="13.5" style="31" customWidth="1"/>
    <col min="4610" max="4610" width="6.5" style="31" customWidth="1"/>
    <col min="4611" max="4611" width="36.19921875" style="31" customWidth="1"/>
    <col min="4612" max="4612" width="9.8984375" style="31" customWidth="1"/>
    <col min="4613" max="4613" width="15.5" style="31" customWidth="1"/>
    <col min="4614" max="4615" width="9" style="31"/>
    <col min="4616" max="4616" width="10.8984375" style="31" customWidth="1"/>
    <col min="4617" max="4864" width="9" style="31"/>
    <col min="4865" max="4865" width="13.5" style="31" customWidth="1"/>
    <col min="4866" max="4866" width="6.5" style="31" customWidth="1"/>
    <col min="4867" max="4867" width="36.19921875" style="31" customWidth="1"/>
    <col min="4868" max="4868" width="9.8984375" style="31" customWidth="1"/>
    <col min="4869" max="4869" width="15.5" style="31" customWidth="1"/>
    <col min="4870" max="4871" width="9" style="31"/>
    <col min="4872" max="4872" width="10.8984375" style="31" customWidth="1"/>
    <col min="4873" max="5120" width="9" style="31"/>
    <col min="5121" max="5121" width="13.5" style="31" customWidth="1"/>
    <col min="5122" max="5122" width="6.5" style="31" customWidth="1"/>
    <col min="5123" max="5123" width="36.19921875" style="31" customWidth="1"/>
    <col min="5124" max="5124" width="9.8984375" style="31" customWidth="1"/>
    <col min="5125" max="5125" width="15.5" style="31" customWidth="1"/>
    <col min="5126" max="5127" width="9" style="31"/>
    <col min="5128" max="5128" width="10.8984375" style="31" customWidth="1"/>
    <col min="5129" max="5376" width="9" style="31"/>
    <col min="5377" max="5377" width="13.5" style="31" customWidth="1"/>
    <col min="5378" max="5378" width="6.5" style="31" customWidth="1"/>
    <col min="5379" max="5379" width="36.19921875" style="31" customWidth="1"/>
    <col min="5380" max="5380" width="9.8984375" style="31" customWidth="1"/>
    <col min="5381" max="5381" width="15.5" style="31" customWidth="1"/>
    <col min="5382" max="5383" width="9" style="31"/>
    <col min="5384" max="5384" width="10.8984375" style="31" customWidth="1"/>
    <col min="5385" max="5632" width="9" style="31"/>
    <col min="5633" max="5633" width="13.5" style="31" customWidth="1"/>
    <col min="5634" max="5634" width="6.5" style="31" customWidth="1"/>
    <col min="5635" max="5635" width="36.19921875" style="31" customWidth="1"/>
    <col min="5636" max="5636" width="9.8984375" style="31" customWidth="1"/>
    <col min="5637" max="5637" width="15.5" style="31" customWidth="1"/>
    <col min="5638" max="5639" width="9" style="31"/>
    <col min="5640" max="5640" width="10.8984375" style="31" customWidth="1"/>
    <col min="5641" max="5888" width="9" style="31"/>
    <col min="5889" max="5889" width="13.5" style="31" customWidth="1"/>
    <col min="5890" max="5890" width="6.5" style="31" customWidth="1"/>
    <col min="5891" max="5891" width="36.19921875" style="31" customWidth="1"/>
    <col min="5892" max="5892" width="9.8984375" style="31" customWidth="1"/>
    <col min="5893" max="5893" width="15.5" style="31" customWidth="1"/>
    <col min="5894" max="5895" width="9" style="31"/>
    <col min="5896" max="5896" width="10.8984375" style="31" customWidth="1"/>
    <col min="5897" max="6144" width="9" style="31"/>
    <col min="6145" max="6145" width="13.5" style="31" customWidth="1"/>
    <col min="6146" max="6146" width="6.5" style="31" customWidth="1"/>
    <col min="6147" max="6147" width="36.19921875" style="31" customWidth="1"/>
    <col min="6148" max="6148" width="9.8984375" style="31" customWidth="1"/>
    <col min="6149" max="6149" width="15.5" style="31" customWidth="1"/>
    <col min="6150" max="6151" width="9" style="31"/>
    <col min="6152" max="6152" width="10.8984375" style="31" customWidth="1"/>
    <col min="6153" max="6400" width="9" style="31"/>
    <col min="6401" max="6401" width="13.5" style="31" customWidth="1"/>
    <col min="6402" max="6402" width="6.5" style="31" customWidth="1"/>
    <col min="6403" max="6403" width="36.19921875" style="31" customWidth="1"/>
    <col min="6404" max="6404" width="9.8984375" style="31" customWidth="1"/>
    <col min="6405" max="6405" width="15.5" style="31" customWidth="1"/>
    <col min="6406" max="6407" width="9" style="31"/>
    <col min="6408" max="6408" width="10.8984375" style="31" customWidth="1"/>
    <col min="6409" max="6656" width="9" style="31"/>
    <col min="6657" max="6657" width="13.5" style="31" customWidth="1"/>
    <col min="6658" max="6658" width="6.5" style="31" customWidth="1"/>
    <col min="6659" max="6659" width="36.19921875" style="31" customWidth="1"/>
    <col min="6660" max="6660" width="9.8984375" style="31" customWidth="1"/>
    <col min="6661" max="6661" width="15.5" style="31" customWidth="1"/>
    <col min="6662" max="6663" width="9" style="31"/>
    <col min="6664" max="6664" width="10.8984375" style="31" customWidth="1"/>
    <col min="6665" max="6912" width="9" style="31"/>
    <col min="6913" max="6913" width="13.5" style="31" customWidth="1"/>
    <col min="6914" max="6914" width="6.5" style="31" customWidth="1"/>
    <col min="6915" max="6915" width="36.19921875" style="31" customWidth="1"/>
    <col min="6916" max="6916" width="9.8984375" style="31" customWidth="1"/>
    <col min="6917" max="6917" width="15.5" style="31" customWidth="1"/>
    <col min="6918" max="6919" width="9" style="31"/>
    <col min="6920" max="6920" width="10.8984375" style="31" customWidth="1"/>
    <col min="6921" max="7168" width="9" style="31"/>
    <col min="7169" max="7169" width="13.5" style="31" customWidth="1"/>
    <col min="7170" max="7170" width="6.5" style="31" customWidth="1"/>
    <col min="7171" max="7171" width="36.19921875" style="31" customWidth="1"/>
    <col min="7172" max="7172" width="9.8984375" style="31" customWidth="1"/>
    <col min="7173" max="7173" width="15.5" style="31" customWidth="1"/>
    <col min="7174" max="7175" width="9" style="31"/>
    <col min="7176" max="7176" width="10.8984375" style="31" customWidth="1"/>
    <col min="7177" max="7424" width="9" style="31"/>
    <col min="7425" max="7425" width="13.5" style="31" customWidth="1"/>
    <col min="7426" max="7426" width="6.5" style="31" customWidth="1"/>
    <col min="7427" max="7427" width="36.19921875" style="31" customWidth="1"/>
    <col min="7428" max="7428" width="9.8984375" style="31" customWidth="1"/>
    <col min="7429" max="7429" width="15.5" style="31" customWidth="1"/>
    <col min="7430" max="7431" width="9" style="31"/>
    <col min="7432" max="7432" width="10.8984375" style="31" customWidth="1"/>
    <col min="7433" max="7680" width="9" style="31"/>
    <col min="7681" max="7681" width="13.5" style="31" customWidth="1"/>
    <col min="7682" max="7682" width="6.5" style="31" customWidth="1"/>
    <col min="7683" max="7683" width="36.19921875" style="31" customWidth="1"/>
    <col min="7684" max="7684" width="9.8984375" style="31" customWidth="1"/>
    <col min="7685" max="7685" width="15.5" style="31" customWidth="1"/>
    <col min="7686" max="7687" width="9" style="31"/>
    <col min="7688" max="7688" width="10.8984375" style="31" customWidth="1"/>
    <col min="7689" max="7936" width="9" style="31"/>
    <col min="7937" max="7937" width="13.5" style="31" customWidth="1"/>
    <col min="7938" max="7938" width="6.5" style="31" customWidth="1"/>
    <col min="7939" max="7939" width="36.19921875" style="31" customWidth="1"/>
    <col min="7940" max="7940" width="9.8984375" style="31" customWidth="1"/>
    <col min="7941" max="7941" width="15.5" style="31" customWidth="1"/>
    <col min="7942" max="7943" width="9" style="31"/>
    <col min="7944" max="7944" width="10.8984375" style="31" customWidth="1"/>
    <col min="7945" max="8192" width="9" style="31"/>
    <col min="8193" max="8193" width="13.5" style="31" customWidth="1"/>
    <col min="8194" max="8194" width="6.5" style="31" customWidth="1"/>
    <col min="8195" max="8195" width="36.19921875" style="31" customWidth="1"/>
    <col min="8196" max="8196" width="9.8984375" style="31" customWidth="1"/>
    <col min="8197" max="8197" width="15.5" style="31" customWidth="1"/>
    <col min="8198" max="8199" width="9" style="31"/>
    <col min="8200" max="8200" width="10.8984375" style="31" customWidth="1"/>
    <col min="8201" max="8448" width="9" style="31"/>
    <col min="8449" max="8449" width="13.5" style="31" customWidth="1"/>
    <col min="8450" max="8450" width="6.5" style="31" customWidth="1"/>
    <col min="8451" max="8451" width="36.19921875" style="31" customWidth="1"/>
    <col min="8452" max="8452" width="9.8984375" style="31" customWidth="1"/>
    <col min="8453" max="8453" width="15.5" style="31" customWidth="1"/>
    <col min="8454" max="8455" width="9" style="31"/>
    <col min="8456" max="8456" width="10.8984375" style="31" customWidth="1"/>
    <col min="8457" max="8704" width="9" style="31"/>
    <col min="8705" max="8705" width="13.5" style="31" customWidth="1"/>
    <col min="8706" max="8706" width="6.5" style="31" customWidth="1"/>
    <col min="8707" max="8707" width="36.19921875" style="31" customWidth="1"/>
    <col min="8708" max="8708" width="9.8984375" style="31" customWidth="1"/>
    <col min="8709" max="8709" width="15.5" style="31" customWidth="1"/>
    <col min="8710" max="8711" width="9" style="31"/>
    <col min="8712" max="8712" width="10.8984375" style="31" customWidth="1"/>
    <col min="8713" max="8960" width="9" style="31"/>
    <col min="8961" max="8961" width="13.5" style="31" customWidth="1"/>
    <col min="8962" max="8962" width="6.5" style="31" customWidth="1"/>
    <col min="8963" max="8963" width="36.19921875" style="31" customWidth="1"/>
    <col min="8964" max="8964" width="9.8984375" style="31" customWidth="1"/>
    <col min="8965" max="8965" width="15.5" style="31" customWidth="1"/>
    <col min="8966" max="8967" width="9" style="31"/>
    <col min="8968" max="8968" width="10.8984375" style="31" customWidth="1"/>
    <col min="8969" max="9216" width="9" style="31"/>
    <col min="9217" max="9217" width="13.5" style="31" customWidth="1"/>
    <col min="9218" max="9218" width="6.5" style="31" customWidth="1"/>
    <col min="9219" max="9219" width="36.19921875" style="31" customWidth="1"/>
    <col min="9220" max="9220" width="9.8984375" style="31" customWidth="1"/>
    <col min="9221" max="9221" width="15.5" style="31" customWidth="1"/>
    <col min="9222" max="9223" width="9" style="31"/>
    <col min="9224" max="9224" width="10.8984375" style="31" customWidth="1"/>
    <col min="9225" max="9472" width="9" style="31"/>
    <col min="9473" max="9473" width="13.5" style="31" customWidth="1"/>
    <col min="9474" max="9474" width="6.5" style="31" customWidth="1"/>
    <col min="9475" max="9475" width="36.19921875" style="31" customWidth="1"/>
    <col min="9476" max="9476" width="9.8984375" style="31" customWidth="1"/>
    <col min="9477" max="9477" width="15.5" style="31" customWidth="1"/>
    <col min="9478" max="9479" width="9" style="31"/>
    <col min="9480" max="9480" width="10.8984375" style="31" customWidth="1"/>
    <col min="9481" max="9728" width="9" style="31"/>
    <col min="9729" max="9729" width="13.5" style="31" customWidth="1"/>
    <col min="9730" max="9730" width="6.5" style="31" customWidth="1"/>
    <col min="9731" max="9731" width="36.19921875" style="31" customWidth="1"/>
    <col min="9732" max="9732" width="9.8984375" style="31" customWidth="1"/>
    <col min="9733" max="9733" width="15.5" style="31" customWidth="1"/>
    <col min="9734" max="9735" width="9" style="31"/>
    <col min="9736" max="9736" width="10.8984375" style="31" customWidth="1"/>
    <col min="9737" max="9984" width="9" style="31"/>
    <col min="9985" max="9985" width="13.5" style="31" customWidth="1"/>
    <col min="9986" max="9986" width="6.5" style="31" customWidth="1"/>
    <col min="9987" max="9987" width="36.19921875" style="31" customWidth="1"/>
    <col min="9988" max="9988" width="9.8984375" style="31" customWidth="1"/>
    <col min="9989" max="9989" width="15.5" style="31" customWidth="1"/>
    <col min="9990" max="9991" width="9" style="31"/>
    <col min="9992" max="9992" width="10.8984375" style="31" customWidth="1"/>
    <col min="9993" max="10240" width="9" style="31"/>
    <col min="10241" max="10241" width="13.5" style="31" customWidth="1"/>
    <col min="10242" max="10242" width="6.5" style="31" customWidth="1"/>
    <col min="10243" max="10243" width="36.19921875" style="31" customWidth="1"/>
    <col min="10244" max="10244" width="9.8984375" style="31" customWidth="1"/>
    <col min="10245" max="10245" width="15.5" style="31" customWidth="1"/>
    <col min="10246" max="10247" width="9" style="31"/>
    <col min="10248" max="10248" width="10.8984375" style="31" customWidth="1"/>
    <col min="10249" max="10496" width="9" style="31"/>
    <col min="10497" max="10497" width="13.5" style="31" customWidth="1"/>
    <col min="10498" max="10498" width="6.5" style="31" customWidth="1"/>
    <col min="10499" max="10499" width="36.19921875" style="31" customWidth="1"/>
    <col min="10500" max="10500" width="9.8984375" style="31" customWidth="1"/>
    <col min="10501" max="10501" width="15.5" style="31" customWidth="1"/>
    <col min="10502" max="10503" width="9" style="31"/>
    <col min="10504" max="10504" width="10.8984375" style="31" customWidth="1"/>
    <col min="10505" max="10752" width="9" style="31"/>
    <col min="10753" max="10753" width="13.5" style="31" customWidth="1"/>
    <col min="10754" max="10754" width="6.5" style="31" customWidth="1"/>
    <col min="10755" max="10755" width="36.19921875" style="31" customWidth="1"/>
    <col min="10756" max="10756" width="9.8984375" style="31" customWidth="1"/>
    <col min="10757" max="10757" width="15.5" style="31" customWidth="1"/>
    <col min="10758" max="10759" width="9" style="31"/>
    <col min="10760" max="10760" width="10.8984375" style="31" customWidth="1"/>
    <col min="10761" max="11008" width="9" style="31"/>
    <col min="11009" max="11009" width="13.5" style="31" customWidth="1"/>
    <col min="11010" max="11010" width="6.5" style="31" customWidth="1"/>
    <col min="11011" max="11011" width="36.19921875" style="31" customWidth="1"/>
    <col min="11012" max="11012" width="9.8984375" style="31" customWidth="1"/>
    <col min="11013" max="11013" width="15.5" style="31" customWidth="1"/>
    <col min="11014" max="11015" width="9" style="31"/>
    <col min="11016" max="11016" width="10.8984375" style="31" customWidth="1"/>
    <col min="11017" max="11264" width="9" style="31"/>
    <col min="11265" max="11265" width="13.5" style="31" customWidth="1"/>
    <col min="11266" max="11266" width="6.5" style="31" customWidth="1"/>
    <col min="11267" max="11267" width="36.19921875" style="31" customWidth="1"/>
    <col min="11268" max="11268" width="9.8984375" style="31" customWidth="1"/>
    <col min="11269" max="11269" width="15.5" style="31" customWidth="1"/>
    <col min="11270" max="11271" width="9" style="31"/>
    <col min="11272" max="11272" width="10.8984375" style="31" customWidth="1"/>
    <col min="11273" max="11520" width="9" style="31"/>
    <col min="11521" max="11521" width="13.5" style="31" customWidth="1"/>
    <col min="11522" max="11522" width="6.5" style="31" customWidth="1"/>
    <col min="11523" max="11523" width="36.19921875" style="31" customWidth="1"/>
    <col min="11524" max="11524" width="9.8984375" style="31" customWidth="1"/>
    <col min="11525" max="11525" width="15.5" style="31" customWidth="1"/>
    <col min="11526" max="11527" width="9" style="31"/>
    <col min="11528" max="11528" width="10.8984375" style="31" customWidth="1"/>
    <col min="11529" max="11776" width="9" style="31"/>
    <col min="11777" max="11777" width="13.5" style="31" customWidth="1"/>
    <col min="11778" max="11778" width="6.5" style="31" customWidth="1"/>
    <col min="11779" max="11779" width="36.19921875" style="31" customWidth="1"/>
    <col min="11780" max="11780" width="9.8984375" style="31" customWidth="1"/>
    <col min="11781" max="11781" width="15.5" style="31" customWidth="1"/>
    <col min="11782" max="11783" width="9" style="31"/>
    <col min="11784" max="11784" width="10.8984375" style="31" customWidth="1"/>
    <col min="11785" max="12032" width="9" style="31"/>
    <col min="12033" max="12033" width="13.5" style="31" customWidth="1"/>
    <col min="12034" max="12034" width="6.5" style="31" customWidth="1"/>
    <col min="12035" max="12035" width="36.19921875" style="31" customWidth="1"/>
    <col min="12036" max="12036" width="9.8984375" style="31" customWidth="1"/>
    <col min="12037" max="12037" width="15.5" style="31" customWidth="1"/>
    <col min="12038" max="12039" width="9" style="31"/>
    <col min="12040" max="12040" width="10.8984375" style="31" customWidth="1"/>
    <col min="12041" max="12288" width="9" style="31"/>
    <col min="12289" max="12289" width="13.5" style="31" customWidth="1"/>
    <col min="12290" max="12290" width="6.5" style="31" customWidth="1"/>
    <col min="12291" max="12291" width="36.19921875" style="31" customWidth="1"/>
    <col min="12292" max="12292" width="9.8984375" style="31" customWidth="1"/>
    <col min="12293" max="12293" width="15.5" style="31" customWidth="1"/>
    <col min="12294" max="12295" width="9" style="31"/>
    <col min="12296" max="12296" width="10.8984375" style="31" customWidth="1"/>
    <col min="12297" max="12544" width="9" style="31"/>
    <col min="12545" max="12545" width="13.5" style="31" customWidth="1"/>
    <col min="12546" max="12546" width="6.5" style="31" customWidth="1"/>
    <col min="12547" max="12547" width="36.19921875" style="31" customWidth="1"/>
    <col min="12548" max="12548" width="9.8984375" style="31" customWidth="1"/>
    <col min="12549" max="12549" width="15.5" style="31" customWidth="1"/>
    <col min="12550" max="12551" width="9" style="31"/>
    <col min="12552" max="12552" width="10.8984375" style="31" customWidth="1"/>
    <col min="12553" max="12800" width="9" style="31"/>
    <col min="12801" max="12801" width="13.5" style="31" customWidth="1"/>
    <col min="12802" max="12802" width="6.5" style="31" customWidth="1"/>
    <col min="12803" max="12803" width="36.19921875" style="31" customWidth="1"/>
    <col min="12804" max="12804" width="9.8984375" style="31" customWidth="1"/>
    <col min="12805" max="12805" width="15.5" style="31" customWidth="1"/>
    <col min="12806" max="12807" width="9" style="31"/>
    <col min="12808" max="12808" width="10.8984375" style="31" customWidth="1"/>
    <col min="12809" max="13056" width="9" style="31"/>
    <col min="13057" max="13057" width="13.5" style="31" customWidth="1"/>
    <col min="13058" max="13058" width="6.5" style="31" customWidth="1"/>
    <col min="13059" max="13059" width="36.19921875" style="31" customWidth="1"/>
    <col min="13060" max="13060" width="9.8984375" style="31" customWidth="1"/>
    <col min="13061" max="13061" width="15.5" style="31" customWidth="1"/>
    <col min="13062" max="13063" width="9" style="31"/>
    <col min="13064" max="13064" width="10.8984375" style="31" customWidth="1"/>
    <col min="13065" max="13312" width="9" style="31"/>
    <col min="13313" max="13313" width="13.5" style="31" customWidth="1"/>
    <col min="13314" max="13314" width="6.5" style="31" customWidth="1"/>
    <col min="13315" max="13315" width="36.19921875" style="31" customWidth="1"/>
    <col min="13316" max="13316" width="9.8984375" style="31" customWidth="1"/>
    <col min="13317" max="13317" width="15.5" style="31" customWidth="1"/>
    <col min="13318" max="13319" width="9" style="31"/>
    <col min="13320" max="13320" width="10.8984375" style="31" customWidth="1"/>
    <col min="13321" max="13568" width="9" style="31"/>
    <col min="13569" max="13569" width="13.5" style="31" customWidth="1"/>
    <col min="13570" max="13570" width="6.5" style="31" customWidth="1"/>
    <col min="13571" max="13571" width="36.19921875" style="31" customWidth="1"/>
    <col min="13572" max="13572" width="9.8984375" style="31" customWidth="1"/>
    <col min="13573" max="13573" width="15.5" style="31" customWidth="1"/>
    <col min="13574" max="13575" width="9" style="31"/>
    <col min="13576" max="13576" width="10.8984375" style="31" customWidth="1"/>
    <col min="13577" max="13824" width="9" style="31"/>
    <col min="13825" max="13825" width="13.5" style="31" customWidth="1"/>
    <col min="13826" max="13826" width="6.5" style="31" customWidth="1"/>
    <col min="13827" max="13827" width="36.19921875" style="31" customWidth="1"/>
    <col min="13828" max="13828" width="9.8984375" style="31" customWidth="1"/>
    <col min="13829" max="13829" width="15.5" style="31" customWidth="1"/>
    <col min="13830" max="13831" width="9" style="31"/>
    <col min="13832" max="13832" width="10.8984375" style="31" customWidth="1"/>
    <col min="13833" max="14080" width="9" style="31"/>
    <col min="14081" max="14081" width="13.5" style="31" customWidth="1"/>
    <col min="14082" max="14082" width="6.5" style="31" customWidth="1"/>
    <col min="14083" max="14083" width="36.19921875" style="31" customWidth="1"/>
    <col min="14084" max="14084" width="9.8984375" style="31" customWidth="1"/>
    <col min="14085" max="14085" width="15.5" style="31" customWidth="1"/>
    <col min="14086" max="14087" width="9" style="31"/>
    <col min="14088" max="14088" width="10.8984375" style="31" customWidth="1"/>
    <col min="14089" max="14336" width="9" style="31"/>
    <col min="14337" max="14337" width="13.5" style="31" customWidth="1"/>
    <col min="14338" max="14338" width="6.5" style="31" customWidth="1"/>
    <col min="14339" max="14339" width="36.19921875" style="31" customWidth="1"/>
    <col min="14340" max="14340" width="9.8984375" style="31" customWidth="1"/>
    <col min="14341" max="14341" width="15.5" style="31" customWidth="1"/>
    <col min="14342" max="14343" width="9" style="31"/>
    <col min="14344" max="14344" width="10.8984375" style="31" customWidth="1"/>
    <col min="14345" max="14592" width="9" style="31"/>
    <col min="14593" max="14593" width="13.5" style="31" customWidth="1"/>
    <col min="14594" max="14594" width="6.5" style="31" customWidth="1"/>
    <col min="14595" max="14595" width="36.19921875" style="31" customWidth="1"/>
    <col min="14596" max="14596" width="9.8984375" style="31" customWidth="1"/>
    <col min="14597" max="14597" width="15.5" style="31" customWidth="1"/>
    <col min="14598" max="14599" width="9" style="31"/>
    <col min="14600" max="14600" width="10.8984375" style="31" customWidth="1"/>
    <col min="14601" max="14848" width="9" style="31"/>
    <col min="14849" max="14849" width="13.5" style="31" customWidth="1"/>
    <col min="14850" max="14850" width="6.5" style="31" customWidth="1"/>
    <col min="14851" max="14851" width="36.19921875" style="31" customWidth="1"/>
    <col min="14852" max="14852" width="9.8984375" style="31" customWidth="1"/>
    <col min="14853" max="14853" width="15.5" style="31" customWidth="1"/>
    <col min="14854" max="14855" width="9" style="31"/>
    <col min="14856" max="14856" width="10.8984375" style="31" customWidth="1"/>
    <col min="14857" max="15104" width="9" style="31"/>
    <col min="15105" max="15105" width="13.5" style="31" customWidth="1"/>
    <col min="15106" max="15106" width="6.5" style="31" customWidth="1"/>
    <col min="15107" max="15107" width="36.19921875" style="31" customWidth="1"/>
    <col min="15108" max="15108" width="9.8984375" style="31" customWidth="1"/>
    <col min="15109" max="15109" width="15.5" style="31" customWidth="1"/>
    <col min="15110" max="15111" width="9" style="31"/>
    <col min="15112" max="15112" width="10.8984375" style="31" customWidth="1"/>
    <col min="15113" max="15360" width="9" style="31"/>
    <col min="15361" max="15361" width="13.5" style="31" customWidth="1"/>
    <col min="15362" max="15362" width="6.5" style="31" customWidth="1"/>
    <col min="15363" max="15363" width="36.19921875" style="31" customWidth="1"/>
    <col min="15364" max="15364" width="9.8984375" style="31" customWidth="1"/>
    <col min="15365" max="15365" width="15.5" style="31" customWidth="1"/>
    <col min="15366" max="15367" width="9" style="31"/>
    <col min="15368" max="15368" width="10.8984375" style="31" customWidth="1"/>
    <col min="15369" max="15616" width="9" style="31"/>
    <col min="15617" max="15617" width="13.5" style="31" customWidth="1"/>
    <col min="15618" max="15618" width="6.5" style="31" customWidth="1"/>
    <col min="15619" max="15619" width="36.19921875" style="31" customWidth="1"/>
    <col min="15620" max="15620" width="9.8984375" style="31" customWidth="1"/>
    <col min="15621" max="15621" width="15.5" style="31" customWidth="1"/>
    <col min="15622" max="15623" width="9" style="31"/>
    <col min="15624" max="15624" width="10.8984375" style="31" customWidth="1"/>
    <col min="15625" max="15872" width="9" style="31"/>
    <col min="15873" max="15873" width="13.5" style="31" customWidth="1"/>
    <col min="15874" max="15874" width="6.5" style="31" customWidth="1"/>
    <col min="15875" max="15875" width="36.19921875" style="31" customWidth="1"/>
    <col min="15876" max="15876" width="9.8984375" style="31" customWidth="1"/>
    <col min="15877" max="15877" width="15.5" style="31" customWidth="1"/>
    <col min="15878" max="15879" width="9" style="31"/>
    <col min="15880" max="15880" width="10.8984375" style="31" customWidth="1"/>
    <col min="15881" max="16128" width="9" style="31"/>
    <col min="16129" max="16129" width="13.5" style="31" customWidth="1"/>
    <col min="16130" max="16130" width="6.5" style="31" customWidth="1"/>
    <col min="16131" max="16131" width="36.19921875" style="31" customWidth="1"/>
    <col min="16132" max="16132" width="9.8984375" style="31" customWidth="1"/>
    <col min="16133" max="16133" width="15.5" style="31" customWidth="1"/>
    <col min="16134" max="16135" width="9" style="31"/>
    <col min="16136" max="16136" width="10.8984375" style="31" customWidth="1"/>
    <col min="16137" max="16384" width="9" style="31"/>
  </cols>
  <sheetData>
    <row r="1" spans="1:5" ht="33" customHeight="1">
      <c r="A1" s="681" t="s">
        <v>467</v>
      </c>
      <c r="B1" s="682"/>
      <c r="C1" s="682"/>
      <c r="D1" s="682"/>
      <c r="E1" s="682"/>
    </row>
    <row r="2" spans="1:5" ht="18" customHeight="1">
      <c r="A2" s="92"/>
      <c r="B2" s="92"/>
      <c r="C2" s="92"/>
      <c r="D2" s="92"/>
      <c r="E2" s="92"/>
    </row>
    <row r="3" spans="1:5" ht="16.5" customHeight="1">
      <c r="A3" s="93" t="s">
        <v>468</v>
      </c>
      <c r="B3" s="683" t="str">
        <f>'QC Test Summary-Hologic'!C4</f>
        <v>HCC Breast Imaging Program</v>
      </c>
      <c r="C3" s="683"/>
      <c r="D3" s="683"/>
      <c r="E3" s="683"/>
    </row>
    <row r="4" spans="1:5" ht="16.5" customHeight="1">
      <c r="A4" s="93" t="s">
        <v>469</v>
      </c>
      <c r="B4" s="684" t="str">
        <f>Sheet1!R17</f>
        <v/>
      </c>
      <c r="C4" s="684"/>
      <c r="D4" s="614" t="s">
        <v>23</v>
      </c>
      <c r="E4" s="615" t="str">
        <f>Sheet1!R18</f>
        <v/>
      </c>
    </row>
    <row r="5" spans="1:5" ht="16.5" customHeight="1">
      <c r="A5" s="93" t="s">
        <v>470</v>
      </c>
      <c r="B5" s="684" t="str">
        <f>Sheet1!V18</f>
        <v/>
      </c>
      <c r="C5" s="684"/>
      <c r="D5" s="614" t="s">
        <v>471</v>
      </c>
      <c r="E5" s="616" t="str">
        <f>Sheet1!V17</f>
        <v/>
      </c>
    </row>
    <row r="6" spans="1:5" ht="16.5" customHeight="1">
      <c r="A6" s="93" t="s">
        <v>472</v>
      </c>
      <c r="B6" s="684" t="str">
        <f>Sheet1!X7</f>
        <v>Eugene Mah</v>
      </c>
      <c r="C6" s="684"/>
      <c r="D6" s="614" t="s">
        <v>473</v>
      </c>
      <c r="E6" s="617" t="str">
        <f>Sheet1!R14</f>
        <v/>
      </c>
    </row>
    <row r="7" spans="1:5" ht="16.5" customHeight="1">
      <c r="A7" s="93" t="s">
        <v>474</v>
      </c>
      <c r="B7" s="684"/>
      <c r="C7" s="684"/>
      <c r="D7" s="614" t="s">
        <v>475</v>
      </c>
      <c r="E7" s="618">
        <f>Sheet1!P7</f>
        <v>0</v>
      </c>
    </row>
    <row r="8" spans="1:5" ht="21.75" customHeight="1" thickBot="1"/>
    <row r="9" spans="1:5" ht="35.25" customHeight="1" thickBot="1">
      <c r="A9" s="94" t="s">
        <v>476</v>
      </c>
      <c r="B9" s="95" t="s">
        <v>477</v>
      </c>
      <c r="C9" s="96" t="s">
        <v>478</v>
      </c>
      <c r="D9" s="95" t="s">
        <v>479</v>
      </c>
      <c r="E9" s="97" t="s">
        <v>681</v>
      </c>
    </row>
    <row r="10" spans="1:5" ht="33" customHeight="1" thickTop="1">
      <c r="A10" s="680" t="s">
        <v>480</v>
      </c>
      <c r="B10" s="98" t="s">
        <v>481</v>
      </c>
      <c r="C10" s="99" t="s">
        <v>718</v>
      </c>
      <c r="D10" s="100" t="s">
        <v>482</v>
      </c>
      <c r="E10" s="101"/>
    </row>
    <row r="11" spans="1:5" ht="25.5" customHeight="1" thickBot="1">
      <c r="A11" s="676"/>
      <c r="B11" s="102" t="s">
        <v>483</v>
      </c>
      <c r="C11" s="114" t="s">
        <v>484</v>
      </c>
      <c r="D11" s="103" t="s">
        <v>482</v>
      </c>
      <c r="E11" s="104"/>
    </row>
    <row r="12" spans="1:5" ht="33.75" customHeight="1">
      <c r="A12" s="671" t="s">
        <v>485</v>
      </c>
      <c r="B12" s="105" t="s">
        <v>486</v>
      </c>
      <c r="C12" s="106" t="s">
        <v>487</v>
      </c>
      <c r="D12" s="107" t="s">
        <v>488</v>
      </c>
      <c r="E12" s="108"/>
    </row>
    <row r="13" spans="1:5" ht="33.75" customHeight="1">
      <c r="A13" s="672"/>
      <c r="B13" s="109" t="s">
        <v>489</v>
      </c>
      <c r="C13" s="110" t="s">
        <v>716</v>
      </c>
      <c r="D13" s="111" t="s">
        <v>488</v>
      </c>
      <c r="E13" s="112"/>
    </row>
    <row r="14" spans="1:5" ht="34.5" customHeight="1" thickBot="1">
      <c r="A14" s="673"/>
      <c r="B14" s="113" t="s">
        <v>490</v>
      </c>
      <c r="C14" s="114" t="s">
        <v>491</v>
      </c>
      <c r="D14" s="103" t="s">
        <v>482</v>
      </c>
      <c r="E14" s="115"/>
    </row>
    <row r="15" spans="1:5" ht="30.6">
      <c r="A15" s="674" t="s">
        <v>492</v>
      </c>
      <c r="B15" s="116" t="s">
        <v>493</v>
      </c>
      <c r="C15" s="117" t="s">
        <v>717</v>
      </c>
      <c r="D15" s="107" t="s">
        <v>482</v>
      </c>
      <c r="E15" s="118"/>
    </row>
    <row r="16" spans="1:5" ht="54.75" customHeight="1" thickBot="1">
      <c r="A16" s="675"/>
      <c r="B16" s="102" t="s">
        <v>494</v>
      </c>
      <c r="C16" s="119" t="s">
        <v>495</v>
      </c>
      <c r="D16" s="103" t="s">
        <v>496</v>
      </c>
      <c r="E16" s="120"/>
    </row>
    <row r="17" spans="1:5" ht="33.75" customHeight="1">
      <c r="A17" s="666" t="s">
        <v>497</v>
      </c>
      <c r="B17" s="121" t="s">
        <v>498</v>
      </c>
      <c r="C17" s="106" t="s">
        <v>719</v>
      </c>
      <c r="D17" s="107" t="s">
        <v>482</v>
      </c>
      <c r="E17" s="122"/>
    </row>
    <row r="18" spans="1:5" ht="33.75" customHeight="1" thickBot="1">
      <c r="A18" s="676"/>
      <c r="B18" s="123" t="s">
        <v>499</v>
      </c>
      <c r="C18" s="124" t="s">
        <v>500</v>
      </c>
      <c r="D18" s="103" t="s">
        <v>482</v>
      </c>
      <c r="E18" s="104"/>
    </row>
    <row r="19" spans="1:5" ht="30.6">
      <c r="A19" s="677" t="s">
        <v>501</v>
      </c>
      <c r="B19" s="121" t="s">
        <v>502</v>
      </c>
      <c r="C19" s="106" t="s">
        <v>503</v>
      </c>
      <c r="D19" s="107" t="s">
        <v>482</v>
      </c>
      <c r="E19" s="122"/>
    </row>
    <row r="20" spans="1:5" ht="33.75" customHeight="1">
      <c r="A20" s="678"/>
      <c r="B20" s="125" t="s">
        <v>504</v>
      </c>
      <c r="C20" s="126" t="s">
        <v>505</v>
      </c>
      <c r="D20" s="100" t="s">
        <v>482</v>
      </c>
      <c r="E20" s="127"/>
    </row>
    <row r="21" spans="1:5" ht="54.75" customHeight="1" thickBot="1">
      <c r="A21" s="679"/>
      <c r="B21" s="123" t="s">
        <v>506</v>
      </c>
      <c r="C21" s="124" t="s">
        <v>507</v>
      </c>
      <c r="D21" s="103" t="s">
        <v>482</v>
      </c>
      <c r="E21" s="104"/>
    </row>
    <row r="22" spans="1:5" ht="33.75" customHeight="1">
      <c r="A22" s="666" t="s">
        <v>508</v>
      </c>
      <c r="B22" s="121" t="s">
        <v>509</v>
      </c>
      <c r="C22" s="106" t="s">
        <v>510</v>
      </c>
      <c r="D22" s="107" t="s">
        <v>482</v>
      </c>
      <c r="E22" s="122"/>
    </row>
    <row r="23" spans="1:5" ht="25.5" customHeight="1" thickBot="1">
      <c r="A23" s="676"/>
      <c r="B23" s="102" t="s">
        <v>511</v>
      </c>
      <c r="C23" s="114" t="s">
        <v>512</v>
      </c>
      <c r="D23" s="103" t="s">
        <v>482</v>
      </c>
      <c r="E23" s="120"/>
    </row>
    <row r="24" spans="1:5" ht="30.6">
      <c r="A24" s="677" t="s">
        <v>513</v>
      </c>
      <c r="B24" s="121" t="s">
        <v>514</v>
      </c>
      <c r="C24" s="106" t="s">
        <v>515</v>
      </c>
      <c r="D24" s="107" t="s">
        <v>482</v>
      </c>
      <c r="E24" s="122"/>
    </row>
    <row r="25" spans="1:5" ht="45.75" customHeight="1">
      <c r="A25" s="678"/>
      <c r="B25" s="125" t="s">
        <v>516</v>
      </c>
      <c r="C25" s="110" t="s">
        <v>517</v>
      </c>
      <c r="D25" s="100" t="s">
        <v>496</v>
      </c>
      <c r="E25" s="127"/>
    </row>
    <row r="26" spans="1:5" ht="46.5" customHeight="1">
      <c r="A26" s="678"/>
      <c r="B26" s="128" t="s">
        <v>518</v>
      </c>
      <c r="C26" s="110" t="s">
        <v>519</v>
      </c>
      <c r="D26" s="100" t="s">
        <v>482</v>
      </c>
      <c r="E26" s="127"/>
    </row>
    <row r="27" spans="1:5" ht="20.399999999999999">
      <c r="A27" s="678"/>
      <c r="B27" s="128" t="s">
        <v>520</v>
      </c>
      <c r="C27" s="110" t="s">
        <v>521</v>
      </c>
      <c r="D27" s="100" t="s">
        <v>482</v>
      </c>
      <c r="E27" s="127"/>
    </row>
    <row r="28" spans="1:5" ht="21" thickBot="1">
      <c r="A28" s="679"/>
      <c r="B28" s="129" t="s">
        <v>522</v>
      </c>
      <c r="C28" s="114" t="s">
        <v>523</v>
      </c>
      <c r="D28" s="103" t="s">
        <v>482</v>
      </c>
      <c r="E28" s="120"/>
    </row>
    <row r="29" spans="1:5" ht="20.399999999999999">
      <c r="A29" s="666" t="s">
        <v>524</v>
      </c>
      <c r="B29" s="130" t="s">
        <v>525</v>
      </c>
      <c r="C29" s="106" t="s">
        <v>526</v>
      </c>
      <c r="D29" s="107" t="s">
        <v>482</v>
      </c>
      <c r="E29" s="122"/>
    </row>
    <row r="30" spans="1:5" ht="54.75" customHeight="1">
      <c r="A30" s="667"/>
      <c r="B30" s="128" t="s">
        <v>527</v>
      </c>
      <c r="C30" s="110" t="s">
        <v>528</v>
      </c>
      <c r="D30" s="100" t="s">
        <v>482</v>
      </c>
      <c r="E30" s="127"/>
    </row>
    <row r="31" spans="1:5" ht="31.2" thickBot="1">
      <c r="A31" s="668"/>
      <c r="B31" s="129" t="s">
        <v>529</v>
      </c>
      <c r="C31" s="114" t="s">
        <v>530</v>
      </c>
      <c r="D31" s="103" t="s">
        <v>482</v>
      </c>
      <c r="E31" s="120"/>
    </row>
    <row r="32" spans="1:5" ht="46.5" customHeight="1">
      <c r="A32" s="666" t="s">
        <v>531</v>
      </c>
      <c r="B32" s="130" t="s">
        <v>532</v>
      </c>
      <c r="C32" s="106" t="s">
        <v>533</v>
      </c>
      <c r="D32" s="107" t="s">
        <v>488</v>
      </c>
      <c r="E32" s="122"/>
    </row>
    <row r="33" spans="1:5" ht="66.75" customHeight="1">
      <c r="A33" s="667"/>
      <c r="B33" s="128" t="s">
        <v>534</v>
      </c>
      <c r="C33" s="110" t="s">
        <v>682</v>
      </c>
      <c r="D33" s="111" t="s">
        <v>488</v>
      </c>
      <c r="E33" s="127"/>
    </row>
    <row r="34" spans="1:5" ht="21" thickBot="1">
      <c r="A34" s="668"/>
      <c r="B34" s="129" t="s">
        <v>535</v>
      </c>
      <c r="C34" s="114" t="s">
        <v>536</v>
      </c>
      <c r="D34" s="131" t="s">
        <v>488</v>
      </c>
      <c r="E34" s="120"/>
    </row>
    <row r="35" spans="1:5" ht="33.75" customHeight="1" thickBot="1">
      <c r="A35" s="132" t="s">
        <v>683</v>
      </c>
      <c r="B35" s="133">
        <v>11</v>
      </c>
      <c r="C35" s="134" t="s">
        <v>537</v>
      </c>
      <c r="D35" s="135" t="s">
        <v>488</v>
      </c>
      <c r="E35" s="136"/>
    </row>
    <row r="36" spans="1:5" ht="54.75" customHeight="1" thickBot="1">
      <c r="A36" s="132" t="s">
        <v>684</v>
      </c>
      <c r="B36" s="133">
        <v>12</v>
      </c>
      <c r="C36" s="134" t="s">
        <v>538</v>
      </c>
      <c r="D36" s="135" t="s">
        <v>488</v>
      </c>
      <c r="E36" s="136"/>
    </row>
    <row r="37" spans="1:5" ht="41.4" thickBot="1">
      <c r="A37" s="132" t="s">
        <v>685</v>
      </c>
      <c r="B37" s="133">
        <v>13</v>
      </c>
      <c r="C37" s="134" t="s">
        <v>539</v>
      </c>
      <c r="D37" s="135" t="s">
        <v>488</v>
      </c>
      <c r="E37" s="136"/>
    </row>
    <row r="38" spans="1:5" ht="46.5" customHeight="1" thickBot="1">
      <c r="A38" s="132" t="s">
        <v>686</v>
      </c>
      <c r="B38" s="133">
        <v>14</v>
      </c>
      <c r="C38" s="134" t="s">
        <v>540</v>
      </c>
      <c r="D38" s="135" t="s">
        <v>541</v>
      </c>
      <c r="E38" s="136"/>
    </row>
    <row r="39" spans="1:5" ht="46.5" customHeight="1" thickBot="1">
      <c r="A39" s="137" t="s">
        <v>687</v>
      </c>
      <c r="B39" s="138">
        <v>15</v>
      </c>
      <c r="C39" s="124" t="s">
        <v>542</v>
      </c>
      <c r="D39" s="103" t="s">
        <v>541</v>
      </c>
      <c r="E39" s="104"/>
    </row>
    <row r="40" spans="1:5">
      <c r="A40" s="669" t="s">
        <v>688</v>
      </c>
      <c r="B40" s="670"/>
      <c r="C40" s="670"/>
      <c r="D40" s="670"/>
      <c r="E40" s="670"/>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496"/>
  <sheetViews>
    <sheetView tabSelected="1" topLeftCell="A129" zoomScale="75" zoomScaleNormal="75" workbookViewId="0">
      <selection activeCell="F148" sqref="F148"/>
    </sheetView>
  </sheetViews>
  <sheetFormatPr defaultColWidth="9" defaultRowHeight="15.6"/>
  <cols>
    <col min="1" max="1" width="2.69921875" style="153" customWidth="1"/>
    <col min="2" max="13" width="10.59765625" style="153" customWidth="1"/>
    <col min="14" max="15" width="9" style="153"/>
    <col min="16" max="16" width="10.5" style="153" bestFit="1" customWidth="1"/>
    <col min="17" max="18" width="9" style="153"/>
    <col min="19" max="19" width="10" style="153" bestFit="1" customWidth="1"/>
    <col min="20" max="22" width="9" style="153"/>
    <col min="23" max="23" width="9.69921875" style="153" bestFit="1" customWidth="1"/>
    <col min="24" max="27" width="9" style="153"/>
    <col min="28" max="28" width="9.59765625" style="153" bestFit="1" customWidth="1"/>
    <col min="29" max="16384" width="9" style="153"/>
  </cols>
  <sheetData>
    <row r="1" spans="1:44" ht="16.2" thickTop="1">
      <c r="A1" s="145">
        <v>1</v>
      </c>
      <c r="B1" s="146"/>
      <c r="C1" s="147"/>
      <c r="D1" s="147"/>
      <c r="E1" s="147"/>
      <c r="F1" s="147"/>
      <c r="G1" s="147"/>
      <c r="H1" s="147"/>
      <c r="I1" s="147"/>
      <c r="J1" s="147"/>
      <c r="K1" s="147"/>
      <c r="L1" s="147"/>
      <c r="M1" s="148"/>
      <c r="N1" s="149"/>
      <c r="O1" s="150" t="s">
        <v>722</v>
      </c>
      <c r="P1" s="151"/>
      <c r="Q1" s="151"/>
      <c r="R1" s="151"/>
      <c r="S1" s="151"/>
      <c r="T1" s="151"/>
      <c r="U1" s="151"/>
      <c r="V1" s="151"/>
      <c r="W1" s="151"/>
      <c r="X1" s="151"/>
      <c r="Y1" s="152"/>
      <c r="AA1" s="154" t="s">
        <v>366</v>
      </c>
      <c r="AB1" s="149"/>
      <c r="AC1" s="149"/>
      <c r="AD1" s="149"/>
    </row>
    <row r="2" spans="1:44" ht="20.399999999999999">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367</v>
      </c>
      <c r="AB2" s="149"/>
      <c r="AC2" s="149"/>
      <c r="AD2" s="149"/>
    </row>
    <row r="3" spans="1:44" ht="20.399999999999999">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368</v>
      </c>
      <c r="AB4" s="166" t="s">
        <v>369</v>
      </c>
      <c r="AC4" s="149"/>
      <c r="AD4" s="149"/>
    </row>
    <row r="5" spans="1:44" ht="20.399999999999999">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2"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370</v>
      </c>
      <c r="AB6" s="149" t="s">
        <v>371</v>
      </c>
      <c r="AC6" s="149"/>
      <c r="AD6" s="149" t="s">
        <v>372</v>
      </c>
    </row>
    <row r="7" spans="1:44" ht="16.2" thickTop="1">
      <c r="A7" s="145">
        <v>7</v>
      </c>
      <c r="B7" s="149"/>
      <c r="C7" s="149"/>
      <c r="D7" s="149"/>
      <c r="E7" s="149"/>
      <c r="F7" s="149"/>
      <c r="G7" s="149"/>
      <c r="H7" s="149"/>
      <c r="I7" s="149"/>
      <c r="J7" s="149"/>
      <c r="K7" s="149"/>
      <c r="L7" s="149"/>
      <c r="M7" s="149"/>
      <c r="N7" s="149"/>
      <c r="O7" s="149" t="s">
        <v>3</v>
      </c>
      <c r="P7" s="583"/>
      <c r="Q7" s="174"/>
      <c r="R7" s="149"/>
      <c r="S7" s="149"/>
      <c r="T7" s="149"/>
      <c r="U7" s="149"/>
      <c r="V7" s="149"/>
      <c r="W7" s="149" t="s">
        <v>4</v>
      </c>
      <c r="X7" s="175" t="str">
        <f>IF(Y7&lt;&gt;"",Y7,IF(AB9="","",AB9))</f>
        <v>Eugene Mah</v>
      </c>
      <c r="Y7" s="176" t="s">
        <v>5</v>
      </c>
      <c r="AA7" s="165" t="s">
        <v>366</v>
      </c>
      <c r="AB7" s="177"/>
      <c r="AC7" s="178" t="str">
        <f t="shared" ref="AC7:AC19" si="0">IF(AB7&lt;&gt;AD7,"Change","")</f>
        <v>Change</v>
      </c>
      <c r="AD7" s="179" t="str">
        <f>IF(OR(AA2="",AA2=0),"",AA2)</f>
        <v>Page1,HVLPage,ExpChart,ImgQuality,Compg1,GraphAcryl,LeedsTO10</v>
      </c>
    </row>
    <row r="8" spans="1:44" ht="18" thickBot="1">
      <c r="A8" s="145">
        <v>8</v>
      </c>
      <c r="B8" s="149"/>
      <c r="C8" s="149"/>
      <c r="D8" s="149"/>
      <c r="E8" s="149"/>
      <c r="F8" s="149"/>
      <c r="G8" s="180"/>
      <c r="H8" s="180" t="s">
        <v>6</v>
      </c>
      <c r="I8" s="149"/>
      <c r="J8" s="149"/>
      <c r="K8" s="149"/>
      <c r="L8" s="149"/>
      <c r="M8" s="149"/>
      <c r="N8" s="149"/>
      <c r="O8" s="149" t="s">
        <v>7</v>
      </c>
      <c r="P8" s="584" t="str">
        <f>IF(AB8="","",AB8)</f>
        <v/>
      </c>
      <c r="Q8" s="181"/>
      <c r="R8" s="149"/>
      <c r="S8" s="149"/>
      <c r="T8" s="182" t="s">
        <v>6</v>
      </c>
      <c r="U8" s="149"/>
      <c r="V8" s="149"/>
      <c r="W8" s="171"/>
      <c r="X8" s="171"/>
      <c r="Y8" s="183"/>
      <c r="AA8" s="165" t="s">
        <v>373</v>
      </c>
      <c r="AB8" s="585"/>
      <c r="AC8" s="178" t="str">
        <f t="shared" si="0"/>
        <v/>
      </c>
      <c r="AD8" s="586" t="str">
        <f>IF(P7="","",P7)</f>
        <v/>
      </c>
    </row>
    <row r="9" spans="1:44" ht="16.8"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374</v>
      </c>
      <c r="AB9" s="191"/>
      <c r="AC9" s="178" t="str">
        <f t="shared" si="0"/>
        <v>Change</v>
      </c>
      <c r="AD9" s="192" t="str">
        <f>IF(X7="","",X7)</f>
        <v>Eugene Mah</v>
      </c>
      <c r="AH9" s="164" t="s">
        <v>400</v>
      </c>
      <c r="AI9" s="164" t="s">
        <v>401</v>
      </c>
      <c r="AJ9" s="164" t="s">
        <v>402</v>
      </c>
      <c r="AK9" s="164" t="s">
        <v>403</v>
      </c>
      <c r="AL9" s="164" t="s">
        <v>239</v>
      </c>
      <c r="AM9" s="164" t="s">
        <v>49</v>
      </c>
      <c r="AN9" s="164" t="s">
        <v>307</v>
      </c>
      <c r="AO9" s="164" t="s">
        <v>308</v>
      </c>
      <c r="AP9" s="164" t="s">
        <v>404</v>
      </c>
      <c r="AQ9" s="164" t="s">
        <v>578</v>
      </c>
      <c r="AR9" s="164" t="s">
        <v>577</v>
      </c>
    </row>
    <row r="10" spans="1:44">
      <c r="A10" s="145">
        <v>10</v>
      </c>
      <c r="B10" s="193"/>
      <c r="C10" s="194"/>
      <c r="D10" s="149"/>
      <c r="E10" s="165" t="s">
        <v>10</v>
      </c>
      <c r="F10" s="691" t="str">
        <f>IF(R10="","",R10)</f>
        <v/>
      </c>
      <c r="G10" s="691"/>
      <c r="H10" s="149"/>
      <c r="I10" s="149"/>
      <c r="J10" s="165" t="s">
        <v>11</v>
      </c>
      <c r="K10" s="691" t="str">
        <f>IF(V10="","",V10)</f>
        <v/>
      </c>
      <c r="L10" s="691"/>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692" t="str">
        <f>IF(R11="","",R11)</f>
        <v/>
      </c>
      <c r="G11" s="692"/>
      <c r="H11" s="149"/>
      <c r="I11" s="149"/>
      <c r="J11" s="165" t="s">
        <v>13</v>
      </c>
      <c r="K11" s="691" t="str">
        <f>IF(V11="","",V11)</f>
        <v/>
      </c>
      <c r="L11" s="691"/>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692" t="str">
        <f>IF(R12="","",R12)</f>
        <v/>
      </c>
      <c r="G12" s="692"/>
      <c r="H12" s="149"/>
      <c r="I12" s="149"/>
      <c r="J12" s="165" t="s">
        <v>15</v>
      </c>
      <c r="K12" s="693" t="str">
        <f>IF(V12="","",V12)</f>
        <v/>
      </c>
      <c r="L12" s="693"/>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692" t="str">
        <f>IF(R13="","",R13)</f>
        <v/>
      </c>
      <c r="G13" s="692"/>
      <c r="H13" s="149"/>
      <c r="I13" s="149"/>
      <c r="J13" s="165" t="s">
        <v>17</v>
      </c>
      <c r="K13" s="691" t="str">
        <f>IF(V13="","",V13)</f>
        <v/>
      </c>
      <c r="L13" s="691"/>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691" t="str">
        <f>IF(R17="","",R17)</f>
        <v/>
      </c>
      <c r="G16" s="691"/>
      <c r="H16" s="149"/>
      <c r="I16" s="149"/>
      <c r="J16" s="165" t="s">
        <v>22</v>
      </c>
      <c r="K16" s="693" t="str">
        <f>IF(V17="","",V17)</f>
        <v/>
      </c>
      <c r="L16" s="693"/>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691" t="str">
        <f>IF(R18="","",R18)</f>
        <v/>
      </c>
      <c r="G17" s="691"/>
      <c r="H17" s="149"/>
      <c r="I17" s="149"/>
      <c r="J17" s="165" t="s">
        <v>24</v>
      </c>
      <c r="K17" s="691" t="str">
        <f>IF(V18="","",V18)</f>
        <v/>
      </c>
      <c r="L17" s="691"/>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691" t="str">
        <f>IF(R19="","",R19)</f>
        <v/>
      </c>
      <c r="G18" s="691"/>
      <c r="H18" s="149"/>
      <c r="I18" s="149"/>
      <c r="J18" s="165" t="s">
        <v>26</v>
      </c>
      <c r="K18" s="691" t="str">
        <f>IF(V19="","",V19)</f>
        <v/>
      </c>
      <c r="L18" s="691"/>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375</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691" t="str">
        <f>IF(R22="","",R22)</f>
        <v/>
      </c>
      <c r="G21" s="691"/>
      <c r="H21" s="149"/>
      <c r="I21" s="149"/>
      <c r="J21" s="165" t="s">
        <v>29</v>
      </c>
      <c r="K21" s="691" t="str">
        <f>IF(V21="","",V21)</f>
        <v/>
      </c>
      <c r="L21" s="691"/>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693" t="str">
        <f>IF(R23="","",R23)</f>
        <v/>
      </c>
      <c r="G22" s="693"/>
      <c r="H22" s="149"/>
      <c r="I22" s="149"/>
      <c r="J22" s="165"/>
      <c r="K22" s="691" t="str">
        <f>IF(V22="","",V22)</f>
        <v/>
      </c>
      <c r="L22" s="691"/>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691" t="str">
        <f>IF(V24="","",V24)</f>
        <v/>
      </c>
      <c r="L23" s="691"/>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691" t="str">
        <f>IF(R25="","",R25)</f>
        <v/>
      </c>
      <c r="G24" s="691"/>
      <c r="H24" s="149"/>
      <c r="I24" s="149"/>
      <c r="J24" s="149"/>
      <c r="K24" s="691" t="str">
        <f>IF(V25="","",V25)</f>
        <v/>
      </c>
      <c r="L24" s="691"/>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691" t="str">
        <f>IF(R26="","",R26)</f>
        <v/>
      </c>
      <c r="G25" s="691"/>
      <c r="H25" s="149"/>
      <c r="I25" s="149"/>
      <c r="J25" s="210"/>
      <c r="K25" s="691" t="str">
        <f>IF(V26="","",V26)</f>
        <v/>
      </c>
      <c r="L25" s="691"/>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691" t="str">
        <f>IF(R27="","",R27)</f>
        <v/>
      </c>
      <c r="G26" s="691"/>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691" t="str">
        <f>IF(V28="","",V28)</f>
        <v/>
      </c>
      <c r="L27" s="691"/>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691" t="str">
        <f>IF(R29="","",R29)</f>
        <v/>
      </c>
      <c r="G28" s="691"/>
      <c r="H28" s="149"/>
      <c r="I28" s="210"/>
      <c r="J28" s="165" t="s">
        <v>35</v>
      </c>
      <c r="K28" s="691" t="str">
        <f>IF(V29="","",V29)</f>
        <v/>
      </c>
      <c r="L28" s="691"/>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2" thickBot="1">
      <c r="A29" s="145">
        <v>29</v>
      </c>
      <c r="B29" s="193"/>
      <c r="C29" s="194"/>
      <c r="D29" s="149"/>
      <c r="E29" s="165" t="s">
        <v>23</v>
      </c>
      <c r="F29" s="691" t="str">
        <f>IF(R30="","",R30)</f>
        <v/>
      </c>
      <c r="G29" s="691"/>
      <c r="H29" s="149"/>
      <c r="I29" s="202" t="s">
        <v>36</v>
      </c>
      <c r="J29" s="165" t="s">
        <v>37</v>
      </c>
      <c r="K29" s="691" t="str">
        <f>IF(V32="","",V32)</f>
        <v/>
      </c>
      <c r="L29" s="691"/>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691" t="str">
        <f>IF(R31="","",R31)</f>
        <v/>
      </c>
      <c r="G30" s="691"/>
      <c r="H30" s="149"/>
      <c r="I30" s="149"/>
      <c r="J30" s="165" t="s">
        <v>38</v>
      </c>
      <c r="K30" s="691" t="str">
        <f>IF(V33="","",V33)</f>
        <v/>
      </c>
      <c r="L30" s="691"/>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2"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2" thickTop="1">
      <c r="A32" s="145">
        <v>32</v>
      </c>
      <c r="B32" s="149"/>
      <c r="C32" s="149"/>
      <c r="D32" s="149"/>
      <c r="E32" s="149"/>
      <c r="F32" s="149"/>
      <c r="G32" s="149"/>
      <c r="H32" s="149"/>
      <c r="I32" s="149"/>
      <c r="J32" s="149"/>
      <c r="K32" s="149"/>
      <c r="L32" s="149"/>
      <c r="M32" s="149"/>
      <c r="N32" s="149"/>
      <c r="O32" s="159"/>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8" thickBot="1">
      <c r="A33" s="145">
        <v>33</v>
      </c>
      <c r="B33" s="149"/>
      <c r="C33" s="149"/>
      <c r="D33" s="149"/>
      <c r="E33" s="149"/>
      <c r="F33" s="149"/>
      <c r="G33" s="149"/>
      <c r="H33" s="180" t="s">
        <v>39</v>
      </c>
      <c r="I33" s="149"/>
      <c r="J33" s="149"/>
      <c r="K33" s="149"/>
      <c r="L33" s="149"/>
      <c r="M33" s="149"/>
      <c r="N33" s="149"/>
      <c r="O33" s="159"/>
      <c r="P33" s="149"/>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6.8" thickTop="1" thickBot="1">
      <c r="A34" s="145">
        <v>34</v>
      </c>
      <c r="B34" s="184"/>
      <c r="C34" s="185"/>
      <c r="D34" s="185"/>
      <c r="E34" s="185"/>
      <c r="F34" s="185"/>
      <c r="G34" s="185"/>
      <c r="H34" s="185"/>
      <c r="I34" s="185"/>
      <c r="J34" s="185"/>
      <c r="K34" s="185"/>
      <c r="L34" s="185"/>
      <c r="M34" s="187"/>
      <c r="N34" s="149"/>
      <c r="O34" s="214"/>
      <c r="P34" s="149" t="s">
        <v>40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6.8" thickTop="1" thickBot="1">
      <c r="A35" s="145">
        <v>35</v>
      </c>
      <c r="B35" s="193"/>
      <c r="C35" s="215" t="s">
        <v>41</v>
      </c>
      <c r="D35" s="694" t="s">
        <v>42</v>
      </c>
      <c r="E35" s="694"/>
      <c r="F35" s="694"/>
      <c r="G35" s="695" t="s">
        <v>43</v>
      </c>
      <c r="H35" s="695"/>
      <c r="I35" s="695"/>
      <c r="J35" s="694" t="s">
        <v>44</v>
      </c>
      <c r="K35" s="694"/>
      <c r="L35" s="694"/>
      <c r="M35" s="195"/>
      <c r="N35" s="149"/>
      <c r="O35" s="216"/>
      <c r="P35" s="171" t="s">
        <v>45</v>
      </c>
      <c r="Q35" s="171"/>
      <c r="R35" s="171"/>
      <c r="S35" s="171"/>
      <c r="T35" s="171"/>
      <c r="U35" s="171"/>
      <c r="V35" s="171"/>
      <c r="W35" s="171"/>
      <c r="X35" s="171"/>
      <c r="Y35" s="172"/>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6.2" thickTop="1">
      <c r="A36" s="145">
        <v>36</v>
      </c>
      <c r="B36" s="193"/>
      <c r="C36" s="217" t="s">
        <v>46</v>
      </c>
      <c r="D36" s="694"/>
      <c r="E36" s="694"/>
      <c r="F36" s="694"/>
      <c r="G36" s="695"/>
      <c r="H36" s="695"/>
      <c r="I36" s="695"/>
      <c r="J36" s="694"/>
      <c r="K36" s="694"/>
      <c r="L36" s="694"/>
      <c r="M36" s="195"/>
      <c r="N36" s="149"/>
      <c r="O36" s="149"/>
      <c r="P36" s="149"/>
      <c r="Q36" s="149"/>
      <c r="R36" s="149"/>
      <c r="S36" s="149"/>
      <c r="T36" s="149"/>
      <c r="U36" s="149"/>
      <c r="V36" s="149"/>
      <c r="W36" s="149"/>
      <c r="X36" s="149"/>
      <c r="Y36" s="149"/>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2" thickBot="1">
      <c r="A37" s="145">
        <v>37</v>
      </c>
      <c r="B37" s="193"/>
      <c r="C37" s="217" t="s">
        <v>47</v>
      </c>
      <c r="D37" s="218" t="s">
        <v>48</v>
      </c>
      <c r="E37" s="219" t="s">
        <v>49</v>
      </c>
      <c r="F37" s="220" t="s">
        <v>50</v>
      </c>
      <c r="G37" s="218" t="s">
        <v>48</v>
      </c>
      <c r="H37" s="219" t="s">
        <v>49</v>
      </c>
      <c r="I37" s="220" t="s">
        <v>50</v>
      </c>
      <c r="J37" s="218" t="s">
        <v>48</v>
      </c>
      <c r="K37" s="219" t="s">
        <v>49</v>
      </c>
      <c r="L37" s="220" t="s">
        <v>50</v>
      </c>
      <c r="M37" s="195"/>
      <c r="N37" s="149"/>
      <c r="O37" s="149"/>
      <c r="P37" s="149"/>
      <c r="Q37" s="149"/>
      <c r="R37" s="149"/>
      <c r="S37" s="149"/>
      <c r="T37" s="182" t="s">
        <v>51</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2" thickTop="1">
      <c r="A38" s="145">
        <v>38</v>
      </c>
      <c r="B38" s="193"/>
      <c r="C38" s="221" t="s">
        <v>52</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53</v>
      </c>
      <c r="P38" s="151"/>
      <c r="Q38" s="151"/>
      <c r="R38" s="151"/>
      <c r="S38" s="151"/>
      <c r="T38" s="151"/>
      <c r="U38" s="151"/>
      <c r="V38" s="151"/>
      <c r="W38" s="151"/>
      <c r="X38" s="151"/>
      <c r="Y38" s="152"/>
      <c r="AA38" s="165" t="s">
        <v>376</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2" thickBot="1">
      <c r="A39" s="145">
        <v>39</v>
      </c>
      <c r="B39" s="193"/>
      <c r="C39" s="226" t="s">
        <v>54</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55</v>
      </c>
      <c r="Q39" s="149"/>
      <c r="R39" s="149"/>
      <c r="S39" s="149"/>
      <c r="T39" s="149"/>
      <c r="U39" s="149"/>
      <c r="V39" s="149"/>
      <c r="W39" s="149"/>
      <c r="X39" s="149"/>
      <c r="Y39" s="161"/>
      <c r="AA39" s="165" t="s">
        <v>377</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56</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57</v>
      </c>
      <c r="Q40" s="149"/>
      <c r="R40" s="149"/>
      <c r="S40" s="149"/>
      <c r="T40" s="149"/>
      <c r="U40" s="149"/>
      <c r="V40" s="149"/>
      <c r="W40" s="149"/>
      <c r="X40" s="149"/>
      <c r="Y40" s="161"/>
      <c r="AA40" s="165" t="s">
        <v>378</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2" thickBot="1">
      <c r="A41" s="145">
        <v>41</v>
      </c>
      <c r="B41" s="193"/>
      <c r="C41" s="230" t="s">
        <v>58</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59</v>
      </c>
      <c r="Q41" s="149"/>
      <c r="R41" s="149"/>
      <c r="S41" s="149"/>
      <c r="T41" s="149"/>
      <c r="U41" s="149"/>
      <c r="V41" s="149"/>
      <c r="W41" s="149"/>
      <c r="X41" s="149"/>
      <c r="Y41" s="161"/>
      <c r="AA41" s="165" t="s">
        <v>379</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2" thickTop="1">
      <c r="A42" s="145">
        <v>42</v>
      </c>
      <c r="B42" s="193"/>
      <c r="C42" s="149"/>
      <c r="D42" s="149"/>
      <c r="E42" s="149"/>
      <c r="F42" s="149"/>
      <c r="G42" s="149"/>
      <c r="H42" s="149"/>
      <c r="I42" s="149"/>
      <c r="J42" s="149"/>
      <c r="K42" s="149"/>
      <c r="L42" s="149"/>
      <c r="M42" s="195"/>
      <c r="N42" s="149"/>
      <c r="O42" s="214"/>
      <c r="P42" s="166" t="s">
        <v>60</v>
      </c>
      <c r="Q42" s="149"/>
      <c r="R42" s="149"/>
      <c r="S42" s="149"/>
      <c r="T42" s="149"/>
      <c r="U42" s="149"/>
      <c r="V42" s="149"/>
      <c r="W42" s="149"/>
      <c r="X42" s="149"/>
      <c r="Y42" s="161"/>
      <c r="AA42" s="165" t="s">
        <v>380</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7.399999999999999">
      <c r="A43" s="145">
        <v>43</v>
      </c>
      <c r="B43" s="193"/>
      <c r="C43" s="149"/>
      <c r="D43" s="149"/>
      <c r="E43" s="149"/>
      <c r="F43" s="149"/>
      <c r="G43" s="149"/>
      <c r="H43" s="180" t="s">
        <v>51</v>
      </c>
      <c r="I43" s="149"/>
      <c r="J43" s="149"/>
      <c r="K43" s="149"/>
      <c r="L43" s="149"/>
      <c r="M43" s="195"/>
      <c r="N43" s="149"/>
      <c r="O43" s="214"/>
      <c r="P43" s="166" t="s">
        <v>61</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62</v>
      </c>
      <c r="D44" s="149"/>
      <c r="E44" s="149"/>
      <c r="F44" s="149"/>
      <c r="G44" s="149"/>
      <c r="H44" s="149"/>
      <c r="I44" s="149"/>
      <c r="J44" s="149"/>
      <c r="K44" s="149"/>
      <c r="L44" s="696" t="s">
        <v>63</v>
      </c>
      <c r="M44" s="696"/>
      <c r="N44" s="149"/>
      <c r="O44" s="159"/>
      <c r="P44" s="149"/>
      <c r="Q44" s="149"/>
      <c r="R44" s="149"/>
      <c r="S44" s="149"/>
      <c r="T44" s="149"/>
      <c r="U44" s="149"/>
      <c r="V44" s="149"/>
      <c r="W44" s="149"/>
      <c r="X44" s="149"/>
      <c r="Y44" s="161"/>
      <c r="AA44" s="165" t="s">
        <v>381</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64</v>
      </c>
      <c r="D45" s="149"/>
      <c r="E45" s="166" t="s">
        <v>55</v>
      </c>
      <c r="F45" s="149"/>
      <c r="G45" s="149"/>
      <c r="H45" s="149"/>
      <c r="I45" s="149"/>
      <c r="J45" s="149"/>
      <c r="K45" s="149"/>
      <c r="L45" s="236" t="str">
        <f>IF(O39="","TBD",IF(O39=1,"YES",IF(O39=3,"NA","")))</f>
        <v>TBD</v>
      </c>
      <c r="M45" s="237" t="str">
        <f>IF(O39=2,"NO","")</f>
        <v/>
      </c>
      <c r="N45" s="149"/>
      <c r="O45" s="159"/>
      <c r="P45" s="149"/>
      <c r="Q45" s="149"/>
      <c r="R45" s="149"/>
      <c r="S45" s="149"/>
      <c r="T45" s="182" t="s">
        <v>65</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66</v>
      </c>
      <c r="D46" s="149"/>
      <c r="E46" s="166" t="s">
        <v>57</v>
      </c>
      <c r="F46" s="149"/>
      <c r="G46" s="149"/>
      <c r="H46" s="149"/>
      <c r="I46" s="149"/>
      <c r="J46" s="149"/>
      <c r="K46" s="149"/>
      <c r="L46" s="236" t="str">
        <f>IF(O40="","TBD",IF(O40=1,"YES",IF(O40=3,"NA","")))</f>
        <v>TBD</v>
      </c>
      <c r="M46" s="237" t="str">
        <f>IF(O40=2,"NO","")</f>
        <v/>
      </c>
      <c r="N46" s="149"/>
      <c r="O46" s="214"/>
      <c r="P46" s="194" t="s">
        <v>67</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68</v>
      </c>
      <c r="D47" s="149"/>
      <c r="E47" s="166" t="s">
        <v>59</v>
      </c>
      <c r="F47" s="149"/>
      <c r="G47" s="149"/>
      <c r="H47" s="149"/>
      <c r="I47" s="149"/>
      <c r="J47" s="149"/>
      <c r="K47" s="149"/>
      <c r="L47" s="236" t="str">
        <f>IF(O41="","TBD",IF(O41=1,"YES",IF(O41=3,"NA","")))</f>
        <v>TBD</v>
      </c>
      <c r="M47" s="237" t="str">
        <f>IF(O41=2,"NO","")</f>
        <v/>
      </c>
      <c r="N47" s="149"/>
      <c r="O47" s="214"/>
      <c r="P47" s="194" t="s">
        <v>69</v>
      </c>
      <c r="Q47" s="149"/>
      <c r="R47" s="149"/>
      <c r="S47" s="149"/>
      <c r="T47" s="149"/>
      <c r="U47" s="149"/>
      <c r="V47" s="149"/>
      <c r="W47" s="149"/>
      <c r="X47" s="149"/>
      <c r="Y47" s="161"/>
      <c r="AA47" s="165" t="s">
        <v>270</v>
      </c>
      <c r="AB47" s="191"/>
      <c r="AC47" s="149"/>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60</v>
      </c>
      <c r="F48" s="149"/>
      <c r="G48" s="149"/>
      <c r="H48" s="149"/>
      <c r="I48" s="149"/>
      <c r="J48" s="149"/>
      <c r="K48" s="149"/>
      <c r="L48" s="236" t="str">
        <f>IF(O42="","TBD",IF(O42=1,"YES",IF(O42=3,"NA","")))</f>
        <v>TBD</v>
      </c>
      <c r="M48" s="237" t="str">
        <f>IF(O42=2,"NO","")</f>
        <v/>
      </c>
      <c r="N48" s="149"/>
      <c r="O48" s="214"/>
      <c r="P48" s="194" t="s">
        <v>70</v>
      </c>
      <c r="Q48" s="149"/>
      <c r="R48" s="149"/>
      <c r="S48" s="149"/>
      <c r="T48" s="149"/>
      <c r="U48" s="149"/>
      <c r="V48" s="149"/>
      <c r="W48" s="149"/>
      <c r="X48" s="149"/>
      <c r="Y48" s="161"/>
      <c r="AA48" s="165" t="s">
        <v>382</v>
      </c>
      <c r="AB48" s="191"/>
      <c r="AC48" s="149"/>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61</v>
      </c>
      <c r="F49" s="149"/>
      <c r="G49" s="149"/>
      <c r="H49" s="149"/>
      <c r="I49" s="149"/>
      <c r="J49" s="149"/>
      <c r="K49" s="149"/>
      <c r="L49" s="236" t="str">
        <f>IF(O43="","TBD",IF(O43=1,"YES",IF(O43=3,"NA","")))</f>
        <v>TBD</v>
      </c>
      <c r="M49" s="237" t="str">
        <f>IF(O43=2,"NO","")</f>
        <v/>
      </c>
      <c r="N49" s="149"/>
      <c r="O49" s="214"/>
      <c r="P49" s="194" t="s">
        <v>71</v>
      </c>
      <c r="Q49" s="149"/>
      <c r="R49" s="149"/>
      <c r="S49" s="149"/>
      <c r="T49" s="149"/>
      <c r="U49" s="149"/>
      <c r="V49" s="149"/>
      <c r="W49" s="149"/>
      <c r="X49" s="149"/>
      <c r="Y49" s="161"/>
      <c r="AA49" s="165" t="s">
        <v>383</v>
      </c>
      <c r="AB49" s="191"/>
      <c r="AC49" s="149"/>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49"/>
      <c r="F50" s="149"/>
      <c r="G50" s="149"/>
      <c r="H50" s="182" t="s">
        <v>65</v>
      </c>
      <c r="I50" s="149"/>
      <c r="J50" s="149"/>
      <c r="K50" s="149"/>
      <c r="L50" s="149"/>
      <c r="M50" s="195"/>
      <c r="N50" s="149"/>
      <c r="O50" s="214">
        <v>3</v>
      </c>
      <c r="P50" s="194" t="s">
        <v>72</v>
      </c>
      <c r="Q50" s="149"/>
      <c r="R50" s="149"/>
      <c r="S50" s="149"/>
      <c r="T50" s="149"/>
      <c r="U50" s="149"/>
      <c r="V50" s="149"/>
      <c r="W50" s="149"/>
      <c r="X50" s="149"/>
      <c r="Y50" s="161"/>
      <c r="AA50" s="165" t="s">
        <v>270</v>
      </c>
      <c r="AB50" s="191"/>
      <c r="AC50" s="149"/>
      <c r="AD50" s="192" t="str">
        <f>IF(P101="","",P101)</f>
        <v/>
      </c>
      <c r="AH50"/>
      <c r="AI50"/>
      <c r="AJ50"/>
      <c r="AK50"/>
      <c r="AL50"/>
      <c r="AM50"/>
      <c r="AN50"/>
      <c r="AO50"/>
      <c r="AP50"/>
      <c r="AQ50"/>
      <c r="AR50"/>
    </row>
    <row r="51" spans="1:44">
      <c r="A51" s="145">
        <v>51</v>
      </c>
      <c r="B51" s="193"/>
      <c r="C51" s="149"/>
      <c r="D51" s="149"/>
      <c r="E51" s="194" t="s">
        <v>67</v>
      </c>
      <c r="F51" s="149"/>
      <c r="G51" s="149"/>
      <c r="H51" s="149"/>
      <c r="I51" s="149"/>
      <c r="J51" s="149"/>
      <c r="K51" s="149"/>
      <c r="L51" s="236" t="str">
        <f t="shared" ref="L51:L63" si="9">IF(O46="","TBD",IF(O46=1,"YES",IF(O46=3,"NA","")))</f>
        <v>TBD</v>
      </c>
      <c r="M51" s="237" t="str">
        <f t="shared" ref="M51:M63" si="10">IF(O46=2,"NO","")</f>
        <v/>
      </c>
      <c r="N51" s="149"/>
      <c r="O51" s="214"/>
      <c r="P51" s="194" t="s">
        <v>73</v>
      </c>
      <c r="Q51" s="149"/>
      <c r="R51" s="149"/>
      <c r="S51" s="149"/>
      <c r="T51" s="149"/>
      <c r="U51" s="149"/>
      <c r="V51" s="149"/>
      <c r="W51" s="149"/>
      <c r="X51" s="149"/>
      <c r="Y51" s="161"/>
      <c r="AA51" s="165" t="s">
        <v>382</v>
      </c>
      <c r="AB51" s="191"/>
      <c r="AC51" s="149"/>
      <c r="AD51" s="192" t="str">
        <f>IF(Q101="","",Q101)</f>
        <v/>
      </c>
      <c r="AH51"/>
      <c r="AI51"/>
      <c r="AJ51"/>
      <c r="AK51"/>
      <c r="AL51"/>
      <c r="AM51"/>
      <c r="AN51"/>
      <c r="AO51"/>
      <c r="AP51"/>
      <c r="AQ51"/>
      <c r="AR51"/>
    </row>
    <row r="52" spans="1:44">
      <c r="A52" s="145">
        <v>52</v>
      </c>
      <c r="B52" s="193"/>
      <c r="C52" s="149"/>
      <c r="D52" s="149"/>
      <c r="E52" s="194" t="s">
        <v>69</v>
      </c>
      <c r="F52" s="149"/>
      <c r="G52" s="149"/>
      <c r="H52" s="149"/>
      <c r="I52" s="149"/>
      <c r="J52" s="149"/>
      <c r="K52" s="149"/>
      <c r="L52" s="236" t="str">
        <f t="shared" si="9"/>
        <v>TBD</v>
      </c>
      <c r="M52" s="237" t="str">
        <f t="shared" si="10"/>
        <v/>
      </c>
      <c r="N52" s="149"/>
      <c r="O52" s="238" t="str">
        <f>IF(S132="","",IF(S132="Pass",1,2))</f>
        <v/>
      </c>
      <c r="P52" s="194" t="s">
        <v>74</v>
      </c>
      <c r="Q52" s="149"/>
      <c r="R52" s="149"/>
      <c r="S52" s="149"/>
      <c r="T52" s="149"/>
      <c r="U52" s="149"/>
      <c r="V52" s="149"/>
      <c r="W52" s="149"/>
      <c r="X52" s="149"/>
      <c r="Y52" s="161"/>
      <c r="AA52" s="165" t="s">
        <v>383</v>
      </c>
      <c r="AB52" s="191"/>
      <c r="AC52" s="149"/>
      <c r="AD52" s="192" t="str">
        <f>IF(R101="","",R101)</f>
        <v/>
      </c>
      <c r="AH52"/>
      <c r="AI52"/>
      <c r="AJ52"/>
      <c r="AK52"/>
      <c r="AL52"/>
      <c r="AM52"/>
      <c r="AN52"/>
      <c r="AO52"/>
      <c r="AP52"/>
      <c r="AQ52"/>
      <c r="AR52"/>
    </row>
    <row r="53" spans="1:44">
      <c r="A53" s="145">
        <v>53</v>
      </c>
      <c r="B53" s="193"/>
      <c r="C53" s="149"/>
      <c r="D53" s="149"/>
      <c r="E53" s="194" t="s">
        <v>70</v>
      </c>
      <c r="F53" s="149"/>
      <c r="G53" s="149"/>
      <c r="H53" s="149"/>
      <c r="I53" s="149"/>
      <c r="J53" s="149"/>
      <c r="K53" s="149"/>
      <c r="L53" s="236" t="str">
        <f t="shared" si="9"/>
        <v>TBD</v>
      </c>
      <c r="M53" s="237" t="str">
        <f t="shared" si="10"/>
        <v/>
      </c>
      <c r="N53" s="149"/>
      <c r="O53" s="214"/>
      <c r="P53" s="194" t="s">
        <v>75</v>
      </c>
      <c r="Q53" s="149"/>
      <c r="R53" s="149"/>
      <c r="S53" s="149"/>
      <c r="T53" s="149"/>
      <c r="U53" s="149"/>
      <c r="V53" s="149"/>
      <c r="W53" s="149"/>
      <c r="X53" s="149"/>
      <c r="Y53" s="161"/>
      <c r="AA53" s="165" t="s">
        <v>270</v>
      </c>
      <c r="AB53" s="191"/>
      <c r="AC53" s="149"/>
      <c r="AD53" s="192" t="str">
        <f>IF(P102="","",P102)</f>
        <v/>
      </c>
      <c r="AH53"/>
      <c r="AI53"/>
      <c r="AJ53"/>
      <c r="AK53"/>
      <c r="AL53"/>
      <c r="AM53"/>
      <c r="AN53"/>
      <c r="AO53"/>
      <c r="AP53"/>
      <c r="AQ53"/>
      <c r="AR53"/>
    </row>
    <row r="54" spans="1:44">
      <c r="A54" s="145">
        <v>54</v>
      </c>
      <c r="B54" s="193"/>
      <c r="C54" s="149"/>
      <c r="D54" s="149"/>
      <c r="E54" s="194" t="s">
        <v>71</v>
      </c>
      <c r="F54" s="149"/>
      <c r="G54" s="149"/>
      <c r="H54" s="149"/>
      <c r="I54" s="149"/>
      <c r="J54" s="149"/>
      <c r="K54" s="149"/>
      <c r="L54" s="236" t="str">
        <f t="shared" si="9"/>
        <v>TBD</v>
      </c>
      <c r="M54" s="237" t="str">
        <f t="shared" si="10"/>
        <v/>
      </c>
      <c r="N54" s="149"/>
      <c r="O54" s="214"/>
      <c r="P54" s="194" t="s">
        <v>76</v>
      </c>
      <c r="Q54" s="149"/>
      <c r="R54" s="149"/>
      <c r="S54" s="149"/>
      <c r="T54" s="149"/>
      <c r="U54" s="149"/>
      <c r="V54" s="149"/>
      <c r="W54" s="149"/>
      <c r="X54" s="149"/>
      <c r="Y54" s="161"/>
      <c r="AA54" s="165" t="s">
        <v>382</v>
      </c>
      <c r="AB54" s="191"/>
      <c r="AC54" s="149"/>
      <c r="AD54" s="192" t="str">
        <f>IF(Q102="","",Q102)</f>
        <v/>
      </c>
      <c r="AH54"/>
      <c r="AI54"/>
      <c r="AJ54"/>
      <c r="AK54"/>
      <c r="AL54"/>
      <c r="AM54"/>
      <c r="AN54"/>
      <c r="AO54"/>
      <c r="AP54"/>
      <c r="AQ54"/>
      <c r="AR54"/>
    </row>
    <row r="55" spans="1:44">
      <c r="A55" s="145">
        <v>55</v>
      </c>
      <c r="B55" s="193"/>
      <c r="C55" s="149"/>
      <c r="D55" s="149"/>
      <c r="E55" s="194" t="s">
        <v>72</v>
      </c>
      <c r="F55" s="149"/>
      <c r="G55" s="149"/>
      <c r="H55" s="149"/>
      <c r="I55" s="149"/>
      <c r="J55" s="149"/>
      <c r="K55" s="149"/>
      <c r="L55" s="236" t="str">
        <f t="shared" si="9"/>
        <v>NA</v>
      </c>
      <c r="M55" s="237" t="str">
        <f t="shared" si="10"/>
        <v/>
      </c>
      <c r="N55" s="149"/>
      <c r="O55" s="214"/>
      <c r="P55" s="194" t="s">
        <v>77</v>
      </c>
      <c r="Q55" s="149"/>
      <c r="R55" s="149"/>
      <c r="S55" s="149"/>
      <c r="T55" s="149"/>
      <c r="U55" s="149"/>
      <c r="V55" s="149"/>
      <c r="W55" s="149"/>
      <c r="X55" s="149"/>
      <c r="Y55" s="161"/>
      <c r="AA55" s="165" t="s">
        <v>383</v>
      </c>
      <c r="AB55" s="191"/>
      <c r="AC55" s="149"/>
      <c r="AD55" s="192" t="str">
        <f>IF(R102="","",R102)</f>
        <v/>
      </c>
      <c r="AH55"/>
      <c r="AI55"/>
      <c r="AJ55"/>
      <c r="AK55"/>
      <c r="AL55"/>
      <c r="AM55"/>
      <c r="AN55"/>
      <c r="AO55"/>
      <c r="AP55"/>
      <c r="AQ55"/>
      <c r="AR55"/>
    </row>
    <row r="56" spans="1:44">
      <c r="A56" s="145">
        <v>56</v>
      </c>
      <c r="B56" s="193"/>
      <c r="C56" s="149"/>
      <c r="D56" s="149"/>
      <c r="E56" s="194" t="s">
        <v>73</v>
      </c>
      <c r="F56" s="149"/>
      <c r="G56" s="149"/>
      <c r="H56" s="149"/>
      <c r="I56" s="149"/>
      <c r="J56" s="149"/>
      <c r="K56" s="149"/>
      <c r="L56" s="236" t="str">
        <f t="shared" si="9"/>
        <v>TBD</v>
      </c>
      <c r="M56" s="237" t="str">
        <f t="shared" si="10"/>
        <v/>
      </c>
      <c r="N56" s="149"/>
      <c r="O56" s="214"/>
      <c r="P56" s="194" t="s">
        <v>78</v>
      </c>
      <c r="Q56" s="149"/>
      <c r="R56" s="149"/>
      <c r="S56" s="149"/>
      <c r="T56" s="149"/>
      <c r="U56" s="149"/>
      <c r="V56" s="149"/>
      <c r="W56" s="149"/>
      <c r="X56" s="149"/>
      <c r="Y56" s="161"/>
      <c r="AA56" s="165" t="s">
        <v>270</v>
      </c>
      <c r="AB56" s="191"/>
      <c r="AC56" s="149"/>
      <c r="AD56" s="192" t="str">
        <f>IF(P103="","",P103)</f>
        <v/>
      </c>
      <c r="AH56"/>
      <c r="AI56"/>
      <c r="AJ56"/>
      <c r="AK56"/>
      <c r="AL56"/>
      <c r="AM56"/>
      <c r="AN56"/>
      <c r="AO56"/>
      <c r="AP56"/>
      <c r="AQ56"/>
      <c r="AR56"/>
    </row>
    <row r="57" spans="1:44">
      <c r="A57" s="145">
        <v>57</v>
      </c>
      <c r="B57" s="193"/>
      <c r="C57" s="149"/>
      <c r="D57" s="149"/>
      <c r="E57" s="194" t="s">
        <v>74</v>
      </c>
      <c r="F57" s="149"/>
      <c r="G57" s="149"/>
      <c r="H57" s="149"/>
      <c r="I57" s="149"/>
      <c r="J57" s="149"/>
      <c r="K57" s="149"/>
      <c r="L57" s="236" t="str">
        <f t="shared" si="9"/>
        <v>TBD</v>
      </c>
      <c r="M57" s="237" t="str">
        <f t="shared" si="10"/>
        <v/>
      </c>
      <c r="N57" s="149"/>
      <c r="O57" s="214"/>
      <c r="P57" s="194" t="s">
        <v>79</v>
      </c>
      <c r="Q57" s="149"/>
      <c r="R57" s="149"/>
      <c r="S57" s="149"/>
      <c r="T57" s="149"/>
      <c r="U57" s="149"/>
      <c r="V57" s="149"/>
      <c r="W57" s="149"/>
      <c r="X57" s="149"/>
      <c r="Y57" s="161"/>
      <c r="AA57" s="165" t="s">
        <v>382</v>
      </c>
      <c r="AB57" s="191"/>
      <c r="AC57" s="149"/>
      <c r="AD57" s="192" t="str">
        <f>IF(Q103="","",Q103)</f>
        <v/>
      </c>
      <c r="AH57"/>
      <c r="AI57"/>
      <c r="AJ57"/>
      <c r="AK57"/>
      <c r="AL57"/>
      <c r="AM57"/>
      <c r="AN57"/>
      <c r="AO57"/>
      <c r="AP57"/>
      <c r="AQ57"/>
      <c r="AR57"/>
    </row>
    <row r="58" spans="1:44">
      <c r="A58" s="145">
        <v>58</v>
      </c>
      <c r="B58" s="193"/>
      <c r="C58" s="149"/>
      <c r="D58" s="149"/>
      <c r="E58" s="194" t="s">
        <v>75</v>
      </c>
      <c r="F58" s="149"/>
      <c r="G58" s="149"/>
      <c r="H58" s="149"/>
      <c r="I58" s="149"/>
      <c r="J58" s="149"/>
      <c r="K58" s="149"/>
      <c r="L58" s="236" t="str">
        <f t="shared" si="9"/>
        <v>TBD</v>
      </c>
      <c r="M58" s="237" t="str">
        <f t="shared" si="10"/>
        <v/>
      </c>
      <c r="N58" s="149"/>
      <c r="O58" s="214"/>
      <c r="P58" s="149" t="s">
        <v>80</v>
      </c>
      <c r="Q58" s="149"/>
      <c r="R58" s="149"/>
      <c r="S58" s="149"/>
      <c r="T58" s="149"/>
      <c r="U58" s="149"/>
      <c r="V58" s="149"/>
      <c r="W58" s="149"/>
      <c r="X58" s="149"/>
      <c r="Y58" s="161"/>
      <c r="AA58" s="165" t="s">
        <v>383</v>
      </c>
      <c r="AB58" s="191"/>
      <c r="AC58" s="149"/>
      <c r="AD58" s="192" t="str">
        <f>IF(R103="","",R103)</f>
        <v/>
      </c>
      <c r="AH58"/>
      <c r="AI58"/>
      <c r="AJ58"/>
      <c r="AK58"/>
      <c r="AL58"/>
      <c r="AM58"/>
      <c r="AN58"/>
      <c r="AO58"/>
      <c r="AP58"/>
      <c r="AQ58"/>
      <c r="AR58"/>
    </row>
    <row r="59" spans="1:44">
      <c r="A59" s="145">
        <v>59</v>
      </c>
      <c r="B59" s="193"/>
      <c r="C59" s="149"/>
      <c r="D59" s="149"/>
      <c r="E59" s="194" t="s">
        <v>76</v>
      </c>
      <c r="F59" s="149"/>
      <c r="G59" s="149"/>
      <c r="H59" s="149"/>
      <c r="I59" s="149"/>
      <c r="J59" s="149"/>
      <c r="K59" s="149"/>
      <c r="L59" s="236" t="str">
        <f t="shared" si="9"/>
        <v>TBD</v>
      </c>
      <c r="M59" s="237" t="str">
        <f t="shared" si="10"/>
        <v/>
      </c>
      <c r="N59" s="149"/>
      <c r="O59" s="159"/>
      <c r="P59" s="149"/>
      <c r="Q59" s="149"/>
      <c r="R59" s="149"/>
      <c r="S59" s="149"/>
      <c r="T59" s="149"/>
      <c r="U59" s="149"/>
      <c r="V59" s="149"/>
      <c r="W59" s="149"/>
      <c r="X59" s="149"/>
      <c r="Y59" s="161"/>
      <c r="AA59" s="173" t="s">
        <v>384</v>
      </c>
      <c r="AB59" s="149"/>
      <c r="AC59" s="149"/>
      <c r="AD59" s="149"/>
      <c r="AH59"/>
      <c r="AI59"/>
      <c r="AJ59"/>
      <c r="AK59"/>
      <c r="AL59"/>
      <c r="AM59"/>
      <c r="AN59"/>
      <c r="AO59"/>
      <c r="AP59"/>
      <c r="AQ59"/>
      <c r="AR59"/>
    </row>
    <row r="60" spans="1:44">
      <c r="A60" s="145">
        <v>60</v>
      </c>
      <c r="B60" s="193"/>
      <c r="C60" s="149"/>
      <c r="D60" s="149"/>
      <c r="E60" s="194" t="s">
        <v>77</v>
      </c>
      <c r="F60" s="149"/>
      <c r="G60" s="149"/>
      <c r="H60" s="149"/>
      <c r="I60" s="149"/>
      <c r="J60" s="149"/>
      <c r="K60" s="149"/>
      <c r="L60" s="236" t="str">
        <f t="shared" si="9"/>
        <v>TBD</v>
      </c>
      <c r="M60" s="237" t="str">
        <f t="shared" si="10"/>
        <v/>
      </c>
      <c r="N60" s="149"/>
      <c r="O60" s="159"/>
      <c r="P60" s="149"/>
      <c r="Q60" s="149"/>
      <c r="R60" s="149"/>
      <c r="S60" s="149"/>
      <c r="T60" s="182" t="s">
        <v>81</v>
      </c>
      <c r="U60" s="149"/>
      <c r="V60" s="149"/>
      <c r="W60" s="149"/>
      <c r="X60" s="149"/>
      <c r="Y60" s="161"/>
      <c r="AA60" s="165" t="s">
        <v>270</v>
      </c>
      <c r="AB60" s="191"/>
      <c r="AC60" s="149"/>
      <c r="AD60" s="192" t="str">
        <f>IF(S100="","",S100)</f>
        <v/>
      </c>
      <c r="AH60"/>
      <c r="AI60"/>
      <c r="AJ60"/>
      <c r="AK60"/>
      <c r="AL60"/>
      <c r="AM60"/>
      <c r="AN60"/>
      <c r="AO60"/>
      <c r="AP60"/>
      <c r="AQ60"/>
      <c r="AR60"/>
    </row>
    <row r="61" spans="1:44">
      <c r="A61" s="145">
        <v>61</v>
      </c>
      <c r="B61" s="193"/>
      <c r="C61" s="149"/>
      <c r="D61" s="149"/>
      <c r="E61" s="194" t="s">
        <v>78</v>
      </c>
      <c r="F61" s="149"/>
      <c r="G61" s="149"/>
      <c r="H61" s="149"/>
      <c r="I61" s="149"/>
      <c r="J61" s="149"/>
      <c r="K61" s="149"/>
      <c r="L61" s="236" t="str">
        <f t="shared" si="9"/>
        <v>TBD</v>
      </c>
      <c r="M61" s="237" t="str">
        <f t="shared" si="10"/>
        <v/>
      </c>
      <c r="N61" s="149"/>
      <c r="O61" s="214"/>
      <c r="P61" s="149" t="s">
        <v>82</v>
      </c>
      <c r="Q61" s="149"/>
      <c r="R61" s="149"/>
      <c r="S61" s="149"/>
      <c r="T61" s="149"/>
      <c r="U61" s="149"/>
      <c r="V61" s="149"/>
      <c r="W61" s="149"/>
      <c r="X61" s="149"/>
      <c r="Y61" s="161"/>
      <c r="AA61" s="165" t="s">
        <v>382</v>
      </c>
      <c r="AB61" s="191"/>
      <c r="AC61" s="149"/>
      <c r="AD61" s="192" t="str">
        <f>IF(T100="","",T100)</f>
        <v/>
      </c>
      <c r="AH61"/>
      <c r="AI61"/>
      <c r="AJ61"/>
      <c r="AK61"/>
      <c r="AL61"/>
      <c r="AM61"/>
      <c r="AN61"/>
      <c r="AO61"/>
      <c r="AP61"/>
      <c r="AQ61"/>
      <c r="AR61"/>
    </row>
    <row r="62" spans="1:44">
      <c r="A62" s="145">
        <v>62</v>
      </c>
      <c r="B62" s="193"/>
      <c r="C62" s="149"/>
      <c r="D62" s="149"/>
      <c r="E62" s="194" t="s">
        <v>83</v>
      </c>
      <c r="F62" s="149"/>
      <c r="G62" s="149"/>
      <c r="H62" s="149"/>
      <c r="I62" s="149"/>
      <c r="J62" s="149"/>
      <c r="K62" s="149"/>
      <c r="L62" s="236" t="str">
        <f t="shared" si="9"/>
        <v>TBD</v>
      </c>
      <c r="M62" s="237" t="str">
        <f t="shared" si="10"/>
        <v/>
      </c>
      <c r="N62" s="149"/>
      <c r="O62" s="214"/>
      <c r="P62" s="149" t="s">
        <v>84</v>
      </c>
      <c r="Q62" s="149"/>
      <c r="R62" s="149"/>
      <c r="S62" s="149"/>
      <c r="T62" s="149"/>
      <c r="U62" s="149"/>
      <c r="V62" s="149"/>
      <c r="W62" s="149"/>
      <c r="X62" s="149"/>
      <c r="Y62" s="161"/>
      <c r="AA62" s="165" t="s">
        <v>383</v>
      </c>
      <c r="AB62" s="191"/>
      <c r="AC62" s="149"/>
      <c r="AD62" s="192" t="str">
        <f>IF(U100="","",U100)</f>
        <v/>
      </c>
      <c r="AH62"/>
      <c r="AI62"/>
      <c r="AJ62"/>
      <c r="AK62"/>
      <c r="AL62"/>
      <c r="AM62"/>
      <c r="AN62"/>
      <c r="AO62"/>
      <c r="AP62"/>
      <c r="AQ62"/>
      <c r="AR62"/>
    </row>
    <row r="63" spans="1:44">
      <c r="A63" s="145">
        <v>63</v>
      </c>
      <c r="B63" s="193"/>
      <c r="C63" s="149"/>
      <c r="D63" s="149"/>
      <c r="E63" s="149" t="s">
        <v>85</v>
      </c>
      <c r="F63" s="149"/>
      <c r="G63" s="149"/>
      <c r="H63" s="149"/>
      <c r="I63" s="149"/>
      <c r="J63" s="149"/>
      <c r="K63" s="149"/>
      <c r="L63" s="236" t="str">
        <f t="shared" si="9"/>
        <v>TBD</v>
      </c>
      <c r="M63" s="237" t="str">
        <f t="shared" si="10"/>
        <v/>
      </c>
      <c r="N63" s="149"/>
      <c r="O63" s="214"/>
      <c r="P63" s="149" t="s">
        <v>86</v>
      </c>
      <c r="Q63" s="149"/>
      <c r="R63" s="149"/>
      <c r="S63" s="149"/>
      <c r="T63" s="149"/>
      <c r="U63" s="149"/>
      <c r="V63" s="149"/>
      <c r="W63" s="149"/>
      <c r="X63" s="149"/>
      <c r="Y63" s="161"/>
      <c r="AA63" s="165" t="s">
        <v>270</v>
      </c>
      <c r="AB63" s="191"/>
      <c r="AC63" s="149"/>
      <c r="AD63" s="192" t="str">
        <f>IF(S101="","",S101)</f>
        <v/>
      </c>
      <c r="AH63"/>
      <c r="AI63"/>
      <c r="AJ63"/>
      <c r="AK63"/>
      <c r="AL63"/>
      <c r="AM63"/>
      <c r="AN63"/>
      <c r="AO63"/>
      <c r="AP63"/>
      <c r="AQ63"/>
      <c r="AR63"/>
    </row>
    <row r="64" spans="1:44">
      <c r="A64" s="145">
        <v>64</v>
      </c>
      <c r="B64" s="193"/>
      <c r="C64" s="239"/>
      <c r="D64" s="239"/>
      <c r="E64" s="239"/>
      <c r="F64" s="239"/>
      <c r="G64" s="239"/>
      <c r="H64" s="239"/>
      <c r="I64" s="239"/>
      <c r="J64" s="239"/>
      <c r="K64" s="239"/>
      <c r="L64" s="239"/>
      <c r="M64" s="240"/>
      <c r="N64" s="149"/>
      <c r="O64" s="214"/>
      <c r="P64" s="149" t="s">
        <v>87</v>
      </c>
      <c r="Q64" s="149"/>
      <c r="R64" s="149"/>
      <c r="S64" s="149"/>
      <c r="T64" s="149"/>
      <c r="U64" s="149"/>
      <c r="V64" s="149"/>
      <c r="W64" s="149"/>
      <c r="X64" s="149"/>
      <c r="Y64" s="161"/>
      <c r="AA64" s="165" t="s">
        <v>382</v>
      </c>
      <c r="AB64" s="191"/>
      <c r="AC64" s="149"/>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88</v>
      </c>
      <c r="Q65" s="149"/>
      <c r="R65" s="149"/>
      <c r="S65" s="149"/>
      <c r="T65" s="149"/>
      <c r="U65" s="149"/>
      <c r="V65" s="149"/>
      <c r="W65" s="149"/>
      <c r="X65" s="149"/>
      <c r="Y65" s="161"/>
      <c r="AA65" s="165" t="s">
        <v>383</v>
      </c>
      <c r="AB65" s="191"/>
      <c r="AC65" s="149"/>
      <c r="AD65" s="192" t="str">
        <f>IF(U101="","",U101)</f>
        <v/>
      </c>
      <c r="AH65"/>
      <c r="AI65"/>
      <c r="AJ65"/>
      <c r="AK65"/>
      <c r="AL65"/>
      <c r="AM65"/>
      <c r="AN65"/>
      <c r="AO65"/>
      <c r="AP65"/>
      <c r="AQ65"/>
      <c r="AR65"/>
    </row>
    <row r="66" spans="1:44" ht="16.2" thickBot="1">
      <c r="A66" s="145">
        <v>66</v>
      </c>
      <c r="B66" s="211"/>
      <c r="C66" s="212"/>
      <c r="D66" s="212"/>
      <c r="E66" s="212"/>
      <c r="F66" s="212"/>
      <c r="G66" s="212"/>
      <c r="H66" s="212"/>
      <c r="I66" s="212"/>
      <c r="J66" s="212"/>
      <c r="K66" s="212"/>
      <c r="L66" s="212"/>
      <c r="M66" s="213"/>
      <c r="N66" s="149"/>
      <c r="O66" s="214"/>
      <c r="P66" s="149" t="s">
        <v>89</v>
      </c>
      <c r="Q66" s="149"/>
      <c r="R66" s="149"/>
      <c r="S66" s="149"/>
      <c r="T66" s="149"/>
      <c r="U66" s="149"/>
      <c r="V66" s="149"/>
      <c r="W66" s="149"/>
      <c r="X66" s="149"/>
      <c r="Y66" s="161"/>
      <c r="AA66" s="165" t="s">
        <v>270</v>
      </c>
      <c r="AB66" s="191"/>
      <c r="AC66" s="149"/>
      <c r="AD66" s="192" t="str">
        <f>IF(S102="","",S102)</f>
        <v/>
      </c>
      <c r="AH66"/>
      <c r="AI66"/>
      <c r="AJ66"/>
      <c r="AK66"/>
      <c r="AL66"/>
      <c r="AM66"/>
      <c r="AN66"/>
      <c r="AO66"/>
      <c r="AP66"/>
      <c r="AQ66"/>
      <c r="AR66"/>
    </row>
    <row r="67" spans="1:44" ht="16.2" thickTop="1">
      <c r="A67" s="145">
        <v>67</v>
      </c>
      <c r="B67" s="149"/>
      <c r="C67" s="241" t="s">
        <v>3</v>
      </c>
      <c r="D67" s="242" t="str">
        <f>IF($P$7="","",$P$7)</f>
        <v/>
      </c>
      <c r="E67" s="156"/>
      <c r="F67" s="156"/>
      <c r="G67" s="156"/>
      <c r="H67" s="156"/>
      <c r="I67" s="156"/>
      <c r="J67" s="156"/>
      <c r="K67" s="156"/>
      <c r="L67" s="241" t="s">
        <v>4</v>
      </c>
      <c r="M67" s="243" t="str">
        <f>IF($X$7="","",$X$7)</f>
        <v>Eugene Mah</v>
      </c>
      <c r="N67" s="149"/>
      <c r="O67" s="238">
        <f>IF(OR(R166=2,R166=3),3,IF(U169="TBD","",IF(U169&gt;=160,1,2)))</f>
        <v>1</v>
      </c>
      <c r="P67" s="149" t="s">
        <v>90</v>
      </c>
      <c r="Q67" s="149"/>
      <c r="R67" s="149"/>
      <c r="S67" s="149"/>
      <c r="T67" s="149"/>
      <c r="U67" s="149"/>
      <c r="V67" s="149"/>
      <c r="W67" s="149"/>
      <c r="X67" s="149"/>
      <c r="Y67" s="161"/>
      <c r="AA67" s="165" t="s">
        <v>382</v>
      </c>
      <c r="AB67" s="191"/>
      <c r="AC67" s="149"/>
      <c r="AD67" s="192" t="str">
        <f>IF(T102="","",T102)</f>
        <v/>
      </c>
      <c r="AH67"/>
      <c r="AI67"/>
      <c r="AJ67"/>
      <c r="AK67"/>
      <c r="AL67"/>
      <c r="AM67"/>
      <c r="AN67"/>
      <c r="AO67"/>
      <c r="AP67"/>
      <c r="AQ67"/>
      <c r="AR67"/>
    </row>
    <row r="68" spans="1:44">
      <c r="A68" s="145">
        <v>68</v>
      </c>
      <c r="B68" s="149"/>
      <c r="C68" s="241" t="s">
        <v>91</v>
      </c>
      <c r="D68" s="244" t="str">
        <f>IF($R$14="","",$R$14)</f>
        <v/>
      </c>
      <c r="E68" s="156"/>
      <c r="F68" s="156"/>
      <c r="G68" s="156"/>
      <c r="H68" s="156"/>
      <c r="I68" s="156"/>
      <c r="J68" s="156"/>
      <c r="K68" s="156"/>
      <c r="L68" s="241" t="s">
        <v>16</v>
      </c>
      <c r="M68" s="243" t="str">
        <f>IF($R$13="","",$R$13)</f>
        <v/>
      </c>
      <c r="N68" s="149"/>
      <c r="O68" s="214"/>
      <c r="P68" s="149" t="s">
        <v>92</v>
      </c>
      <c r="Q68" s="149"/>
      <c r="R68" s="149"/>
      <c r="S68" s="149"/>
      <c r="T68" s="149"/>
      <c r="U68" s="149"/>
      <c r="V68" s="149"/>
      <c r="W68" s="149"/>
      <c r="X68" s="149"/>
      <c r="Y68" s="161"/>
      <c r="AA68" s="165" t="s">
        <v>383</v>
      </c>
      <c r="AB68" s="191"/>
      <c r="AC68" s="149"/>
      <c r="AD68" s="192" t="str">
        <f>IF(U102="","",U102)</f>
        <v/>
      </c>
      <c r="AH68"/>
      <c r="AI68"/>
      <c r="AJ68"/>
      <c r="AK68"/>
      <c r="AL68"/>
      <c r="AM68"/>
      <c r="AN68"/>
      <c r="AO68"/>
      <c r="AP68"/>
      <c r="AQ68"/>
      <c r="AR68"/>
    </row>
    <row r="69" spans="1:44" ht="16.2">
      <c r="A69" s="145">
        <v>1</v>
      </c>
      <c r="B69" s="149"/>
      <c r="C69" s="149"/>
      <c r="D69" s="149"/>
      <c r="E69" s="149"/>
      <c r="F69" s="149"/>
      <c r="G69" s="149"/>
      <c r="H69" s="149"/>
      <c r="I69" s="149"/>
      <c r="J69" s="149"/>
      <c r="K69" s="149"/>
      <c r="L69" s="149"/>
      <c r="M69" s="245" t="str">
        <f>$H$2</f>
        <v>Medical University of South Carolina</v>
      </c>
      <c r="N69" s="149"/>
      <c r="O69" s="214"/>
      <c r="P69" s="149" t="s">
        <v>93</v>
      </c>
      <c r="Q69" s="149"/>
      <c r="R69" s="149"/>
      <c r="S69" s="149"/>
      <c r="T69" s="149"/>
      <c r="U69" s="149"/>
      <c r="V69" s="149"/>
      <c r="W69" s="149"/>
      <c r="X69" s="149"/>
      <c r="Y69" s="161"/>
      <c r="AA69" s="165" t="s">
        <v>270</v>
      </c>
      <c r="AB69" s="191"/>
      <c r="AC69" s="149"/>
      <c r="AD69" s="192" t="str">
        <f>IF(S103="","",S103)</f>
        <v/>
      </c>
      <c r="AH69"/>
      <c r="AI69"/>
      <c r="AJ69"/>
      <c r="AK69"/>
      <c r="AL69"/>
      <c r="AM69"/>
      <c r="AN69"/>
      <c r="AO69"/>
      <c r="AP69"/>
      <c r="AQ69"/>
      <c r="AR69"/>
    </row>
    <row r="70" spans="1:44" ht="18" thickBot="1">
      <c r="A70" s="145">
        <v>2</v>
      </c>
      <c r="B70" s="149"/>
      <c r="C70" s="149"/>
      <c r="D70" s="149"/>
      <c r="E70" s="149"/>
      <c r="F70" s="149"/>
      <c r="G70" s="149"/>
      <c r="H70" s="180" t="s">
        <v>51</v>
      </c>
      <c r="I70" s="149"/>
      <c r="J70" s="149"/>
      <c r="K70" s="149"/>
      <c r="L70" s="149"/>
      <c r="M70" s="246" t="str">
        <f>$H$5</f>
        <v>Mammography System Compliance Inspection</v>
      </c>
      <c r="N70" s="149"/>
      <c r="O70" s="214"/>
      <c r="P70" s="149" t="s">
        <v>94</v>
      </c>
      <c r="Q70" s="149"/>
      <c r="R70" s="149"/>
      <c r="S70" s="149"/>
      <c r="T70" s="149"/>
      <c r="U70" s="149"/>
      <c r="V70" s="149"/>
      <c r="W70" s="149"/>
      <c r="X70" s="149"/>
      <c r="Y70" s="161"/>
      <c r="AA70" s="165" t="s">
        <v>382</v>
      </c>
      <c r="AB70" s="191"/>
      <c r="AC70" s="149"/>
      <c r="AD70" s="192" t="str">
        <f>IF(T103="","",T103)</f>
        <v/>
      </c>
      <c r="AH70"/>
      <c r="AI70"/>
      <c r="AJ70"/>
      <c r="AK70"/>
      <c r="AL70"/>
      <c r="AM70"/>
      <c r="AN70"/>
      <c r="AO70"/>
      <c r="AP70"/>
      <c r="AQ70"/>
      <c r="AR70"/>
    </row>
    <row r="71" spans="1:44" ht="16.2" thickTop="1">
      <c r="A71" s="145">
        <v>3</v>
      </c>
      <c r="B71" s="184"/>
      <c r="C71" s="247" t="s">
        <v>62</v>
      </c>
      <c r="D71" s="185"/>
      <c r="E71" s="185"/>
      <c r="F71" s="185"/>
      <c r="G71" s="185"/>
      <c r="H71" s="248" t="s">
        <v>81</v>
      </c>
      <c r="I71" s="185"/>
      <c r="J71" s="185"/>
      <c r="K71" s="185"/>
      <c r="L71" s="185"/>
      <c r="M71" s="187"/>
      <c r="N71" s="149"/>
      <c r="O71" s="214"/>
      <c r="P71" s="149" t="s">
        <v>95</v>
      </c>
      <c r="Q71" s="149"/>
      <c r="R71" s="149"/>
      <c r="S71" s="149"/>
      <c r="T71" s="149"/>
      <c r="U71" s="149"/>
      <c r="V71" s="149"/>
      <c r="W71" s="149"/>
      <c r="X71" s="149"/>
      <c r="Y71" s="161"/>
      <c r="AA71" s="165" t="s">
        <v>383</v>
      </c>
      <c r="AB71" s="191"/>
      <c r="AC71" s="149"/>
      <c r="AD71" s="192" t="str">
        <f>IF(U103="","",U103)</f>
        <v/>
      </c>
      <c r="AH71"/>
      <c r="AI71"/>
      <c r="AJ71"/>
      <c r="AK71"/>
      <c r="AL71"/>
      <c r="AM71"/>
      <c r="AN71"/>
      <c r="AO71"/>
      <c r="AP71"/>
      <c r="AQ71"/>
      <c r="AR71"/>
    </row>
    <row r="72" spans="1:44">
      <c r="A72" s="145">
        <v>4</v>
      </c>
      <c r="B72" s="193"/>
      <c r="C72" s="149" t="s">
        <v>96</v>
      </c>
      <c r="D72" s="149"/>
      <c r="E72" s="149" t="s">
        <v>97</v>
      </c>
      <c r="F72" s="149"/>
      <c r="G72" s="149"/>
      <c r="H72" s="149"/>
      <c r="I72" s="149"/>
      <c r="J72" s="149"/>
      <c r="K72" s="149"/>
      <c r="L72" s="236" t="str">
        <f t="shared" ref="L72:L104" si="11">IF(O61="","TBD",IF(O61=1,"YES",IF(O61=3,"NA","")))</f>
        <v>TBD</v>
      </c>
      <c r="M72" s="237" t="str">
        <f t="shared" ref="M72:M104" si="12">IF(O61=2,"NO","")</f>
        <v/>
      </c>
      <c r="N72" s="149"/>
      <c r="O72" s="214"/>
      <c r="P72" s="149" t="s">
        <v>98</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99</v>
      </c>
      <c r="D73" s="149"/>
      <c r="E73" s="149" t="s">
        <v>100</v>
      </c>
      <c r="F73" s="149"/>
      <c r="G73" s="149"/>
      <c r="H73" s="149"/>
      <c r="I73" s="149"/>
      <c r="J73" s="149"/>
      <c r="K73" s="149"/>
      <c r="L73" s="236" t="str">
        <f t="shared" si="11"/>
        <v>TBD</v>
      </c>
      <c r="M73" s="237" t="str">
        <f t="shared" si="12"/>
        <v/>
      </c>
      <c r="N73" s="149"/>
      <c r="O73" s="214"/>
      <c r="P73" s="149" t="s">
        <v>101</v>
      </c>
      <c r="Q73" s="149"/>
      <c r="R73" s="149"/>
      <c r="S73" s="149"/>
      <c r="T73" s="149"/>
      <c r="U73" s="149"/>
      <c r="V73" s="149"/>
      <c r="W73" s="149"/>
      <c r="X73" s="149"/>
      <c r="Y73" s="161"/>
      <c r="AA73" s="165" t="s">
        <v>270</v>
      </c>
      <c r="AB73" s="191"/>
      <c r="AC73" s="149"/>
      <c r="AD73" s="192" t="str">
        <f>IF(V100="","",V100)</f>
        <v/>
      </c>
      <c r="AH73"/>
      <c r="AI73"/>
      <c r="AJ73"/>
      <c r="AK73"/>
      <c r="AL73"/>
      <c r="AM73"/>
      <c r="AN73"/>
      <c r="AO73"/>
      <c r="AP73"/>
      <c r="AQ73"/>
      <c r="AR73"/>
    </row>
    <row r="74" spans="1:44">
      <c r="A74" s="145">
        <v>6</v>
      </c>
      <c r="B74" s="193"/>
      <c r="C74" s="149" t="s">
        <v>102</v>
      </c>
      <c r="D74" s="149"/>
      <c r="E74" s="149" t="s">
        <v>86</v>
      </c>
      <c r="F74" s="149"/>
      <c r="G74" s="149"/>
      <c r="H74" s="149"/>
      <c r="I74" s="149"/>
      <c r="J74" s="149"/>
      <c r="K74" s="149"/>
      <c r="L74" s="236" t="str">
        <f t="shared" si="11"/>
        <v>TBD</v>
      </c>
      <c r="M74" s="237" t="str">
        <f t="shared" si="12"/>
        <v/>
      </c>
      <c r="N74" s="149"/>
      <c r="O74" s="214"/>
      <c r="P74" s="149" t="s">
        <v>103</v>
      </c>
      <c r="Q74" s="149"/>
      <c r="R74" s="149"/>
      <c r="S74" s="149"/>
      <c r="T74" s="149"/>
      <c r="U74" s="149"/>
      <c r="V74" s="149"/>
      <c r="W74" s="149"/>
      <c r="X74" s="149"/>
      <c r="Y74" s="161"/>
      <c r="AA74" s="165" t="s">
        <v>382</v>
      </c>
      <c r="AB74" s="191"/>
      <c r="AC74" s="149"/>
      <c r="AD74" s="192" t="str">
        <f>IF(W100="","",W100)</f>
        <v/>
      </c>
      <c r="AH74"/>
      <c r="AI74"/>
      <c r="AJ74"/>
      <c r="AK74"/>
      <c r="AL74"/>
      <c r="AM74"/>
      <c r="AN74"/>
      <c r="AO74"/>
      <c r="AP74"/>
      <c r="AQ74"/>
      <c r="AR74"/>
    </row>
    <row r="75" spans="1:44">
      <c r="A75" s="145">
        <v>7</v>
      </c>
      <c r="B75" s="193"/>
      <c r="C75" s="149" t="s">
        <v>104</v>
      </c>
      <c r="D75" s="149"/>
      <c r="E75" s="149" t="s">
        <v>105</v>
      </c>
      <c r="F75" s="149"/>
      <c r="G75" s="149"/>
      <c r="H75" s="149"/>
      <c r="I75" s="149"/>
      <c r="J75" s="149"/>
      <c r="K75" s="149"/>
      <c r="L75" s="236" t="str">
        <f t="shared" si="11"/>
        <v>TBD</v>
      </c>
      <c r="M75" s="237" t="str">
        <f t="shared" si="12"/>
        <v/>
      </c>
      <c r="N75" s="149"/>
      <c r="O75" s="214"/>
      <c r="P75" s="149" t="s">
        <v>106</v>
      </c>
      <c r="Q75" s="149"/>
      <c r="R75" s="149"/>
      <c r="S75" s="149"/>
      <c r="T75" s="149"/>
      <c r="U75" s="149"/>
      <c r="V75" s="149"/>
      <c r="W75" s="149"/>
      <c r="X75" s="149"/>
      <c r="Y75" s="161"/>
      <c r="AA75" s="165" t="s">
        <v>383</v>
      </c>
      <c r="AB75" s="191"/>
      <c r="AC75" s="149"/>
      <c r="AD75" s="192" t="str">
        <f>IF(X100="","",X100)</f>
        <v/>
      </c>
      <c r="AH75"/>
      <c r="AI75"/>
      <c r="AJ75"/>
      <c r="AK75"/>
      <c r="AL75"/>
      <c r="AM75"/>
      <c r="AN75"/>
      <c r="AO75"/>
      <c r="AP75"/>
      <c r="AQ75"/>
      <c r="AR75"/>
    </row>
    <row r="76" spans="1:44">
      <c r="A76" s="145">
        <v>8</v>
      </c>
      <c r="B76" s="193"/>
      <c r="C76" s="149" t="s">
        <v>107</v>
      </c>
      <c r="D76" s="149"/>
      <c r="E76" s="149" t="s">
        <v>88</v>
      </c>
      <c r="F76" s="149"/>
      <c r="G76" s="149"/>
      <c r="H76" s="149"/>
      <c r="I76" s="149"/>
      <c r="J76" s="149"/>
      <c r="K76" s="149"/>
      <c r="L76" s="236" t="str">
        <f t="shared" si="11"/>
        <v>TBD</v>
      </c>
      <c r="M76" s="237" t="str">
        <f t="shared" si="12"/>
        <v/>
      </c>
      <c r="N76" s="149"/>
      <c r="O76" s="214"/>
      <c r="P76" s="149" t="s">
        <v>108</v>
      </c>
      <c r="Q76" s="149"/>
      <c r="R76" s="149"/>
      <c r="S76" s="149"/>
      <c r="T76" s="149"/>
      <c r="U76" s="149"/>
      <c r="V76" s="149"/>
      <c r="W76" s="149"/>
      <c r="X76" s="149"/>
      <c r="Y76" s="161"/>
      <c r="AA76" s="165" t="s">
        <v>270</v>
      </c>
      <c r="AB76" s="191"/>
      <c r="AC76" s="149"/>
      <c r="AD76" s="192" t="str">
        <f>IF(V101="","",V101)</f>
        <v/>
      </c>
      <c r="AH76"/>
      <c r="AI76"/>
      <c r="AJ76"/>
      <c r="AK76"/>
      <c r="AL76"/>
      <c r="AM76"/>
      <c r="AN76"/>
      <c r="AO76"/>
      <c r="AP76"/>
      <c r="AQ76"/>
      <c r="AR76"/>
    </row>
    <row r="77" spans="1:44">
      <c r="A77" s="145">
        <v>9</v>
      </c>
      <c r="B77" s="193"/>
      <c r="C77" s="149" t="s">
        <v>109</v>
      </c>
      <c r="D77" s="149"/>
      <c r="E77" s="149" t="s">
        <v>110</v>
      </c>
      <c r="F77" s="149"/>
      <c r="G77" s="149"/>
      <c r="H77" s="149"/>
      <c r="I77" s="149"/>
      <c r="J77" s="149"/>
      <c r="K77" s="149"/>
      <c r="L77" s="236" t="str">
        <f t="shared" si="11"/>
        <v>TBD</v>
      </c>
      <c r="M77" s="237" t="str">
        <f t="shared" si="12"/>
        <v/>
      </c>
      <c r="N77" s="149"/>
      <c r="O77" s="214"/>
      <c r="P77" s="149" t="s">
        <v>111</v>
      </c>
      <c r="Q77" s="149"/>
      <c r="R77" s="149"/>
      <c r="S77" s="149"/>
      <c r="T77" s="149"/>
      <c r="U77" s="149"/>
      <c r="V77" s="149"/>
      <c r="W77" s="149"/>
      <c r="X77" s="149"/>
      <c r="Y77" s="161"/>
      <c r="AA77" s="165" t="s">
        <v>382</v>
      </c>
      <c r="AB77" s="191"/>
      <c r="AC77" s="149"/>
      <c r="AD77" s="192" t="str">
        <f>IF(W101="","",W101)</f>
        <v/>
      </c>
      <c r="AH77"/>
      <c r="AI77"/>
      <c r="AJ77"/>
      <c r="AK77"/>
      <c r="AL77"/>
      <c r="AM77"/>
      <c r="AN77"/>
      <c r="AO77"/>
      <c r="AP77"/>
      <c r="AQ77"/>
      <c r="AR77"/>
    </row>
    <row r="78" spans="1:44">
      <c r="A78" s="145">
        <v>10</v>
      </c>
      <c r="B78" s="193"/>
      <c r="C78" s="149" t="s">
        <v>112</v>
      </c>
      <c r="D78" s="149"/>
      <c r="E78" s="149" t="s">
        <v>90</v>
      </c>
      <c r="F78" s="149"/>
      <c r="G78" s="149"/>
      <c r="H78" s="149"/>
      <c r="I78" s="149"/>
      <c r="J78" s="149"/>
      <c r="K78" s="149"/>
      <c r="L78" s="236" t="str">
        <f t="shared" si="11"/>
        <v>YES</v>
      </c>
      <c r="M78" s="237" t="str">
        <f t="shared" si="12"/>
        <v/>
      </c>
      <c r="N78" s="149"/>
      <c r="O78" s="214"/>
      <c r="P78" s="149" t="s">
        <v>113</v>
      </c>
      <c r="Q78" s="149"/>
      <c r="R78" s="149"/>
      <c r="S78" s="149"/>
      <c r="T78" s="149"/>
      <c r="U78" s="149"/>
      <c r="V78" s="149"/>
      <c r="W78" s="149"/>
      <c r="X78" s="149"/>
      <c r="Y78" s="161"/>
      <c r="AA78" s="165" t="s">
        <v>383</v>
      </c>
      <c r="AB78" s="191"/>
      <c r="AC78" s="149"/>
      <c r="AD78" s="192" t="str">
        <f>IF(X101="","",X101)</f>
        <v/>
      </c>
      <c r="AH78"/>
      <c r="AI78"/>
      <c r="AJ78"/>
      <c r="AK78"/>
      <c r="AL78"/>
      <c r="AM78"/>
      <c r="AN78"/>
      <c r="AO78"/>
      <c r="AP78"/>
      <c r="AQ78"/>
      <c r="AR78"/>
    </row>
    <row r="79" spans="1:44">
      <c r="A79" s="145">
        <v>11</v>
      </c>
      <c r="B79" s="193"/>
      <c r="C79" s="149" t="s">
        <v>114</v>
      </c>
      <c r="D79" s="149"/>
      <c r="E79" s="149" t="s">
        <v>115</v>
      </c>
      <c r="F79" s="149"/>
      <c r="G79" s="149"/>
      <c r="H79" s="149"/>
      <c r="I79" s="149"/>
      <c r="J79" s="149"/>
      <c r="K79" s="149"/>
      <c r="L79" s="236" t="str">
        <f t="shared" si="11"/>
        <v>TBD</v>
      </c>
      <c r="M79" s="237" t="str">
        <f t="shared" si="12"/>
        <v/>
      </c>
      <c r="N79" s="149"/>
      <c r="O79" s="238" t="str">
        <f>IF(O213="","",O213)</f>
        <v/>
      </c>
      <c r="P79" s="149" t="s">
        <v>116</v>
      </c>
      <c r="Q79" s="149"/>
      <c r="R79" s="149"/>
      <c r="S79" s="149"/>
      <c r="T79" s="149"/>
      <c r="U79" s="149"/>
      <c r="V79" s="149"/>
      <c r="W79" s="149"/>
      <c r="X79" s="149"/>
      <c r="Y79" s="161"/>
      <c r="AA79" s="165" t="s">
        <v>270</v>
      </c>
      <c r="AB79" s="191"/>
      <c r="AC79" s="149"/>
      <c r="AD79" s="192" t="str">
        <f>IF(V102="","",V102)</f>
        <v/>
      </c>
      <c r="AH79"/>
      <c r="AI79"/>
      <c r="AJ79"/>
      <c r="AK79"/>
      <c r="AL79"/>
      <c r="AM79"/>
      <c r="AN79"/>
      <c r="AO79"/>
      <c r="AP79"/>
      <c r="AQ79"/>
      <c r="AR79"/>
    </row>
    <row r="80" spans="1:44">
      <c r="A80" s="145">
        <v>12</v>
      </c>
      <c r="B80" s="193"/>
      <c r="C80" s="149" t="s">
        <v>117</v>
      </c>
      <c r="D80" s="149"/>
      <c r="E80" s="149" t="s">
        <v>93</v>
      </c>
      <c r="F80" s="149"/>
      <c r="G80" s="149"/>
      <c r="H80" s="149"/>
      <c r="I80" s="149"/>
      <c r="J80" s="149"/>
      <c r="K80" s="149"/>
      <c r="L80" s="236" t="str">
        <f t="shared" si="11"/>
        <v>TBD</v>
      </c>
      <c r="M80" s="237" t="str">
        <f t="shared" si="12"/>
        <v/>
      </c>
      <c r="N80" s="149"/>
      <c r="O80" s="238" t="str">
        <f>IF(O212="","",O212)</f>
        <v/>
      </c>
      <c r="P80" s="149" t="s">
        <v>118</v>
      </c>
      <c r="Q80" s="149"/>
      <c r="R80" s="149"/>
      <c r="S80" s="149"/>
      <c r="T80" s="149"/>
      <c r="U80" s="149"/>
      <c r="V80" s="149"/>
      <c r="W80" s="149"/>
      <c r="X80" s="149"/>
      <c r="Y80" s="161"/>
      <c r="AA80" s="165" t="s">
        <v>382</v>
      </c>
      <c r="AB80" s="191"/>
      <c r="AC80" s="149"/>
      <c r="AD80" s="192" t="str">
        <f>IF(W102="","",W102)</f>
        <v/>
      </c>
      <c r="AH80"/>
      <c r="AI80"/>
      <c r="AJ80"/>
      <c r="AK80"/>
      <c r="AL80"/>
      <c r="AM80"/>
      <c r="AN80"/>
      <c r="AO80"/>
      <c r="AP80"/>
      <c r="AQ80"/>
      <c r="AR80"/>
    </row>
    <row r="81" spans="1:44">
      <c r="A81" s="145">
        <v>13</v>
      </c>
      <c r="B81" s="193"/>
      <c r="C81" s="149" t="s">
        <v>119</v>
      </c>
      <c r="D81" s="149"/>
      <c r="E81" s="149" t="s">
        <v>94</v>
      </c>
      <c r="F81" s="149"/>
      <c r="G81" s="149"/>
      <c r="H81" s="149"/>
      <c r="I81" s="149"/>
      <c r="J81" s="149"/>
      <c r="K81" s="149"/>
      <c r="L81" s="236" t="str">
        <f t="shared" si="11"/>
        <v>TBD</v>
      </c>
      <c r="M81" s="237" t="str">
        <f t="shared" si="12"/>
        <v/>
      </c>
      <c r="N81" s="149"/>
      <c r="O81" s="214"/>
      <c r="P81" s="149" t="s">
        <v>120</v>
      </c>
      <c r="Q81" s="149"/>
      <c r="R81" s="149"/>
      <c r="S81" s="149"/>
      <c r="T81" s="149"/>
      <c r="U81" s="149"/>
      <c r="V81" s="149"/>
      <c r="W81" s="149"/>
      <c r="X81" s="149"/>
      <c r="Y81" s="161"/>
      <c r="AA81" s="165" t="s">
        <v>383</v>
      </c>
      <c r="AB81" s="191"/>
      <c r="AC81" s="149"/>
      <c r="AD81" s="192" t="str">
        <f>IF(X102="","",X102)</f>
        <v/>
      </c>
      <c r="AH81"/>
      <c r="AI81"/>
      <c r="AJ81"/>
      <c r="AK81"/>
      <c r="AL81"/>
      <c r="AM81"/>
      <c r="AN81"/>
      <c r="AO81"/>
      <c r="AP81"/>
      <c r="AQ81"/>
      <c r="AR81"/>
    </row>
    <row r="82" spans="1:44">
      <c r="A82" s="145">
        <v>14</v>
      </c>
      <c r="B82" s="193"/>
      <c r="C82" s="149" t="s">
        <v>119</v>
      </c>
      <c r="D82" s="149"/>
      <c r="E82" s="149" t="s">
        <v>95</v>
      </c>
      <c r="F82" s="149"/>
      <c r="G82" s="149"/>
      <c r="H82" s="149"/>
      <c r="I82" s="149"/>
      <c r="J82" s="149"/>
      <c r="K82" s="149"/>
      <c r="L82" s="236" t="str">
        <f t="shared" si="11"/>
        <v>TBD</v>
      </c>
      <c r="M82" s="237" t="str">
        <f t="shared" si="12"/>
        <v/>
      </c>
      <c r="N82" s="149"/>
      <c r="O82" s="214"/>
      <c r="P82" s="149" t="s">
        <v>121</v>
      </c>
      <c r="Q82" s="149"/>
      <c r="R82" s="149"/>
      <c r="S82" s="149"/>
      <c r="T82" s="149"/>
      <c r="U82" s="149"/>
      <c r="V82" s="149"/>
      <c r="W82" s="149"/>
      <c r="X82" s="149"/>
      <c r="Y82" s="161"/>
      <c r="AA82" s="165" t="s">
        <v>270</v>
      </c>
      <c r="AB82" s="191"/>
      <c r="AC82" s="149"/>
      <c r="AD82" s="192" t="str">
        <f>IF(V103="","",V103)</f>
        <v/>
      </c>
      <c r="AH82"/>
      <c r="AI82"/>
      <c r="AJ82"/>
      <c r="AK82"/>
      <c r="AL82"/>
      <c r="AM82"/>
      <c r="AN82"/>
      <c r="AO82"/>
      <c r="AP82"/>
      <c r="AQ82"/>
      <c r="AR82"/>
    </row>
    <row r="83" spans="1:44">
      <c r="A83" s="145">
        <v>15</v>
      </c>
      <c r="B83" s="193"/>
      <c r="C83" s="149" t="s">
        <v>122</v>
      </c>
      <c r="D83" s="149"/>
      <c r="E83" s="149" t="s">
        <v>98</v>
      </c>
      <c r="F83" s="149"/>
      <c r="G83" s="149"/>
      <c r="H83" s="149"/>
      <c r="I83" s="149"/>
      <c r="J83" s="149"/>
      <c r="K83" s="149"/>
      <c r="L83" s="236" t="str">
        <f t="shared" si="11"/>
        <v>TBD</v>
      </c>
      <c r="M83" s="237" t="str">
        <f t="shared" si="12"/>
        <v/>
      </c>
      <c r="N83" s="149"/>
      <c r="O83" s="214"/>
      <c r="P83" s="149" t="s">
        <v>123</v>
      </c>
      <c r="Q83" s="149"/>
      <c r="R83" s="149"/>
      <c r="S83" s="149"/>
      <c r="T83" s="149"/>
      <c r="U83" s="149"/>
      <c r="V83" s="149"/>
      <c r="W83" s="149"/>
      <c r="X83" s="149"/>
      <c r="Y83" s="161"/>
      <c r="AA83" s="165" t="s">
        <v>382</v>
      </c>
      <c r="AB83" s="191"/>
      <c r="AC83" s="149"/>
      <c r="AD83" s="192" t="str">
        <f>IF(W103="","",W103)</f>
        <v/>
      </c>
      <c r="AH83"/>
      <c r="AI83"/>
      <c r="AJ83"/>
      <c r="AK83"/>
      <c r="AL83"/>
      <c r="AM83"/>
      <c r="AN83"/>
      <c r="AO83"/>
      <c r="AP83"/>
      <c r="AQ83"/>
      <c r="AR83"/>
    </row>
    <row r="84" spans="1:44">
      <c r="A84" s="145">
        <v>16</v>
      </c>
      <c r="B84" s="193"/>
      <c r="C84" s="149" t="s">
        <v>124</v>
      </c>
      <c r="D84" s="149"/>
      <c r="E84" s="149" t="s">
        <v>101</v>
      </c>
      <c r="F84" s="149"/>
      <c r="G84" s="149"/>
      <c r="H84" s="149"/>
      <c r="I84" s="149"/>
      <c r="J84" s="149"/>
      <c r="K84" s="149"/>
      <c r="L84" s="236" t="str">
        <f t="shared" si="11"/>
        <v>TBD</v>
      </c>
      <c r="M84" s="237" t="str">
        <f t="shared" si="12"/>
        <v/>
      </c>
      <c r="N84" s="149"/>
      <c r="O84" s="214"/>
      <c r="P84" s="149" t="s">
        <v>125</v>
      </c>
      <c r="Q84" s="149"/>
      <c r="R84" s="149"/>
      <c r="S84" s="149"/>
      <c r="T84" s="149"/>
      <c r="U84" s="149"/>
      <c r="V84" s="149"/>
      <c r="W84" s="149"/>
      <c r="X84" s="149"/>
      <c r="Y84" s="161"/>
      <c r="AA84" s="165" t="s">
        <v>383</v>
      </c>
      <c r="AB84" s="191"/>
      <c r="AC84" s="149"/>
      <c r="AD84" s="192" t="str">
        <f>IF(X103="","",X103)</f>
        <v/>
      </c>
      <c r="AH84"/>
      <c r="AI84"/>
      <c r="AJ84"/>
      <c r="AK84"/>
      <c r="AL84"/>
      <c r="AM84"/>
      <c r="AN84"/>
      <c r="AO84"/>
      <c r="AP84"/>
      <c r="AQ84"/>
      <c r="AR84"/>
    </row>
    <row r="85" spans="1:44">
      <c r="A85" s="145">
        <v>17</v>
      </c>
      <c r="B85" s="193"/>
      <c r="C85" s="210"/>
      <c r="D85" s="149"/>
      <c r="E85" s="149" t="s">
        <v>103</v>
      </c>
      <c r="F85" s="149"/>
      <c r="G85" s="149"/>
      <c r="H85" s="149"/>
      <c r="I85" s="149"/>
      <c r="J85" s="149"/>
      <c r="K85" s="149"/>
      <c r="L85" s="236" t="str">
        <f t="shared" si="11"/>
        <v>TBD</v>
      </c>
      <c r="M85" s="237" t="str">
        <f t="shared" si="12"/>
        <v/>
      </c>
      <c r="N85" s="149"/>
      <c r="O85" s="214"/>
      <c r="P85" s="149" t="s">
        <v>126</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127</v>
      </c>
      <c r="D86" s="149"/>
      <c r="E86" s="149" t="s">
        <v>106</v>
      </c>
      <c r="F86" s="149"/>
      <c r="G86" s="149"/>
      <c r="H86" s="149"/>
      <c r="I86" s="149"/>
      <c r="J86" s="149"/>
      <c r="K86" s="149"/>
      <c r="L86" s="236" t="str">
        <f t="shared" si="11"/>
        <v>TBD</v>
      </c>
      <c r="M86" s="237" t="str">
        <f t="shared" si="12"/>
        <v/>
      </c>
      <c r="N86" s="149"/>
      <c r="O86" s="214"/>
      <c r="P86" s="149" t="s">
        <v>128</v>
      </c>
      <c r="Q86" s="149"/>
      <c r="R86" s="149"/>
      <c r="S86" s="149"/>
      <c r="T86" s="149"/>
      <c r="U86" s="149"/>
      <c r="V86" s="149"/>
      <c r="W86" s="149"/>
      <c r="X86" s="149"/>
      <c r="Y86" s="161"/>
      <c r="AA86" s="165" t="s">
        <v>385</v>
      </c>
      <c r="AB86" s="191"/>
      <c r="AC86" s="149"/>
      <c r="AD86" s="249" t="str">
        <f>IF(X297="","",X297)</f>
        <v/>
      </c>
    </row>
    <row r="87" spans="1:44">
      <c r="A87" s="145">
        <v>19</v>
      </c>
      <c r="B87" s="193"/>
      <c r="C87" s="149" t="s">
        <v>129</v>
      </c>
      <c r="D87" s="149"/>
      <c r="E87" s="149" t="s">
        <v>108</v>
      </c>
      <c r="F87" s="149"/>
      <c r="G87" s="149"/>
      <c r="H87" s="149"/>
      <c r="I87" s="149"/>
      <c r="J87" s="149"/>
      <c r="K87" s="149"/>
      <c r="L87" s="236" t="str">
        <f t="shared" si="11"/>
        <v>TBD</v>
      </c>
      <c r="M87" s="237" t="str">
        <f t="shared" si="12"/>
        <v/>
      </c>
      <c r="N87" s="149"/>
      <c r="O87" s="214"/>
      <c r="P87" s="149" t="s">
        <v>130</v>
      </c>
      <c r="Q87" s="149"/>
      <c r="R87" s="149"/>
      <c r="S87" s="149"/>
      <c r="T87" s="149"/>
      <c r="U87" s="149"/>
      <c r="V87" s="149"/>
      <c r="W87" s="149"/>
      <c r="X87" s="149"/>
      <c r="Y87" s="161"/>
      <c r="AA87" s="165" t="s">
        <v>386</v>
      </c>
      <c r="AB87" s="191"/>
      <c r="AC87" s="149"/>
      <c r="AD87" s="250" t="str">
        <f>IF(W393="","",W393)</f>
        <v/>
      </c>
    </row>
    <row r="88" spans="1:44">
      <c r="A88" s="145">
        <v>20</v>
      </c>
      <c r="B88" s="193"/>
      <c r="C88" s="149" t="s">
        <v>131</v>
      </c>
      <c r="D88" s="149"/>
      <c r="E88" s="149" t="s">
        <v>111</v>
      </c>
      <c r="F88" s="149"/>
      <c r="G88" s="149"/>
      <c r="H88" s="149"/>
      <c r="I88" s="149"/>
      <c r="J88" s="149"/>
      <c r="K88" s="149"/>
      <c r="L88" s="236" t="str">
        <f t="shared" si="11"/>
        <v>TBD</v>
      </c>
      <c r="M88" s="237" t="str">
        <f t="shared" si="12"/>
        <v/>
      </c>
      <c r="N88" s="149"/>
      <c r="O88" s="214"/>
      <c r="P88" s="149" t="s">
        <v>132</v>
      </c>
      <c r="Q88" s="149"/>
      <c r="R88" s="149"/>
      <c r="S88" s="149"/>
      <c r="T88" s="149"/>
      <c r="U88" s="149"/>
      <c r="V88" s="149"/>
      <c r="W88" s="149"/>
      <c r="X88" s="149"/>
      <c r="Y88" s="161"/>
      <c r="AA88" s="165" t="s">
        <v>387</v>
      </c>
      <c r="AB88" s="191"/>
      <c r="AC88" s="149"/>
      <c r="AD88" s="249" t="str">
        <f>IF(X393="","",X393)</f>
        <v/>
      </c>
    </row>
    <row r="89" spans="1:44">
      <c r="A89" s="145">
        <v>21</v>
      </c>
      <c r="B89" s="193"/>
      <c r="C89" s="149" t="s">
        <v>133</v>
      </c>
      <c r="D89" s="149"/>
      <c r="E89" s="149" t="s">
        <v>134</v>
      </c>
      <c r="F89" s="149"/>
      <c r="G89" s="149"/>
      <c r="H89" s="149"/>
      <c r="I89" s="149"/>
      <c r="J89" s="149"/>
      <c r="K89" s="149"/>
      <c r="L89" s="236" t="str">
        <f t="shared" si="11"/>
        <v>TBD</v>
      </c>
      <c r="M89" s="237" t="str">
        <f t="shared" si="12"/>
        <v/>
      </c>
      <c r="N89" s="149"/>
      <c r="O89" s="214">
        <v>3</v>
      </c>
      <c r="P89" s="149" t="s">
        <v>135</v>
      </c>
      <c r="Q89" s="149"/>
      <c r="R89" s="149"/>
      <c r="S89" s="149"/>
      <c r="T89" s="149"/>
      <c r="U89" s="149"/>
      <c r="V89" s="149"/>
      <c r="W89" s="149"/>
      <c r="X89" s="149"/>
      <c r="Y89" s="161"/>
      <c r="AA89" s="165" t="s">
        <v>388</v>
      </c>
      <c r="AB89" s="191"/>
      <c r="AC89" s="149"/>
      <c r="AD89" s="249" t="str">
        <f>IF(X312="","",X312)</f>
        <v/>
      </c>
    </row>
    <row r="90" spans="1:44">
      <c r="A90" s="145">
        <v>22</v>
      </c>
      <c r="B90" s="193"/>
      <c r="C90" s="149" t="s">
        <v>136</v>
      </c>
      <c r="D90" s="149"/>
      <c r="E90" s="149" t="s">
        <v>137</v>
      </c>
      <c r="F90" s="149"/>
      <c r="G90" s="149"/>
      <c r="H90" s="149"/>
      <c r="I90" s="149"/>
      <c r="J90" s="149"/>
      <c r="K90" s="149"/>
      <c r="L90" s="236" t="str">
        <f t="shared" si="11"/>
        <v>TBD</v>
      </c>
      <c r="M90" s="237" t="str">
        <f t="shared" si="12"/>
        <v/>
      </c>
      <c r="N90" s="149"/>
      <c r="O90" s="214">
        <v>3</v>
      </c>
      <c r="P90" s="149" t="s">
        <v>138</v>
      </c>
      <c r="Q90" s="149"/>
      <c r="R90" s="149"/>
      <c r="S90" s="149"/>
      <c r="T90" s="149"/>
      <c r="U90" s="149"/>
      <c r="V90" s="149"/>
      <c r="W90" s="149"/>
      <c r="X90" s="149"/>
      <c r="Y90" s="161"/>
      <c r="AA90" s="165" t="s">
        <v>389</v>
      </c>
      <c r="AB90" s="191"/>
      <c r="AC90" s="239"/>
      <c r="AD90" s="249" t="str">
        <f>IF(X332="","",X332)</f>
        <v/>
      </c>
    </row>
    <row r="91" spans="1:44">
      <c r="A91" s="145">
        <v>23</v>
      </c>
      <c r="B91" s="193"/>
      <c r="C91" s="239"/>
      <c r="D91" s="239"/>
      <c r="E91" s="149" t="s">
        <v>118</v>
      </c>
      <c r="F91" s="239"/>
      <c r="G91" s="239"/>
      <c r="H91" s="239"/>
      <c r="I91" s="239"/>
      <c r="J91" s="239"/>
      <c r="K91" s="239"/>
      <c r="L91" s="236" t="str">
        <f t="shared" si="11"/>
        <v>TBD</v>
      </c>
      <c r="M91" s="237" t="str">
        <f t="shared" si="12"/>
        <v/>
      </c>
      <c r="N91" s="149"/>
      <c r="O91" s="214">
        <v>3</v>
      </c>
      <c r="P91" s="149" t="s">
        <v>139</v>
      </c>
      <c r="Q91" s="149"/>
      <c r="R91" s="149"/>
      <c r="S91" s="149"/>
      <c r="T91" s="149"/>
      <c r="U91" s="149"/>
      <c r="V91" s="149"/>
      <c r="W91" s="149"/>
      <c r="X91" s="149"/>
      <c r="Y91" s="161"/>
      <c r="AA91" s="165" t="s">
        <v>390</v>
      </c>
      <c r="AB91" s="191"/>
      <c r="AC91" s="239"/>
      <c r="AD91" s="249" t="str">
        <f>IF(X344="","",X344)</f>
        <v/>
      </c>
    </row>
    <row r="92" spans="1:44">
      <c r="A92" s="145">
        <v>24</v>
      </c>
      <c r="B92" s="193"/>
      <c r="C92" s="149" t="s">
        <v>140</v>
      </c>
      <c r="D92" s="149"/>
      <c r="E92" s="149" t="s">
        <v>120</v>
      </c>
      <c r="F92" s="149"/>
      <c r="G92" s="149"/>
      <c r="H92" s="149"/>
      <c r="I92" s="149"/>
      <c r="J92" s="149"/>
      <c r="K92" s="149"/>
      <c r="L92" s="236" t="str">
        <f t="shared" si="11"/>
        <v>TBD</v>
      </c>
      <c r="M92" s="237" t="str">
        <f t="shared" si="12"/>
        <v/>
      </c>
      <c r="N92" s="149"/>
      <c r="O92" s="214"/>
      <c r="P92" s="149" t="s">
        <v>141</v>
      </c>
      <c r="Q92" s="149"/>
      <c r="R92" s="149"/>
      <c r="S92" s="149"/>
      <c r="T92" s="149"/>
      <c r="U92" s="149"/>
      <c r="V92" s="149"/>
      <c r="W92" s="149"/>
      <c r="X92" s="149"/>
      <c r="Y92" s="161"/>
      <c r="AA92" s="165" t="s">
        <v>391</v>
      </c>
      <c r="AB92" s="191"/>
      <c r="AC92" s="239"/>
      <c r="AD92" s="249" t="str">
        <f>IF(X349="","",X349)</f>
        <v/>
      </c>
    </row>
    <row r="93" spans="1:44" ht="16.2" thickBot="1">
      <c r="A93" s="145">
        <v>25</v>
      </c>
      <c r="B93" s="193"/>
      <c r="C93" s="149" t="s">
        <v>142</v>
      </c>
      <c r="D93" s="149"/>
      <c r="E93" s="149" t="s">
        <v>121</v>
      </c>
      <c r="F93" s="149"/>
      <c r="G93" s="149"/>
      <c r="H93" s="149"/>
      <c r="I93" s="149"/>
      <c r="J93" s="149"/>
      <c r="K93" s="149"/>
      <c r="L93" s="236" t="str">
        <f t="shared" si="11"/>
        <v>TBD</v>
      </c>
      <c r="M93" s="237" t="str">
        <f t="shared" si="12"/>
        <v/>
      </c>
      <c r="N93" s="149"/>
      <c r="O93" s="216"/>
      <c r="P93" s="171" t="s">
        <v>143</v>
      </c>
      <c r="Q93" s="171"/>
      <c r="R93" s="171"/>
      <c r="S93" s="171"/>
      <c r="T93" s="171"/>
      <c r="U93" s="171"/>
      <c r="V93" s="171"/>
      <c r="W93" s="171"/>
      <c r="X93" s="171"/>
      <c r="Y93" s="172"/>
      <c r="AA93" s="254" t="s">
        <v>232</v>
      </c>
      <c r="AB93" s="239"/>
      <c r="AC93" s="239"/>
      <c r="AD93" s="239"/>
    </row>
    <row r="94" spans="1:44">
      <c r="A94" s="145">
        <v>26</v>
      </c>
      <c r="B94" s="193"/>
      <c r="C94" s="149" t="s">
        <v>144</v>
      </c>
      <c r="D94" s="149"/>
      <c r="E94" s="149" t="s">
        <v>123</v>
      </c>
      <c r="F94" s="149"/>
      <c r="G94" s="149"/>
      <c r="H94" s="149"/>
      <c r="I94" s="149"/>
      <c r="J94" s="149"/>
      <c r="K94" s="149"/>
      <c r="L94" s="236" t="str">
        <f t="shared" si="11"/>
        <v>TBD</v>
      </c>
      <c r="M94" s="237" t="str">
        <f t="shared" si="12"/>
        <v/>
      </c>
      <c r="N94" s="149"/>
      <c r="O94" s="149"/>
      <c r="P94" s="149"/>
      <c r="Q94" s="149"/>
      <c r="R94" s="149"/>
      <c r="S94" s="149"/>
      <c r="T94" s="149"/>
      <c r="U94" s="149"/>
      <c r="V94" s="149"/>
      <c r="W94" s="149"/>
      <c r="X94" s="149"/>
      <c r="Y94" s="149"/>
      <c r="AA94" s="255">
        <f>Q223</f>
        <v>0</v>
      </c>
      <c r="AB94" s="191"/>
      <c r="AC94" s="255"/>
      <c r="AD94" s="249" t="str">
        <f>IF(Q226="","",Q226)</f>
        <v/>
      </c>
    </row>
    <row r="95" spans="1:44" ht="16.2" thickBot="1">
      <c r="A95" s="145">
        <v>27</v>
      </c>
      <c r="B95" s="193"/>
      <c r="C95" s="149" t="s">
        <v>145</v>
      </c>
      <c r="D95" s="149"/>
      <c r="E95" s="149" t="s">
        <v>125</v>
      </c>
      <c r="F95" s="149"/>
      <c r="G95" s="149"/>
      <c r="H95" s="149"/>
      <c r="I95" s="149"/>
      <c r="J95" s="149"/>
      <c r="K95" s="149"/>
      <c r="L95" s="236" t="str">
        <f t="shared" si="11"/>
        <v>TBD</v>
      </c>
      <c r="M95" s="237" t="str">
        <f t="shared" si="12"/>
        <v/>
      </c>
      <c r="N95" s="149"/>
      <c r="O95" s="149"/>
      <c r="P95" s="149"/>
      <c r="Q95" s="149"/>
      <c r="R95" s="149"/>
      <c r="S95" s="149"/>
      <c r="T95" s="182" t="s">
        <v>146</v>
      </c>
      <c r="U95" s="149"/>
      <c r="V95" s="149"/>
      <c r="W95" s="149"/>
      <c r="X95" s="149"/>
      <c r="Y95" s="149"/>
      <c r="AA95" s="255">
        <f>R223</f>
        <v>0</v>
      </c>
      <c r="AB95" s="191"/>
      <c r="AC95" s="255"/>
      <c r="AD95" s="249" t="str">
        <f>IF(R226="","",R226)</f>
        <v/>
      </c>
    </row>
    <row r="96" spans="1:44" ht="16.2" thickBot="1">
      <c r="A96" s="145">
        <v>28</v>
      </c>
      <c r="B96" s="193"/>
      <c r="C96" s="149" t="s">
        <v>147</v>
      </c>
      <c r="D96" s="149"/>
      <c r="E96" s="149" t="s">
        <v>126</v>
      </c>
      <c r="F96" s="149"/>
      <c r="G96" s="149"/>
      <c r="H96" s="149"/>
      <c r="I96" s="149"/>
      <c r="J96" s="149"/>
      <c r="K96" s="149"/>
      <c r="L96" s="236" t="str">
        <f t="shared" si="11"/>
        <v>TBD</v>
      </c>
      <c r="M96" s="237" t="str">
        <f t="shared" si="12"/>
        <v/>
      </c>
      <c r="N96" s="149"/>
      <c r="O96" s="188"/>
      <c r="P96" s="151"/>
      <c r="Q96" s="151"/>
      <c r="R96" s="151"/>
      <c r="S96" s="151"/>
      <c r="T96" s="151"/>
      <c r="U96" s="151"/>
      <c r="V96" s="151"/>
      <c r="W96" s="151"/>
      <c r="X96" s="151"/>
      <c r="Y96" s="152"/>
      <c r="AA96" s="255">
        <f>S223</f>
        <v>0</v>
      </c>
      <c r="AB96" s="191"/>
      <c r="AC96" s="255"/>
      <c r="AD96" s="249" t="str">
        <f>IF(S226="","",S226)</f>
        <v/>
      </c>
    </row>
    <row r="97" spans="1:30" ht="16.8" thickTop="1" thickBot="1">
      <c r="A97" s="145">
        <v>29</v>
      </c>
      <c r="B97" s="193"/>
      <c r="C97" s="210"/>
      <c r="D97" s="149"/>
      <c r="E97" s="149" t="s">
        <v>128</v>
      </c>
      <c r="F97" s="149"/>
      <c r="G97" s="149"/>
      <c r="H97" s="149"/>
      <c r="I97" s="149"/>
      <c r="J97" s="149"/>
      <c r="K97" s="149"/>
      <c r="L97" s="236" t="str">
        <f t="shared" si="11"/>
        <v>TBD</v>
      </c>
      <c r="M97" s="237" t="str">
        <f t="shared" si="12"/>
        <v/>
      </c>
      <c r="N97" s="149"/>
      <c r="O97" s="215" t="s">
        <v>41</v>
      </c>
      <c r="P97" s="694" t="s">
        <v>42</v>
      </c>
      <c r="Q97" s="694"/>
      <c r="R97" s="694"/>
      <c r="S97" s="695" t="s">
        <v>43</v>
      </c>
      <c r="T97" s="695"/>
      <c r="U97" s="695"/>
      <c r="V97" s="694" t="s">
        <v>44</v>
      </c>
      <c r="W97" s="694"/>
      <c r="X97" s="694"/>
      <c r="Y97" s="161"/>
      <c r="AA97" s="255"/>
      <c r="AB97" s="255"/>
      <c r="AC97" s="255"/>
      <c r="AD97" s="255"/>
    </row>
    <row r="98" spans="1:30" ht="16.2" thickTop="1">
      <c r="A98" s="145">
        <v>30</v>
      </c>
      <c r="B98" s="193"/>
      <c r="C98" s="149"/>
      <c r="D98" s="149"/>
      <c r="E98" s="149" t="s">
        <v>130</v>
      </c>
      <c r="F98" s="149"/>
      <c r="G98" s="149"/>
      <c r="H98" s="149"/>
      <c r="I98" s="149"/>
      <c r="J98" s="149"/>
      <c r="K98" s="149"/>
      <c r="L98" s="236" t="str">
        <f t="shared" si="11"/>
        <v>TBD</v>
      </c>
      <c r="M98" s="237" t="str">
        <f t="shared" si="12"/>
        <v/>
      </c>
      <c r="N98" s="149"/>
      <c r="O98" s="217" t="s">
        <v>46</v>
      </c>
      <c r="P98" s="694"/>
      <c r="Q98" s="694"/>
      <c r="R98" s="694"/>
      <c r="S98" s="695"/>
      <c r="T98" s="695"/>
      <c r="U98" s="695"/>
      <c r="V98" s="694"/>
      <c r="W98" s="694"/>
      <c r="X98" s="694"/>
      <c r="Y98" s="161"/>
      <c r="AA98" s="202" t="s">
        <v>392</v>
      </c>
      <c r="AB98" s="149"/>
      <c r="AC98" s="149"/>
      <c r="AD98" s="149"/>
    </row>
    <row r="99" spans="1:30" ht="16.2" thickBot="1">
      <c r="A99" s="145">
        <v>31</v>
      </c>
      <c r="B99" s="193"/>
      <c r="C99" s="149" t="s">
        <v>148</v>
      </c>
      <c r="D99" s="149"/>
      <c r="E99" s="149" t="s">
        <v>132</v>
      </c>
      <c r="F99" s="149"/>
      <c r="G99" s="149"/>
      <c r="H99" s="149"/>
      <c r="I99" s="149"/>
      <c r="J99" s="149"/>
      <c r="K99" s="149"/>
      <c r="L99" s="236" t="str">
        <f t="shared" si="11"/>
        <v>TBD</v>
      </c>
      <c r="M99" s="237" t="str">
        <f t="shared" si="12"/>
        <v/>
      </c>
      <c r="N99" s="149"/>
      <c r="O99" s="217" t="s">
        <v>47</v>
      </c>
      <c r="P99" s="218" t="s">
        <v>48</v>
      </c>
      <c r="Q99" s="219" t="s">
        <v>49</v>
      </c>
      <c r="R99" s="220" t="s">
        <v>50</v>
      </c>
      <c r="S99" s="218" t="s">
        <v>48</v>
      </c>
      <c r="T99" s="219" t="s">
        <v>49</v>
      </c>
      <c r="U99" s="220" t="s">
        <v>50</v>
      </c>
      <c r="V99" s="218" t="s">
        <v>48</v>
      </c>
      <c r="W99" s="219" t="s">
        <v>49</v>
      </c>
      <c r="X99" s="220" t="s">
        <v>50</v>
      </c>
      <c r="Y99" s="161"/>
      <c r="AA99" s="165" t="s">
        <v>177</v>
      </c>
      <c r="AB99" s="191"/>
      <c r="AC99" s="149"/>
      <c r="AD99" s="192">
        <f>IF(Q441="","",Q441)</f>
        <v>0</v>
      </c>
    </row>
    <row r="100" spans="1:30" ht="16.2" thickTop="1">
      <c r="A100" s="145">
        <v>32</v>
      </c>
      <c r="B100" s="193"/>
      <c r="C100" s="149" t="s">
        <v>149</v>
      </c>
      <c r="D100" s="149"/>
      <c r="E100" s="149" t="s">
        <v>135</v>
      </c>
      <c r="F100" s="149"/>
      <c r="G100" s="149"/>
      <c r="H100" s="149"/>
      <c r="I100" s="149"/>
      <c r="J100" s="149"/>
      <c r="K100" s="149"/>
      <c r="L100" s="236" t="str">
        <f t="shared" si="11"/>
        <v>NA</v>
      </c>
      <c r="M100" s="237" t="str">
        <f t="shared" si="12"/>
        <v/>
      </c>
      <c r="N100" s="149"/>
      <c r="O100" s="221" t="s">
        <v>52</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165" t="s">
        <v>268</v>
      </c>
      <c r="AB100" s="191"/>
      <c r="AC100" s="149"/>
      <c r="AD100" s="192">
        <f>IF(Q442="","",Q442)</f>
        <v>0</v>
      </c>
    </row>
    <row r="101" spans="1:30">
      <c r="A101" s="145">
        <v>33</v>
      </c>
      <c r="B101" s="193"/>
      <c r="C101" s="149" t="s">
        <v>150</v>
      </c>
      <c r="D101" s="149"/>
      <c r="E101" s="149" t="s">
        <v>151</v>
      </c>
      <c r="F101" s="149"/>
      <c r="G101" s="149"/>
      <c r="H101" s="149"/>
      <c r="I101" s="149"/>
      <c r="J101" s="149"/>
      <c r="K101" s="149"/>
      <c r="L101" s="236" t="str">
        <f t="shared" si="11"/>
        <v>NA</v>
      </c>
      <c r="M101" s="237" t="str">
        <f t="shared" si="12"/>
        <v/>
      </c>
      <c r="N101" s="149"/>
      <c r="O101" s="226" t="s">
        <v>54</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393</v>
      </c>
      <c r="AB101" s="191"/>
      <c r="AC101" s="149"/>
      <c r="AD101" s="192" t="str">
        <f>IF(Q443="","",Q443)</f>
        <v/>
      </c>
    </row>
    <row r="102" spans="1:30">
      <c r="A102" s="145">
        <v>34</v>
      </c>
      <c r="B102" s="193"/>
      <c r="C102" s="149" t="s">
        <v>152</v>
      </c>
      <c r="D102" s="149"/>
      <c r="E102" s="149" t="s">
        <v>139</v>
      </c>
      <c r="F102" s="149"/>
      <c r="G102" s="149"/>
      <c r="H102" s="149"/>
      <c r="I102" s="149"/>
      <c r="J102" s="149"/>
      <c r="K102" s="149"/>
      <c r="L102" s="236" t="str">
        <f t="shared" si="11"/>
        <v>NA</v>
      </c>
      <c r="M102" s="237" t="str">
        <f t="shared" si="12"/>
        <v/>
      </c>
      <c r="N102" s="149"/>
      <c r="O102" s="226" t="s">
        <v>56</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274</v>
      </c>
      <c r="AB102" s="191"/>
      <c r="AC102" s="149"/>
      <c r="AD102" s="192" t="str">
        <f>IF(Q444="","",Q444)</f>
        <v/>
      </c>
    </row>
    <row r="103" spans="1:30" ht="16.2" thickBot="1">
      <c r="A103" s="145">
        <v>35</v>
      </c>
      <c r="B103" s="193"/>
      <c r="C103" s="149" t="s">
        <v>153</v>
      </c>
      <c r="D103" s="149"/>
      <c r="E103" s="149" t="s">
        <v>141</v>
      </c>
      <c r="F103" s="149"/>
      <c r="G103" s="149"/>
      <c r="H103" s="149"/>
      <c r="I103" s="149"/>
      <c r="J103" s="149"/>
      <c r="K103" s="149"/>
      <c r="L103" s="236" t="str">
        <f t="shared" si="11"/>
        <v>TBD</v>
      </c>
      <c r="M103" s="237" t="str">
        <f t="shared" si="12"/>
        <v/>
      </c>
      <c r="N103" s="149"/>
      <c r="O103" s="230" t="s">
        <v>58</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279</v>
      </c>
      <c r="AB103" s="191"/>
      <c r="AC103" s="149"/>
      <c r="AD103" s="192" t="str">
        <f>IF(Q445="","",Q445)</f>
        <v/>
      </c>
    </row>
    <row r="104" spans="1:30" ht="16.8" thickTop="1" thickBot="1">
      <c r="A104" s="145">
        <v>36</v>
      </c>
      <c r="B104" s="193"/>
      <c r="C104" s="149" t="s">
        <v>154</v>
      </c>
      <c r="D104" s="149"/>
      <c r="E104" s="149" t="s">
        <v>143</v>
      </c>
      <c r="F104" s="149"/>
      <c r="G104" s="149"/>
      <c r="H104" s="149"/>
      <c r="I104" s="149"/>
      <c r="J104" s="149"/>
      <c r="K104" s="149"/>
      <c r="L104" s="236" t="str">
        <f t="shared" si="11"/>
        <v>TBD</v>
      </c>
      <c r="M104" s="237" t="str">
        <f t="shared" si="12"/>
        <v/>
      </c>
      <c r="N104" s="149"/>
      <c r="O104" s="159"/>
      <c r="P104" s="149"/>
      <c r="Q104" s="149"/>
      <c r="R104" s="149"/>
      <c r="S104" s="149"/>
      <c r="T104" s="149"/>
      <c r="U104" s="149"/>
      <c r="V104" s="149"/>
      <c r="W104" s="149"/>
      <c r="X104" s="149"/>
      <c r="Y104" s="161"/>
      <c r="AA104" s="165" t="s">
        <v>282</v>
      </c>
      <c r="AB104" s="191"/>
      <c r="AC104" s="149"/>
      <c r="AD104" s="192" t="str">
        <f>IF(Q446="","",Q446)</f>
        <v/>
      </c>
    </row>
    <row r="105" spans="1:30" ht="16.8" thickTop="1" thickBot="1">
      <c r="A105" s="145">
        <v>37</v>
      </c>
      <c r="B105" s="193"/>
      <c r="C105" s="149"/>
      <c r="D105" s="149"/>
      <c r="E105" s="149"/>
      <c r="F105" s="149"/>
      <c r="G105" s="149"/>
      <c r="H105" s="182" t="s">
        <v>155</v>
      </c>
      <c r="I105" s="149"/>
      <c r="J105" s="149"/>
      <c r="K105" s="149"/>
      <c r="L105" s="149"/>
      <c r="M105" s="195"/>
      <c r="N105" s="149"/>
      <c r="O105" s="215" t="s">
        <v>41</v>
      </c>
      <c r="P105" s="694" t="s">
        <v>42</v>
      </c>
      <c r="Q105" s="694"/>
      <c r="R105" s="694"/>
      <c r="S105" s="695" t="s">
        <v>43</v>
      </c>
      <c r="T105" s="695"/>
      <c r="U105" s="695"/>
      <c r="V105" s="694" t="s">
        <v>44</v>
      </c>
      <c r="W105" s="694"/>
      <c r="X105" s="694"/>
      <c r="Y105" s="161"/>
      <c r="AA105" s="165" t="s">
        <v>272</v>
      </c>
      <c r="AB105" s="191"/>
      <c r="AC105" s="149"/>
      <c r="AD105" s="192" t="str">
        <f>IF(U441="","",U441)</f>
        <v/>
      </c>
    </row>
    <row r="106" spans="1:30" ht="16.2" thickTop="1">
      <c r="A106" s="145">
        <v>38</v>
      </c>
      <c r="B106" s="193"/>
      <c r="C106" s="265" t="str">
        <f>IF(Q478="","",IF(LEN(Q478)&lt;=135,Q478,IF(LEN(Q478)&lt;=260,LEFT(Q478,SEARCH(" ",Q478,125)),LEFT(Q478,SEARCH(" ",Q478,130)))))</f>
        <v/>
      </c>
      <c r="D106" s="266"/>
      <c r="E106" s="266"/>
      <c r="F106" s="266"/>
      <c r="G106" s="266"/>
      <c r="H106" s="266"/>
      <c r="I106" s="266"/>
      <c r="J106" s="266"/>
      <c r="K106" s="266"/>
      <c r="L106" s="266"/>
      <c r="M106" s="195"/>
      <c r="N106" s="149"/>
      <c r="O106" s="217" t="s">
        <v>46</v>
      </c>
      <c r="P106" s="694"/>
      <c r="Q106" s="694"/>
      <c r="R106" s="694"/>
      <c r="S106" s="695"/>
      <c r="T106" s="695"/>
      <c r="U106" s="695"/>
      <c r="V106" s="694"/>
      <c r="W106" s="694"/>
      <c r="X106" s="694"/>
      <c r="Y106" s="161"/>
      <c r="AA106" s="165" t="s">
        <v>275</v>
      </c>
      <c r="AB106" s="191"/>
      <c r="AC106" s="149"/>
      <c r="AD106" s="192" t="str">
        <f>IF(U442="","",U442)</f>
        <v/>
      </c>
    </row>
    <row r="107" spans="1:30" ht="16.2" thickBot="1">
      <c r="A107" s="145">
        <v>39</v>
      </c>
      <c r="B107" s="193"/>
      <c r="C107" s="267" t="str">
        <f>IF(LEN(Q478)&lt;=135,"",IF(LEN(Q478)&lt;=260,RIGHT(Q478,LEN(Q478)-SEARCH(" ",Q478,125)),MID(Q478,SEARCH(" ",Q478,130),IF(LEN(Q478)&lt;=265,LEN(Q478),SEARCH(" ",Q478,255)-SEARCH(" ",Q478,130)))))</f>
        <v/>
      </c>
      <c r="D107" s="268"/>
      <c r="E107" s="268"/>
      <c r="F107" s="268"/>
      <c r="G107" s="268"/>
      <c r="H107" s="268"/>
      <c r="I107" s="268"/>
      <c r="J107" s="268"/>
      <c r="K107" s="268"/>
      <c r="L107" s="268"/>
      <c r="M107" s="195"/>
      <c r="N107" s="149"/>
      <c r="O107" s="217" t="s">
        <v>47</v>
      </c>
      <c r="P107" s="218" t="s">
        <v>48</v>
      </c>
      <c r="Q107" s="219" t="s">
        <v>49</v>
      </c>
      <c r="R107" s="220" t="s">
        <v>50</v>
      </c>
      <c r="S107" s="218" t="s">
        <v>48</v>
      </c>
      <c r="T107" s="219" t="s">
        <v>49</v>
      </c>
      <c r="U107" s="220" t="s">
        <v>50</v>
      </c>
      <c r="V107" s="218" t="s">
        <v>48</v>
      </c>
      <c r="W107" s="219" t="s">
        <v>49</v>
      </c>
      <c r="X107" s="220" t="s">
        <v>50</v>
      </c>
      <c r="Y107" s="161"/>
      <c r="AA107" s="165" t="s">
        <v>280</v>
      </c>
      <c r="AB107" s="191"/>
      <c r="AC107" s="149"/>
      <c r="AD107" s="192" t="str">
        <f>IF(U443="","",U443)</f>
        <v/>
      </c>
    </row>
    <row r="108" spans="1:30" ht="16.2" thickTop="1">
      <c r="A108" s="145">
        <v>40</v>
      </c>
      <c r="B108" s="193"/>
      <c r="C108" s="267" t="str">
        <f>IF(LEN(Q478)&lt;=265,"",RIGHT(Q478,LEN(Q478)-SEARCH(" ",Q478,255)))</f>
        <v/>
      </c>
      <c r="D108" s="268"/>
      <c r="E108" s="268"/>
      <c r="F108" s="268"/>
      <c r="G108" s="268"/>
      <c r="H108" s="268"/>
      <c r="I108" s="268"/>
      <c r="J108" s="268"/>
      <c r="K108" s="268"/>
      <c r="L108" s="268"/>
      <c r="M108" s="195"/>
      <c r="N108" s="149"/>
      <c r="O108" s="221" t="s">
        <v>52</v>
      </c>
      <c r="P108" s="269"/>
      <c r="Q108" s="270"/>
      <c r="R108" s="271"/>
      <c r="S108" s="269"/>
      <c r="T108" s="270"/>
      <c r="U108" s="271"/>
      <c r="V108" s="269"/>
      <c r="W108" s="270"/>
      <c r="X108" s="271"/>
      <c r="Y108" s="161"/>
      <c r="AA108" s="202" t="s">
        <v>394</v>
      </c>
      <c r="AB108" s="149"/>
      <c r="AC108" s="149"/>
      <c r="AD108" s="149"/>
    </row>
    <row r="109" spans="1:30">
      <c r="A109" s="145">
        <v>41</v>
      </c>
      <c r="B109" s="193"/>
      <c r="C109" s="267" t="str">
        <f>IF(Q480="","",IF(LEN(Q480)&lt;=135,Q480,IF(LEN(Q480)&lt;=260,LEFT(Q480,SEARCH(" ",Q480,125)),LEFT(Q480,SEARCH(" ",Q480,130)))))</f>
        <v/>
      </c>
      <c r="D109" s="268"/>
      <c r="E109" s="268"/>
      <c r="F109" s="268"/>
      <c r="G109" s="268"/>
      <c r="H109" s="268"/>
      <c r="I109" s="268"/>
      <c r="J109" s="268"/>
      <c r="K109" s="268"/>
      <c r="L109" s="268"/>
      <c r="M109" s="195"/>
      <c r="N109" s="149"/>
      <c r="O109" s="226" t="s">
        <v>54</v>
      </c>
      <c r="P109" s="272"/>
      <c r="Q109" s="273"/>
      <c r="R109" s="274"/>
      <c r="S109" s="272"/>
      <c r="T109" s="273"/>
      <c r="U109" s="274"/>
      <c r="V109" s="272"/>
      <c r="W109" s="273"/>
      <c r="X109" s="274"/>
      <c r="Y109" s="161"/>
      <c r="AA109" s="165" t="s">
        <v>395</v>
      </c>
      <c r="AB109" s="191"/>
      <c r="AC109" s="149"/>
      <c r="AD109" s="192">
        <f>IF(P457="","",P457)</f>
        <v>0</v>
      </c>
    </row>
    <row r="110" spans="1:30">
      <c r="A110" s="145">
        <v>42</v>
      </c>
      <c r="B110" s="193"/>
      <c r="C110" s="267" t="str">
        <f>IF(LEN(Q480)&lt;=135,"",IF(LEN(Q480)&lt;=260,RIGHT(Q480,LEN(Q480)-SEARCH(" ",Q480,125)),MID(Q480,SEARCH(" ",Q480,130),IF(LEN(Q480)&lt;=265,LEN(Q480),SEARCH(" ",Q480,255)-SEARCH(" ",Q480,130)))))</f>
        <v/>
      </c>
      <c r="D110" s="268"/>
      <c r="E110" s="268"/>
      <c r="F110" s="268"/>
      <c r="G110" s="268"/>
      <c r="H110" s="268"/>
      <c r="I110" s="268"/>
      <c r="J110" s="268"/>
      <c r="K110" s="268"/>
      <c r="L110" s="268"/>
      <c r="M110" s="195"/>
      <c r="N110" s="149"/>
      <c r="O110" s="226" t="s">
        <v>56</v>
      </c>
      <c r="P110" s="272"/>
      <c r="Q110" s="273"/>
      <c r="R110" s="274"/>
      <c r="S110" s="272"/>
      <c r="T110" s="273"/>
      <c r="U110" s="274"/>
      <c r="V110" s="272"/>
      <c r="W110" s="273"/>
      <c r="X110" s="274"/>
      <c r="Y110" s="161"/>
      <c r="AA110" s="165" t="s">
        <v>268</v>
      </c>
      <c r="AB110" s="191"/>
      <c r="AC110" s="149"/>
      <c r="AD110" s="192">
        <f>IF(P458="","",P458)</f>
        <v>0</v>
      </c>
    </row>
    <row r="111" spans="1:30" ht="16.2" thickBot="1">
      <c r="A111" s="145">
        <v>43</v>
      </c>
      <c r="B111" s="193"/>
      <c r="C111" s="267" t="str">
        <f>IF(LEN(Q480)&lt;=265,"",RIGHT(Q480,LEN(Q480)-SEARCH(" ",Q480,255)))</f>
        <v/>
      </c>
      <c r="D111" s="268"/>
      <c r="E111" s="268"/>
      <c r="F111" s="268"/>
      <c r="G111" s="268"/>
      <c r="H111" s="268"/>
      <c r="I111" s="268"/>
      <c r="J111" s="268"/>
      <c r="K111" s="268"/>
      <c r="L111" s="268"/>
      <c r="M111" s="195"/>
      <c r="N111" s="149"/>
      <c r="O111" s="275" t="s">
        <v>58</v>
      </c>
      <c r="P111" s="276"/>
      <c r="Q111" s="277"/>
      <c r="R111" s="278"/>
      <c r="S111" s="276"/>
      <c r="T111" s="277"/>
      <c r="U111" s="278"/>
      <c r="V111" s="276"/>
      <c r="W111" s="277"/>
      <c r="X111" s="278"/>
      <c r="Y111" s="172"/>
      <c r="AA111" s="165" t="s">
        <v>396</v>
      </c>
      <c r="AB111" s="191"/>
      <c r="AC111" s="149"/>
      <c r="AD111" s="192">
        <f>IF(P459="","",P459)</f>
        <v>0</v>
      </c>
    </row>
    <row r="112" spans="1:30">
      <c r="A112" s="145">
        <v>44</v>
      </c>
      <c r="B112" s="193"/>
      <c r="C112" s="267" t="str">
        <f>IF(Q482="","",IF(LEN(Q482)&lt;=135,Q482,IF(LEN(Q482)&lt;=260,LEFT(Q482,SEARCH(" ",Q482,125)),LEFT(Q482,SEARCH(" ",Q482,130)))))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272</v>
      </c>
      <c r="AB112" s="191"/>
      <c r="AC112" s="149"/>
      <c r="AD112" s="192" t="str">
        <f>IF(P460="","",P460)</f>
        <v/>
      </c>
    </row>
    <row r="113" spans="1:30" ht="16.2" thickBot="1">
      <c r="A113" s="145">
        <v>45</v>
      </c>
      <c r="B113" s="193"/>
      <c r="C113" s="267" t="str">
        <f>IF(LEN(Q482)&lt;=135,"",IF(LEN(Q482)&lt;=260,RIGHT(Q482,LEN(Q482)-SEARCH(" ",Q482,125)),MID(Q482,SEARCH(" ",Q482,130),IF(LEN(Q482)&lt;=265,LEN(Q482),SEARCH(" ",Q482,255)-SEARCH(" ",Q482,130)))))</f>
        <v/>
      </c>
      <c r="D113" s="268"/>
      <c r="E113" s="268"/>
      <c r="F113" s="268"/>
      <c r="G113" s="268"/>
      <c r="H113" s="268"/>
      <c r="I113" s="268"/>
      <c r="J113" s="268"/>
      <c r="K113" s="268"/>
      <c r="L113" s="268"/>
      <c r="M113" s="195"/>
      <c r="N113" s="149"/>
      <c r="O113" s="149"/>
      <c r="P113" s="149"/>
      <c r="Q113" s="149"/>
      <c r="R113" s="149"/>
      <c r="S113" s="149"/>
      <c r="T113" s="182" t="s">
        <v>51</v>
      </c>
      <c r="U113" s="149"/>
      <c r="V113" s="149"/>
      <c r="W113" s="149"/>
      <c r="X113" s="149"/>
      <c r="Y113" s="149"/>
      <c r="AA113" s="165" t="s">
        <v>275</v>
      </c>
      <c r="AB113" s="191"/>
      <c r="AC113" s="149"/>
      <c r="AD113" s="192" t="str">
        <f>IF(P461="","",P461)</f>
        <v/>
      </c>
    </row>
    <row r="114" spans="1:30">
      <c r="A114" s="145">
        <v>46</v>
      </c>
      <c r="B114" s="193"/>
      <c r="C114" s="267" t="str">
        <f>IF(LEN(Q482)&lt;=265,"",RIGHT(Q482,LEN(Q482)-SEARCH(" ",Q482,255)))</f>
        <v/>
      </c>
      <c r="D114" s="268"/>
      <c r="E114" s="268"/>
      <c r="F114" s="268"/>
      <c r="G114" s="268"/>
      <c r="H114" s="268"/>
      <c r="I114" s="268"/>
      <c r="J114" s="268"/>
      <c r="K114" s="268"/>
      <c r="L114" s="268"/>
      <c r="M114" s="195"/>
      <c r="N114" s="149"/>
      <c r="O114" s="279" t="s">
        <v>156</v>
      </c>
      <c r="P114" s="151"/>
      <c r="Q114" s="151"/>
      <c r="R114" s="151"/>
      <c r="S114" s="151"/>
      <c r="T114" s="151"/>
      <c r="U114" s="151"/>
      <c r="V114" s="151"/>
      <c r="W114" s="151"/>
      <c r="X114" s="151"/>
      <c r="Y114" s="152"/>
      <c r="AA114" s="165" t="s">
        <v>280</v>
      </c>
      <c r="AB114" s="191"/>
      <c r="AC114" s="149"/>
      <c r="AD114" s="192" t="str">
        <f>IF(P462="","",P462)</f>
        <v/>
      </c>
    </row>
    <row r="115" spans="1:30">
      <c r="A115" s="145">
        <v>47</v>
      </c>
      <c r="B115" s="193"/>
      <c r="C115" s="267" t="str">
        <f>IF(Q484="","",IF(LEN(Q484)&lt;=135,Q484,IF(LEN(Q484)&lt;=260,LEFT(Q484,SEARCH(" ",Q484,125)),LEFT(Q484,SEARCH(" ",Q484,130)))))</f>
        <v/>
      </c>
      <c r="D115" s="268"/>
      <c r="E115" s="268"/>
      <c r="F115" s="268"/>
      <c r="G115" s="268"/>
      <c r="H115" s="268"/>
      <c r="I115" s="268"/>
      <c r="J115" s="268"/>
      <c r="K115" s="268"/>
      <c r="L115" s="268"/>
      <c r="M115" s="195"/>
      <c r="N115" s="149"/>
      <c r="O115" s="159"/>
      <c r="P115" s="149"/>
      <c r="Q115" s="149" t="s">
        <v>157</v>
      </c>
      <c r="R115" s="149" t="s">
        <v>158</v>
      </c>
      <c r="S115" s="149" t="s">
        <v>159</v>
      </c>
      <c r="T115" s="149" t="s">
        <v>160</v>
      </c>
      <c r="U115" s="149"/>
      <c r="V115" s="149"/>
      <c r="W115" s="149"/>
      <c r="X115" s="149"/>
      <c r="Y115" s="161"/>
      <c r="AA115" s="165" t="s">
        <v>397</v>
      </c>
      <c r="AB115" s="191"/>
      <c r="AC115" s="149"/>
      <c r="AD115" s="192" t="str">
        <f>IF(R457="","",R457)</f>
        <v/>
      </c>
    </row>
    <row r="116" spans="1:30">
      <c r="A116" s="145">
        <v>48</v>
      </c>
      <c r="B116" s="193"/>
      <c r="C116" s="267" t="str">
        <f>IF(LEN(Q484)&lt;=135,"",IF(LEN(Q484)&lt;=260,RIGHT(Q484,LEN(Q484)-SEARCH(" ",Q484,125)),MID(Q484,SEARCH(" ",Q484,130),IF(LEN(Q484)&lt;=265,LEN(Q484),SEARCH(" ",Q484,255)-SEARCH(" ",Q484,130)))))</f>
        <v/>
      </c>
      <c r="D116" s="268"/>
      <c r="E116" s="268"/>
      <c r="F116" s="268"/>
      <c r="G116" s="268"/>
      <c r="H116" s="268"/>
      <c r="I116" s="268"/>
      <c r="J116" s="268"/>
      <c r="K116" s="268"/>
      <c r="L116" s="268"/>
      <c r="M116" s="195"/>
      <c r="N116" s="149"/>
      <c r="O116" s="159"/>
      <c r="P116" s="149" t="s">
        <v>161</v>
      </c>
      <c r="Q116" s="280"/>
      <c r="R116" s="280"/>
      <c r="S116" s="280"/>
      <c r="T116" s="280"/>
      <c r="U116" s="149"/>
      <c r="V116" s="149"/>
      <c r="W116" s="149"/>
      <c r="X116" s="149"/>
      <c r="Y116" s="161"/>
      <c r="AA116" s="165" t="s">
        <v>268</v>
      </c>
      <c r="AB116" s="191"/>
      <c r="AC116" s="149"/>
      <c r="AD116" s="192" t="str">
        <f>IF(R458="","",R458)</f>
        <v/>
      </c>
    </row>
    <row r="117" spans="1:30">
      <c r="A117" s="145">
        <v>49</v>
      </c>
      <c r="B117" s="193"/>
      <c r="C117" s="267" t="str">
        <f>IF(LEN(Q484)&lt;=265,"",RIGHT(Q484,LEN(Q484)-SEARCH(" ",Q484,255)))</f>
        <v/>
      </c>
      <c r="D117" s="268"/>
      <c r="E117" s="268"/>
      <c r="F117" s="268"/>
      <c r="G117" s="268"/>
      <c r="H117" s="268"/>
      <c r="I117" s="268"/>
      <c r="J117" s="268"/>
      <c r="K117" s="268"/>
      <c r="L117" s="268"/>
      <c r="M117" s="195"/>
      <c r="N117" s="149"/>
      <c r="O117" s="159"/>
      <c r="P117" s="149" t="s">
        <v>162</v>
      </c>
      <c r="Q117" s="280"/>
      <c r="R117" s="280"/>
      <c r="S117" s="280"/>
      <c r="T117" s="280"/>
      <c r="U117" s="149"/>
      <c r="V117" s="149"/>
      <c r="W117" s="149"/>
      <c r="X117" s="149"/>
      <c r="Y117" s="161"/>
      <c r="AA117" s="165" t="s">
        <v>396</v>
      </c>
      <c r="AB117" s="191"/>
      <c r="AC117" s="149"/>
      <c r="AD117" s="192" t="str">
        <f>IF(R459="","",R459)</f>
        <v/>
      </c>
    </row>
    <row r="118" spans="1:30">
      <c r="A118" s="145">
        <v>50</v>
      </c>
      <c r="B118" s="193"/>
      <c r="C118" s="267" t="str">
        <f>IF(Q486="","",IF(LEN(Q486)&lt;=135,Q486,IF(LEN(Q486)&lt;=260,LEFT(Q486,SEARCH(" ",Q486,125)),LEFT(Q486,SEARCH(" ",Q486,130)))))</f>
        <v/>
      </c>
      <c r="D118" s="268"/>
      <c r="E118" s="268"/>
      <c r="F118" s="268"/>
      <c r="G118" s="268"/>
      <c r="H118" s="268"/>
      <c r="I118" s="268"/>
      <c r="J118" s="268"/>
      <c r="K118" s="268"/>
      <c r="L118" s="268"/>
      <c r="M118" s="195"/>
      <c r="N118" s="149"/>
      <c r="O118" s="159"/>
      <c r="P118" s="156" t="s">
        <v>163</v>
      </c>
      <c r="Q118" s="156" t="s">
        <v>164</v>
      </c>
      <c r="R118" s="149"/>
      <c r="S118" s="149"/>
      <c r="T118" s="149"/>
      <c r="U118" s="149"/>
      <c r="V118" s="149"/>
      <c r="W118" s="149"/>
      <c r="X118" s="149"/>
      <c r="Y118" s="161"/>
      <c r="AA118" s="165" t="s">
        <v>272</v>
      </c>
      <c r="AB118" s="191"/>
      <c r="AC118" s="149"/>
      <c r="AD118" s="192" t="str">
        <f>IF(R460="","",R460)</f>
        <v/>
      </c>
    </row>
    <row r="119" spans="1:30">
      <c r="A119" s="145">
        <v>51</v>
      </c>
      <c r="B119" s="193"/>
      <c r="C119" s="267" t="str">
        <f>IF(LEN(Q486)&lt;=135,"",IF(LEN(Q486)&lt;=260,RIGHT(Q486,LEN(Q486)-SEARCH(" ",Q486,125)),MID(Q486,SEARCH(" ",Q486,130),IF(LEN(Q486)&lt;=265,LEN(Q486),SEARCH(" ",Q486,255)-SEARCH(" ",Q486,130)))))</f>
        <v/>
      </c>
      <c r="D119" s="268"/>
      <c r="E119" s="268"/>
      <c r="F119" s="268"/>
      <c r="G119" s="268"/>
      <c r="H119" s="268"/>
      <c r="I119" s="268"/>
      <c r="J119" s="268"/>
      <c r="K119" s="268"/>
      <c r="L119" s="268"/>
      <c r="M119" s="195"/>
      <c r="N119" s="149"/>
      <c r="O119" s="159"/>
      <c r="P119" s="156"/>
      <c r="Q119" s="156" t="s">
        <v>165</v>
      </c>
      <c r="R119" s="149"/>
      <c r="S119" s="149"/>
      <c r="T119" s="149"/>
      <c r="U119" s="149"/>
      <c r="V119" s="149"/>
      <c r="W119" s="149"/>
      <c r="X119" s="149"/>
      <c r="Y119" s="161"/>
      <c r="AA119" s="165" t="s">
        <v>275</v>
      </c>
      <c r="AB119" s="191"/>
      <c r="AC119" s="149"/>
      <c r="AD119" s="192" t="str">
        <f>IF(R461="","",R461)</f>
        <v/>
      </c>
    </row>
    <row r="120" spans="1:30">
      <c r="A120" s="145">
        <v>52</v>
      </c>
      <c r="B120" s="193"/>
      <c r="C120" s="267" t="str">
        <f>IF(LEN(Q486)&lt;=265,"",RIGHT(Q486,LEN(Q486)-SEARCH(" ",Q486,255)))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280</v>
      </c>
      <c r="AB120" s="191"/>
      <c r="AC120" s="149"/>
      <c r="AD120" s="192" t="str">
        <f>IF(R462="","",R462)</f>
        <v/>
      </c>
    </row>
    <row r="121" spans="1:30">
      <c r="A121" s="145">
        <v>53</v>
      </c>
      <c r="B121" s="193"/>
      <c r="C121" s="267" t="str">
        <f>IF(Q488="","",IF(LEN(Q488)&lt;=135,Q488,IF(LEN(Q488)&lt;=260,LEFT(Q488,SEARCH(" ",Q488,125)),LEFT(Q488,SEARCH(" ",Q488,130)))))</f>
        <v/>
      </c>
      <c r="D121" s="268"/>
      <c r="E121" s="268"/>
      <c r="F121" s="268"/>
      <c r="G121" s="268"/>
      <c r="H121" s="268"/>
      <c r="I121" s="268"/>
      <c r="J121" s="268"/>
      <c r="K121" s="268"/>
      <c r="L121" s="268"/>
      <c r="M121" s="195"/>
      <c r="N121" s="149"/>
      <c r="O121" s="281" t="s">
        <v>166</v>
      </c>
      <c r="P121" s="149"/>
      <c r="Q121" s="149"/>
      <c r="R121" s="149"/>
      <c r="S121" s="149"/>
      <c r="T121" s="149"/>
      <c r="U121" s="149"/>
      <c r="V121" s="149"/>
      <c r="W121" s="149"/>
      <c r="X121" s="149"/>
      <c r="Y121" s="161"/>
      <c r="AA121" s="165" t="s">
        <v>398</v>
      </c>
      <c r="AB121" s="191"/>
      <c r="AC121" s="149"/>
      <c r="AD121" s="192" t="str">
        <f>IF(T457="","",T457)</f>
        <v/>
      </c>
    </row>
    <row r="122" spans="1:30">
      <c r="A122" s="145">
        <v>54</v>
      </c>
      <c r="B122" s="193"/>
      <c r="C122" s="267" t="str">
        <f>IF(LEN(Q488)&lt;=135,"",IF(LEN(Q488)&lt;=260,RIGHT(Q488,LEN(Q488)-SEARCH(" ",Q488,125)),MID(Q488,SEARCH(" ",Q488,130),IF(LEN(Q488)&lt;=265,LEN(Q488),SEARCH(" ",Q488,255)-SEARCH(" ",Q488,130)))))</f>
        <v/>
      </c>
      <c r="D122" s="268"/>
      <c r="E122" s="268"/>
      <c r="F122" s="268"/>
      <c r="G122" s="268"/>
      <c r="H122" s="268"/>
      <c r="I122" s="268"/>
      <c r="J122" s="268"/>
      <c r="K122" s="268"/>
      <c r="L122" s="268"/>
      <c r="M122" s="195"/>
      <c r="N122" s="149"/>
      <c r="O122" s="159"/>
      <c r="P122" s="149" t="s">
        <v>167</v>
      </c>
      <c r="Q122" s="164" t="s">
        <v>157</v>
      </c>
      <c r="R122" s="164" t="s">
        <v>168</v>
      </c>
      <c r="S122" s="149"/>
      <c r="T122" s="149"/>
      <c r="U122" s="149"/>
      <c r="V122" s="149"/>
      <c r="W122" s="149"/>
      <c r="X122" s="149"/>
      <c r="Y122" s="161"/>
      <c r="AA122" s="165" t="s">
        <v>268</v>
      </c>
      <c r="AB122" s="191"/>
      <c r="AC122" s="149"/>
      <c r="AD122" s="192" t="str">
        <f>IF(T458="","",T458)</f>
        <v/>
      </c>
    </row>
    <row r="123" spans="1:30">
      <c r="A123" s="145">
        <v>55</v>
      </c>
      <c r="B123" s="193"/>
      <c r="C123" s="267" t="str">
        <f>IF(LEN(Q488)&lt;=265,"",RIGHT(Q488,LEN(Q488)-SEARCH(" ",Q488,255)))</f>
        <v/>
      </c>
      <c r="D123" s="268"/>
      <c r="E123" s="268"/>
      <c r="F123" s="268"/>
      <c r="G123" s="268"/>
      <c r="H123" s="268"/>
      <c r="I123" s="268"/>
      <c r="J123" s="268"/>
      <c r="K123" s="268"/>
      <c r="L123" s="268"/>
      <c r="M123" s="195"/>
      <c r="N123" s="149"/>
      <c r="O123" s="159"/>
      <c r="P123" s="164">
        <v>1</v>
      </c>
      <c r="Q123" s="282"/>
      <c r="R123" s="283" t="str">
        <f t="shared" ref="R123:R130" si="13">IF(Q123="","",ABS(Q123-P123))</f>
        <v/>
      </c>
      <c r="S123" s="149"/>
      <c r="T123" s="149"/>
      <c r="U123" s="149"/>
      <c r="V123" s="149"/>
      <c r="W123" s="149"/>
      <c r="X123" s="149"/>
      <c r="Y123" s="161"/>
      <c r="AA123" s="165" t="s">
        <v>396</v>
      </c>
      <c r="AB123" s="191"/>
      <c r="AC123" s="149"/>
      <c r="AD123" s="192" t="str">
        <f>IF(T459="","",T459)</f>
        <v/>
      </c>
    </row>
    <row r="124" spans="1:30">
      <c r="A124" s="145">
        <v>56</v>
      </c>
      <c r="B124" s="193"/>
      <c r="C124" s="267" t="str">
        <f>IF(Q490="","",IF(LEN(Q490)&lt;=135,Q490,IF(LEN(Q490)&lt;=260,LEFT(Q490,SEARCH(" ",Q490,125)),LEFT(Q490,SEARCH(" ",Q490,130)))))</f>
        <v/>
      </c>
      <c r="D124" s="268"/>
      <c r="E124" s="268"/>
      <c r="F124" s="268"/>
      <c r="G124" s="268"/>
      <c r="H124" s="268"/>
      <c r="I124" s="268"/>
      <c r="J124" s="268"/>
      <c r="K124" s="268"/>
      <c r="L124" s="268"/>
      <c r="M124" s="195"/>
      <c r="N124" s="149"/>
      <c r="O124" s="159"/>
      <c r="P124" s="164">
        <v>2</v>
      </c>
      <c r="Q124" s="282"/>
      <c r="R124" s="283" t="str">
        <f t="shared" si="13"/>
        <v/>
      </c>
      <c r="S124" s="149"/>
      <c r="T124" s="149"/>
      <c r="U124" s="149"/>
      <c r="V124" s="149"/>
      <c r="W124" s="149"/>
      <c r="X124" s="149"/>
      <c r="Y124" s="161"/>
      <c r="AA124" s="165" t="s">
        <v>272</v>
      </c>
      <c r="AB124" s="191"/>
      <c r="AC124" s="149"/>
      <c r="AD124" s="192" t="str">
        <f>IF(T460="","",T460)</f>
        <v/>
      </c>
    </row>
    <row r="125" spans="1:30">
      <c r="A125" s="145">
        <v>57</v>
      </c>
      <c r="B125" s="193"/>
      <c r="C125" s="267" t="str">
        <f>IF(LEN(Q490)&lt;=135,"",IF(LEN(Q490)&lt;=260,RIGHT(Q490,LEN(Q490)-SEARCH(" ",Q490,125)),MID(Q490,SEARCH(" ",Q490,130),IF(LEN(Q490)&lt;=265,LEN(Q490),SEARCH(" ",Q490,255)-SEARCH(" ",Q490,130)))))</f>
        <v/>
      </c>
      <c r="D125" s="268"/>
      <c r="E125" s="268"/>
      <c r="F125" s="268"/>
      <c r="G125" s="268"/>
      <c r="H125" s="268"/>
      <c r="I125" s="268"/>
      <c r="J125" s="268"/>
      <c r="K125" s="268"/>
      <c r="L125" s="268"/>
      <c r="M125" s="195"/>
      <c r="N125" s="149"/>
      <c r="O125" s="159"/>
      <c r="P125" s="164">
        <v>4</v>
      </c>
      <c r="Q125" s="282"/>
      <c r="R125" s="283" t="str">
        <f t="shared" si="13"/>
        <v/>
      </c>
      <c r="S125" s="165" t="s">
        <v>169</v>
      </c>
      <c r="T125" s="284" t="str">
        <f>IF(OR(Q125="",Q126="",Q127="",Q128=""),"",AVERAGE(Q125:Q128))</f>
        <v/>
      </c>
      <c r="U125" s="149"/>
      <c r="V125" s="149"/>
      <c r="W125" s="149"/>
      <c r="X125" s="149"/>
      <c r="Y125" s="161"/>
      <c r="AA125" s="165" t="s">
        <v>275</v>
      </c>
      <c r="AB125" s="191"/>
      <c r="AC125" s="149"/>
      <c r="AD125" s="192" t="str">
        <f>IF(T461="","",T461)</f>
        <v/>
      </c>
    </row>
    <row r="126" spans="1:30">
      <c r="A126" s="145">
        <v>58</v>
      </c>
      <c r="B126" s="193"/>
      <c r="C126" s="267" t="str">
        <f>IF(LEN(Q490)&lt;=265,"",RIGHT(Q490,LEN(Q490)-SEARCH(" ",Q490,255)))</f>
        <v/>
      </c>
      <c r="D126" s="268"/>
      <c r="E126" s="268"/>
      <c r="F126" s="268"/>
      <c r="G126" s="268"/>
      <c r="H126" s="268"/>
      <c r="I126" s="268"/>
      <c r="J126" s="268"/>
      <c r="K126" s="268"/>
      <c r="L126" s="268"/>
      <c r="M126" s="195"/>
      <c r="N126" s="149"/>
      <c r="O126" s="159"/>
      <c r="P126" s="164">
        <v>4</v>
      </c>
      <c r="Q126" s="282"/>
      <c r="R126" s="283" t="str">
        <f t="shared" si="13"/>
        <v/>
      </c>
      <c r="S126" s="165" t="s">
        <v>170</v>
      </c>
      <c r="T126" s="285" t="str">
        <f>IF(OR(Q125="",Q126="",Q127="",Q128=""),"",STDEV(Q125:Q128))</f>
        <v/>
      </c>
      <c r="U126" s="149"/>
      <c r="V126" s="149"/>
      <c r="W126" s="149"/>
      <c r="X126" s="149"/>
      <c r="Y126" s="161"/>
      <c r="AA126" s="165" t="s">
        <v>280</v>
      </c>
      <c r="AB126" s="191"/>
      <c r="AC126" s="149"/>
      <c r="AD126" s="192" t="str">
        <f>IF(T462="","",T462)</f>
        <v/>
      </c>
    </row>
    <row r="127" spans="1:30">
      <c r="A127" s="145">
        <v>59</v>
      </c>
      <c r="B127" s="193"/>
      <c r="C127" s="267" t="str">
        <f>IF(Q492="","",IF(LEN(Q492)&lt;=135,Q492,IF(LEN(Q492)&lt;=260,LEFT(Q492,SEARCH(" ",Q492,125)),LEFT(Q492,SEARCH(" ",Q492,130)))))</f>
        <v/>
      </c>
      <c r="D127" s="268"/>
      <c r="E127" s="268"/>
      <c r="F127" s="268"/>
      <c r="G127" s="268"/>
      <c r="H127" s="268"/>
      <c r="I127" s="268"/>
      <c r="J127" s="268"/>
      <c r="K127" s="268"/>
      <c r="L127" s="268"/>
      <c r="M127" s="195"/>
      <c r="N127" s="149"/>
      <c r="O127" s="159"/>
      <c r="P127" s="164">
        <v>4</v>
      </c>
      <c r="Q127" s="282"/>
      <c r="R127" s="283" t="str">
        <f t="shared" si="13"/>
        <v/>
      </c>
      <c r="S127" s="149"/>
      <c r="T127" s="149"/>
      <c r="U127" s="149"/>
      <c r="V127" s="149"/>
      <c r="W127" s="149"/>
      <c r="X127" s="149"/>
      <c r="Y127" s="161"/>
      <c r="AA127" s="239"/>
      <c r="AB127" s="239"/>
      <c r="AC127" s="239"/>
      <c r="AD127" s="239"/>
    </row>
    <row r="128" spans="1:30">
      <c r="A128" s="145">
        <v>60</v>
      </c>
      <c r="B128" s="193"/>
      <c r="C128" s="267" t="str">
        <f>IF(LEN(Q492)&lt;=135,"",IF(LEN(Q492)&lt;=260,RIGHT(Q492,LEN(Q492)-SEARCH(" ",Q492,125)),MID(Q492,SEARCH(" ",Q492,130),IF(LEN(Q492)&lt;=265,LEN(Q492),SEARCH(" ",Q492,255)-SEARCH(" ",Q492,130)))))</f>
        <v/>
      </c>
      <c r="D128" s="268"/>
      <c r="E128" s="268"/>
      <c r="F128" s="268"/>
      <c r="G128" s="268"/>
      <c r="H128" s="268"/>
      <c r="I128" s="268"/>
      <c r="J128" s="268"/>
      <c r="K128" s="268"/>
      <c r="L128" s="268"/>
      <c r="M128" s="195"/>
      <c r="N128" s="149"/>
      <c r="O128" s="159"/>
      <c r="P128" s="164">
        <v>4</v>
      </c>
      <c r="Q128" s="282"/>
      <c r="R128" s="283" t="str">
        <f t="shared" si="13"/>
        <v/>
      </c>
      <c r="S128" s="149"/>
      <c r="T128" s="246" t="s">
        <v>163</v>
      </c>
      <c r="U128" s="156" t="s">
        <v>171</v>
      </c>
      <c r="V128" s="149"/>
      <c r="W128" s="149"/>
      <c r="X128" s="149"/>
      <c r="Y128" s="161"/>
      <c r="AA128" s="165" t="s">
        <v>315</v>
      </c>
      <c r="AB128" s="191"/>
      <c r="AC128" s="149"/>
      <c r="AD128" s="286" t="e">
        <f>IF(T472="","",T472)</f>
        <v>#DIV/0!</v>
      </c>
    </row>
    <row r="129" spans="1:30">
      <c r="A129" s="145">
        <v>61</v>
      </c>
      <c r="B129" s="193"/>
      <c r="C129" s="267" t="str">
        <f>IF(LEN(Q492)&lt;=265,"",RIGHT(Q492,LEN(Q492)-SEARCH(" ",Q492,255)))</f>
        <v/>
      </c>
      <c r="D129" s="268"/>
      <c r="E129" s="268"/>
      <c r="F129" s="268"/>
      <c r="G129" s="268"/>
      <c r="H129" s="268"/>
      <c r="I129" s="268"/>
      <c r="J129" s="268"/>
      <c r="K129" s="268"/>
      <c r="L129" s="268"/>
      <c r="M129" s="195"/>
      <c r="N129" s="149"/>
      <c r="O129" s="159"/>
      <c r="P129" s="164">
        <v>6</v>
      </c>
      <c r="Q129" s="282"/>
      <c r="R129" s="283" t="str">
        <f t="shared" si="13"/>
        <v/>
      </c>
      <c r="S129" s="149"/>
      <c r="T129" s="149"/>
      <c r="U129" s="149"/>
      <c r="V129" s="149"/>
      <c r="W129" s="149"/>
      <c r="X129" s="149"/>
      <c r="Y129" s="161"/>
      <c r="AA129" s="165" t="s">
        <v>317</v>
      </c>
      <c r="AB129" s="191"/>
      <c r="AC129" s="149"/>
      <c r="AD129" s="192" t="e">
        <f>IF(T473="","",T473)</f>
        <v>#DIV/0!</v>
      </c>
    </row>
    <row r="130" spans="1:30">
      <c r="A130" s="145">
        <v>62</v>
      </c>
      <c r="B130" s="193"/>
      <c r="C130" s="267" t="str">
        <f>IF(Q494="","",IF(LEN(Q494)&lt;=135,Q494,IF(LEN(Q494)&lt;=260,LEFT(Q494,SEARCH(" ",Q494,125)),LEFT(Q494,SEARCH(" ",Q494,130)))))</f>
        <v/>
      </c>
      <c r="D130" s="268"/>
      <c r="E130" s="268"/>
      <c r="F130" s="268"/>
      <c r="G130" s="268"/>
      <c r="H130" s="268"/>
      <c r="I130" s="268"/>
      <c r="J130" s="268"/>
      <c r="K130" s="268"/>
      <c r="L130" s="268"/>
      <c r="M130" s="195"/>
      <c r="N130" s="149"/>
      <c r="O130" s="159"/>
      <c r="P130" s="164">
        <v>8</v>
      </c>
      <c r="Q130" s="282"/>
      <c r="R130" s="283" t="str">
        <f t="shared" si="13"/>
        <v/>
      </c>
      <c r="S130" s="149"/>
      <c r="T130" s="149"/>
      <c r="U130" s="149"/>
      <c r="V130" s="149"/>
      <c r="W130" s="149"/>
      <c r="X130" s="149"/>
      <c r="Y130" s="161"/>
      <c r="AA130" s="149"/>
      <c r="AB130" s="149"/>
      <c r="AC130" s="149"/>
      <c r="AD130" s="149"/>
    </row>
    <row r="131" spans="1:30">
      <c r="A131" s="145">
        <v>63</v>
      </c>
      <c r="B131" s="193"/>
      <c r="C131" s="267" t="str">
        <f>IF(LEN(Q494)&lt;=135,"",IF(LEN(Q494)&lt;=260,RIGHT(Q494,LEN(Q494)-SEARCH(" ",Q494,125)),MID(Q494,SEARCH(" ",Q494,130),IF(LEN(Q494)&lt;=265,LEN(Q494),SEARCH(" ",Q494,255)-SEARCH(" ",Q494,130)))))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246" t="s">
        <v>399</v>
      </c>
      <c r="AB131" s="287"/>
      <c r="AC131" s="288" t="str">
        <f>IF(AB131&lt;&gt;AD131,"Change","")</f>
        <v/>
      </c>
      <c r="AD131" s="289" t="str">
        <f>IF(Q478="","",Q478)</f>
        <v/>
      </c>
    </row>
    <row r="132" spans="1:30">
      <c r="A132" s="145">
        <v>64</v>
      </c>
      <c r="B132" s="193"/>
      <c r="C132" s="290" t="str">
        <f>IF(LEN(Q494)&lt;=265,"",RIGHT(Q494,LEN(Q494)-SEARCH(" ",Q494,255)))</f>
        <v/>
      </c>
      <c r="D132" s="291"/>
      <c r="E132" s="291"/>
      <c r="F132" s="291"/>
      <c r="G132" s="291"/>
      <c r="H132" s="291"/>
      <c r="I132" s="291"/>
      <c r="J132" s="291"/>
      <c r="K132" s="291"/>
      <c r="L132" s="291"/>
      <c r="M132" s="195"/>
      <c r="N132" s="149"/>
      <c r="O132" s="214"/>
      <c r="P132" s="149" t="s">
        <v>172</v>
      </c>
      <c r="Q132" s="149"/>
      <c r="R132" s="149"/>
      <c r="S132" s="292" t="str">
        <f>IF(R123="","",IF(OR(R123&gt;0.5,R124&gt;0.5,R125&gt;0.5,R126&gt;0.5,R127&gt;0.5,R128&gt;0.5,R129&gt;0.5,R130&gt;0.5),"Fail","Pass"))</f>
        <v/>
      </c>
      <c r="T132" s="166" t="s">
        <v>173</v>
      </c>
      <c r="U132" s="149"/>
      <c r="V132" s="149"/>
      <c r="W132" s="149"/>
      <c r="X132" s="149"/>
      <c r="Y132" s="161"/>
      <c r="AA132" s="241"/>
      <c r="AB132" s="293"/>
      <c r="AC132" s="210"/>
      <c r="AD132" s="293"/>
    </row>
    <row r="133" spans="1:30">
      <c r="A133" s="145">
        <v>65</v>
      </c>
      <c r="B133" s="193"/>
      <c r="C133" s="239"/>
      <c r="D133" s="239"/>
      <c r="E133" s="239"/>
      <c r="F133" s="239"/>
      <c r="G133" s="239"/>
      <c r="H133" s="239"/>
      <c r="I133" s="239"/>
      <c r="J133" s="239"/>
      <c r="K133" s="239"/>
      <c r="L133" s="239"/>
      <c r="M133" s="195"/>
      <c r="N133" s="149"/>
      <c r="O133" s="214"/>
      <c r="P133" s="149" t="s">
        <v>174</v>
      </c>
      <c r="Q133" s="149"/>
      <c r="R133" s="149"/>
      <c r="S133" s="149"/>
      <c r="T133" s="149"/>
      <c r="U133" s="149"/>
      <c r="V133" s="149"/>
      <c r="W133" s="149"/>
      <c r="X133" s="149"/>
      <c r="Y133" s="161"/>
      <c r="AA133" s="241"/>
      <c r="AB133" s="287"/>
      <c r="AC133" s="288" t="str">
        <f>IF(AB133&lt;&gt;AD133,"Change","")</f>
        <v/>
      </c>
      <c r="AD133" s="289" t="str">
        <f>IF(Q480="","",Q480)</f>
        <v/>
      </c>
    </row>
    <row r="134" spans="1:30" ht="16.2"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241"/>
      <c r="AB134" s="293"/>
      <c r="AC134" s="210"/>
      <c r="AD134" s="293"/>
    </row>
    <row r="135" spans="1:30" ht="16.2" thickTop="1">
      <c r="A135" s="145">
        <v>67</v>
      </c>
      <c r="B135" s="149"/>
      <c r="C135" s="241" t="s">
        <v>3</v>
      </c>
      <c r="D135" s="582" t="str">
        <f>IF($P$7="","",$P$7)</f>
        <v/>
      </c>
      <c r="E135" s="156"/>
      <c r="F135" s="156"/>
      <c r="G135" s="156"/>
      <c r="H135" s="156"/>
      <c r="I135" s="156"/>
      <c r="J135" s="156"/>
      <c r="K135" s="156"/>
      <c r="L135" s="241" t="s">
        <v>4</v>
      </c>
      <c r="M135" s="243" t="str">
        <f>IF($X$7="","",$X$7)</f>
        <v>Eugene Mah</v>
      </c>
      <c r="N135" s="149"/>
      <c r="O135" s="281" t="s">
        <v>175</v>
      </c>
      <c r="P135" s="149"/>
      <c r="Q135" s="202" t="s">
        <v>707</v>
      </c>
      <c r="R135" s="149"/>
      <c r="S135" s="149"/>
      <c r="T135" s="149"/>
      <c r="U135" s="149"/>
      <c r="V135" s="149"/>
      <c r="W135" s="149"/>
      <c r="X135" s="149"/>
      <c r="Y135" s="161"/>
      <c r="AA135" s="241"/>
      <c r="AB135" s="287"/>
      <c r="AC135" s="288" t="str">
        <f>IF(AB135&lt;&gt;AD135,"Change","")</f>
        <v/>
      </c>
      <c r="AD135" s="289" t="str">
        <f>IF(Q482="","",Q482)</f>
        <v/>
      </c>
    </row>
    <row r="136" spans="1:30">
      <c r="A136" s="145">
        <v>68</v>
      </c>
      <c r="B136" s="149"/>
      <c r="C136" s="241" t="s">
        <v>91</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241"/>
      <c r="AB136" s="293"/>
      <c r="AC136" s="156"/>
      <c r="AD136" s="293"/>
    </row>
    <row r="137" spans="1:30" ht="16.2">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241"/>
      <c r="AB137" s="287"/>
      <c r="AC137" s="288" t="str">
        <f>IF(AB137&lt;&gt;AD137,"Change","")</f>
        <v/>
      </c>
      <c r="AD137" s="289" t="str">
        <f>IF(Q484="","",Q484)</f>
        <v/>
      </c>
    </row>
    <row r="138" spans="1:30" ht="18" thickBot="1">
      <c r="A138" s="145">
        <v>2</v>
      </c>
      <c r="B138" s="149"/>
      <c r="C138" s="149"/>
      <c r="D138" s="149"/>
      <c r="E138" s="149"/>
      <c r="F138" s="149"/>
      <c r="G138" s="149"/>
      <c r="H138" s="180" t="s">
        <v>51</v>
      </c>
      <c r="I138" s="149"/>
      <c r="J138" s="149"/>
      <c r="K138" s="149"/>
      <c r="L138" s="149"/>
      <c r="M138" s="246" t="str">
        <f>$H$5</f>
        <v>Mammography System Compliance Inspection</v>
      </c>
      <c r="N138" s="149"/>
      <c r="O138" s="159"/>
      <c r="P138" s="165" t="s">
        <v>176</v>
      </c>
      <c r="Q138" s="280"/>
      <c r="R138" s="280"/>
      <c r="S138" s="280"/>
      <c r="T138" s="280"/>
      <c r="U138" s="280"/>
      <c r="V138" s="280"/>
      <c r="W138" s="149"/>
      <c r="X138" s="149"/>
      <c r="Y138" s="161"/>
      <c r="AA138" s="241"/>
      <c r="AB138" s="293"/>
      <c r="AC138" s="156"/>
      <c r="AD138" s="293"/>
    </row>
    <row r="139" spans="1:30" ht="16.2" thickTop="1">
      <c r="A139" s="145">
        <v>3</v>
      </c>
      <c r="B139" s="184"/>
      <c r="C139" s="186" t="s">
        <v>156</v>
      </c>
      <c r="D139" s="185"/>
      <c r="E139" s="185"/>
      <c r="F139" s="185"/>
      <c r="G139" s="185"/>
      <c r="H139" s="185"/>
      <c r="I139" s="185"/>
      <c r="J139" s="185"/>
      <c r="K139" s="185"/>
      <c r="L139" s="185"/>
      <c r="M139" s="187"/>
      <c r="N139" s="149"/>
      <c r="O139" s="159"/>
      <c r="P139" s="165" t="s">
        <v>177</v>
      </c>
      <c r="Q139" s="280"/>
      <c r="R139" s="280"/>
      <c r="S139" s="280"/>
      <c r="T139" s="280"/>
      <c r="U139" s="280"/>
      <c r="V139" s="280"/>
      <c r="W139" s="149"/>
      <c r="X139" s="149"/>
      <c r="Y139" s="161"/>
      <c r="AA139" s="241"/>
      <c r="AB139" s="287"/>
      <c r="AC139" s="288" t="str">
        <f>IF(AB139&lt;&gt;AD139,"Change","")</f>
        <v/>
      </c>
      <c r="AD139" s="289" t="str">
        <f>IF(Q486="","",Q486)</f>
        <v/>
      </c>
    </row>
    <row r="140" spans="1:30" ht="16.2" thickBot="1">
      <c r="A140" s="145">
        <v>4</v>
      </c>
      <c r="B140" s="193"/>
      <c r="C140" s="149"/>
      <c r="D140" s="149"/>
      <c r="E140" s="164" t="s">
        <v>157</v>
      </c>
      <c r="F140" s="164" t="s">
        <v>158</v>
      </c>
      <c r="G140" s="164" t="s">
        <v>159</v>
      </c>
      <c r="H140" s="164" t="s">
        <v>160</v>
      </c>
      <c r="I140" s="149"/>
      <c r="J140" s="149"/>
      <c r="K140" s="149"/>
      <c r="L140" s="149"/>
      <c r="M140" s="195"/>
      <c r="N140" s="149"/>
      <c r="O140" s="159"/>
      <c r="P140" s="165" t="s">
        <v>178</v>
      </c>
      <c r="Q140" s="280"/>
      <c r="R140" s="280"/>
      <c r="S140" s="280"/>
      <c r="T140" s="280"/>
      <c r="U140" s="280"/>
      <c r="V140" s="280"/>
      <c r="W140" s="149"/>
      <c r="X140" s="149"/>
      <c r="Y140" s="161"/>
      <c r="AA140" s="241"/>
      <c r="AB140" s="293"/>
      <c r="AC140" s="156"/>
      <c r="AD140" s="293"/>
    </row>
    <row r="141" spans="1:30" ht="16.2" thickBot="1">
      <c r="A141" s="145">
        <v>5</v>
      </c>
      <c r="B141" s="193"/>
      <c r="C141" s="149"/>
      <c r="D141" s="149" t="s">
        <v>161</v>
      </c>
      <c r="E141" s="196" t="str">
        <f t="shared" ref="E141:H142" si="14">IF(Q116="","",Q116)</f>
        <v/>
      </c>
      <c r="F141" s="197" t="str">
        <f t="shared" si="14"/>
        <v/>
      </c>
      <c r="G141" s="197" t="str">
        <f t="shared" si="14"/>
        <v/>
      </c>
      <c r="H141" s="412" t="str">
        <f t="shared" si="14"/>
        <v/>
      </c>
      <c r="I141" s="149"/>
      <c r="J141" s="149"/>
      <c r="K141" s="149"/>
      <c r="L141" s="149"/>
      <c r="M141" s="195"/>
      <c r="N141" s="149"/>
      <c r="O141" s="159"/>
      <c r="P141" s="165" t="s">
        <v>179</v>
      </c>
      <c r="Q141" s="280"/>
      <c r="R141" s="280"/>
      <c r="S141" s="280"/>
      <c r="T141" s="280"/>
      <c r="U141" s="280"/>
      <c r="V141" s="280"/>
      <c r="W141" s="149"/>
      <c r="X141" s="149"/>
      <c r="Y141" s="161"/>
      <c r="AA141" s="241"/>
      <c r="AB141" s="287"/>
      <c r="AC141" s="288" t="str">
        <f>IF(AB141&lt;&gt;AD141,"Change","")</f>
        <v/>
      </c>
      <c r="AD141" s="289" t="str">
        <f>IF(Q488="","",Q488)</f>
        <v/>
      </c>
    </row>
    <row r="142" spans="1:30" ht="16.2" thickBot="1">
      <c r="A142" s="145">
        <v>6</v>
      </c>
      <c r="B142" s="193"/>
      <c r="C142" s="149"/>
      <c r="D142" s="149" t="s">
        <v>162</v>
      </c>
      <c r="E142" s="251" t="str">
        <f t="shared" si="14"/>
        <v/>
      </c>
      <c r="F142" s="252" t="str">
        <f t="shared" si="14"/>
        <v/>
      </c>
      <c r="G142" s="252" t="str">
        <f t="shared" si="14"/>
        <v/>
      </c>
      <c r="H142" s="408" t="str">
        <f t="shared" si="14"/>
        <v/>
      </c>
      <c r="I142" s="149"/>
      <c r="J142" s="165" t="s">
        <v>180</v>
      </c>
      <c r="K142" s="295" t="str">
        <f>IF(OR(F141="",F142=""),"",IF(AND(F141&gt;=25,F142&lt;=45),"Pass","Fail"))</f>
        <v/>
      </c>
      <c r="L142" s="149"/>
      <c r="M142" s="195"/>
      <c r="N142" s="149"/>
      <c r="O142" s="159"/>
      <c r="P142" s="165" t="s">
        <v>180</v>
      </c>
      <c r="Q142" s="280"/>
      <c r="R142" s="280"/>
      <c r="S142" s="280"/>
      <c r="T142" s="280"/>
      <c r="U142" s="280"/>
      <c r="V142" s="280"/>
      <c r="W142" s="149"/>
      <c r="X142" s="149"/>
      <c r="Y142" s="161"/>
      <c r="AA142" s="241"/>
      <c r="AB142" s="293"/>
      <c r="AC142" s="156"/>
      <c r="AD142" s="293"/>
    </row>
    <row r="143" spans="1:30">
      <c r="A143" s="145">
        <v>7</v>
      </c>
      <c r="B143" s="193"/>
      <c r="C143" s="149"/>
      <c r="D143" s="246" t="s">
        <v>163</v>
      </c>
      <c r="E143" s="156" t="s">
        <v>164</v>
      </c>
      <c r="F143" s="149"/>
      <c r="G143" s="149"/>
      <c r="H143" s="149"/>
      <c r="I143" s="149"/>
      <c r="J143" s="149"/>
      <c r="K143" s="149"/>
      <c r="L143" s="149"/>
      <c r="M143" s="195"/>
      <c r="N143" s="149"/>
      <c r="O143" s="159"/>
      <c r="P143" s="239"/>
      <c r="Q143" s="239"/>
      <c r="R143" s="239"/>
      <c r="S143" s="239"/>
      <c r="T143" s="239"/>
      <c r="U143" s="239"/>
      <c r="V143" s="239"/>
      <c r="W143" s="149"/>
      <c r="X143" s="149"/>
      <c r="Y143" s="161"/>
      <c r="AA143" s="241"/>
      <c r="AB143" s="287"/>
      <c r="AC143" s="288" t="str">
        <f>IF(AB143&lt;&gt;AD143,"Change","")</f>
        <v/>
      </c>
      <c r="AD143" s="289" t="str">
        <f>IF(Q490="","",Q490)</f>
        <v/>
      </c>
    </row>
    <row r="144" spans="1:30">
      <c r="A144" s="145">
        <v>8</v>
      </c>
      <c r="B144" s="193"/>
      <c r="C144" s="149"/>
      <c r="D144" s="156"/>
      <c r="E144" s="156" t="s">
        <v>165</v>
      </c>
      <c r="F144" s="149"/>
      <c r="G144" s="149"/>
      <c r="H144" s="149"/>
      <c r="I144" s="149"/>
      <c r="J144" s="149"/>
      <c r="K144" s="149"/>
      <c r="L144" s="149"/>
      <c r="M144" s="195"/>
      <c r="N144" s="149"/>
      <c r="O144" s="281" t="s">
        <v>690</v>
      </c>
      <c r="P144" s="149"/>
      <c r="Q144" s="149"/>
      <c r="R144" s="149"/>
      <c r="S144" s="149"/>
      <c r="T144" s="149"/>
      <c r="U144" s="149"/>
      <c r="V144" s="149"/>
      <c r="W144" s="149"/>
      <c r="X144" s="149"/>
      <c r="Y144" s="161"/>
      <c r="AA144" s="241"/>
      <c r="AB144" s="293"/>
      <c r="AC144" s="156"/>
      <c r="AD144" s="293"/>
    </row>
    <row r="145" spans="1:32">
      <c r="A145" s="145">
        <v>9</v>
      </c>
      <c r="B145" s="193"/>
      <c r="C145" s="149"/>
      <c r="D145" s="149"/>
      <c r="E145" s="149"/>
      <c r="F145" s="149"/>
      <c r="G145" s="149"/>
      <c r="H145" s="149"/>
      <c r="I145" s="149"/>
      <c r="J145" s="149"/>
      <c r="K145" s="149"/>
      <c r="L145" s="149"/>
      <c r="M145" s="195"/>
      <c r="N145" s="149"/>
      <c r="O145" s="296"/>
      <c r="P145" s="297" t="s">
        <v>270</v>
      </c>
      <c r="Q145" s="298" t="str">
        <f>Q136&amp;"/"&amp;Q137</f>
        <v>/</v>
      </c>
      <c r="R145" s="298" t="str">
        <f t="shared" ref="R145:V145" si="15">R136&amp;"/"&amp;R137</f>
        <v>/</v>
      </c>
      <c r="S145" s="298" t="str">
        <f t="shared" si="15"/>
        <v>/</v>
      </c>
      <c r="T145" s="298" t="str">
        <f t="shared" si="15"/>
        <v>/</v>
      </c>
      <c r="U145" s="298" t="str">
        <f t="shared" si="15"/>
        <v>/</v>
      </c>
      <c r="V145" s="298" t="str">
        <f t="shared" si="15"/>
        <v>/</v>
      </c>
      <c r="Y145" s="161"/>
      <c r="AA145" s="241"/>
      <c r="AB145" s="287"/>
      <c r="AC145" s="288" t="str">
        <f>IF(AB145&lt;&gt;AD145,"Change","")</f>
        <v/>
      </c>
      <c r="AD145" s="289" t="str">
        <f>IF(Q492="","",Q492)</f>
        <v/>
      </c>
    </row>
    <row r="146" spans="1:32">
      <c r="A146" s="145">
        <v>10</v>
      </c>
      <c r="B146" s="193"/>
      <c r="C146" s="299" t="s">
        <v>166</v>
      </c>
      <c r="D146" s="149"/>
      <c r="E146" s="149"/>
      <c r="F146" s="149"/>
      <c r="G146" s="149"/>
      <c r="H146" s="149"/>
      <c r="I146" s="149"/>
      <c r="J146" s="149"/>
      <c r="K146" s="149"/>
      <c r="L146" s="149"/>
      <c r="M146" s="195"/>
      <c r="N146" s="149"/>
      <c r="O146" s="296"/>
      <c r="P146" s="297" t="s">
        <v>177</v>
      </c>
      <c r="Q146" s="298" t="str">
        <f>IF(Q139="","",Q139)</f>
        <v/>
      </c>
      <c r="R146" s="298" t="str">
        <f t="shared" ref="R146:V146" si="16">IF(R139="","",R139)</f>
        <v/>
      </c>
      <c r="S146" s="298" t="str">
        <f t="shared" si="16"/>
        <v/>
      </c>
      <c r="T146" s="298" t="str">
        <f t="shared" si="16"/>
        <v/>
      </c>
      <c r="U146" s="298" t="str">
        <f t="shared" si="16"/>
        <v/>
      </c>
      <c r="V146" s="298" t="str">
        <f t="shared" si="16"/>
        <v/>
      </c>
      <c r="Y146" s="161"/>
      <c r="AA146" s="241"/>
      <c r="AB146" s="293"/>
      <c r="AC146" s="156"/>
      <c r="AD146" s="301"/>
    </row>
    <row r="147" spans="1:32" ht="16.2" thickBot="1">
      <c r="A147" s="145">
        <v>11</v>
      </c>
      <c r="B147" s="193"/>
      <c r="C147" s="149"/>
      <c r="D147" s="149" t="s">
        <v>167</v>
      </c>
      <c r="E147" s="164" t="s">
        <v>157</v>
      </c>
      <c r="F147" s="164" t="s">
        <v>168</v>
      </c>
      <c r="G147" s="149"/>
      <c r="H147" s="149"/>
      <c r="I147" s="210"/>
      <c r="J147" s="165" t="s">
        <v>183</v>
      </c>
      <c r="K147" s="603" t="str">
        <f>IF(O132="","",IF(O132=1,"YES",IF(O132=3,"NA","")))</f>
        <v/>
      </c>
      <c r="L147" s="302" t="str">
        <f>IF(O132=2,"NO","")</f>
        <v/>
      </c>
      <c r="M147" s="195"/>
      <c r="N147" s="149"/>
      <c r="O147" s="296"/>
      <c r="P147" s="297" t="s">
        <v>178</v>
      </c>
      <c r="Q147" s="298" t="str">
        <f>IF(Q140="","",Q140)</f>
        <v/>
      </c>
      <c r="R147" s="298" t="str">
        <f t="shared" ref="R147:V147" si="17">IF(R140="","",R140)</f>
        <v/>
      </c>
      <c r="S147" s="298" t="str">
        <f t="shared" si="17"/>
        <v/>
      </c>
      <c r="T147" s="298" t="str">
        <f t="shared" si="17"/>
        <v/>
      </c>
      <c r="U147" s="298" t="str">
        <f t="shared" si="17"/>
        <v/>
      </c>
      <c r="V147" s="298" t="str">
        <f t="shared" si="17"/>
        <v/>
      </c>
      <c r="Y147" s="161"/>
      <c r="AA147" s="241"/>
      <c r="AB147" s="287"/>
      <c r="AC147" s="288" t="str">
        <f>IF(AB147&lt;&gt;AD147,"Change","")</f>
        <v/>
      </c>
      <c r="AD147" s="289" t="str">
        <f>IF(Q494="","",Q494)</f>
        <v/>
      </c>
    </row>
    <row r="148" spans="1:32">
      <c r="A148" s="145">
        <v>12</v>
      </c>
      <c r="B148" s="193"/>
      <c r="C148" s="149"/>
      <c r="D148" s="164">
        <v>1</v>
      </c>
      <c r="E148" s="196" t="str">
        <f t="shared" ref="E148:F155" si="18">IF(Q123="","",Q123)</f>
        <v/>
      </c>
      <c r="F148" s="412" t="str">
        <f t="shared" si="18"/>
        <v/>
      </c>
      <c r="G148" s="149"/>
      <c r="H148" s="149"/>
      <c r="I148" s="210"/>
      <c r="J148" s="165" t="s">
        <v>185</v>
      </c>
      <c r="K148" s="604" t="str">
        <f>IF(O133="","",IF(O133=1,"YES",IF(O133=3,"NA","")))</f>
        <v/>
      </c>
      <c r="L148" s="302" t="str">
        <f>IF(O133=2,"NO","")</f>
        <v/>
      </c>
      <c r="M148" s="195"/>
      <c r="N148" s="149"/>
      <c r="O148" s="296"/>
      <c r="P148" s="297" t="s">
        <v>693</v>
      </c>
      <c r="Q148" s="280"/>
      <c r="R148" s="280"/>
      <c r="S148" s="280"/>
      <c r="T148" s="280"/>
      <c r="U148" s="280"/>
      <c r="V148" s="280"/>
      <c r="Y148" s="161"/>
    </row>
    <row r="149" spans="1:32">
      <c r="A149" s="145">
        <v>13</v>
      </c>
      <c r="B149" s="193"/>
      <c r="C149" s="149"/>
      <c r="D149" s="164">
        <v>2</v>
      </c>
      <c r="E149" s="205" t="str">
        <f t="shared" si="18"/>
        <v/>
      </c>
      <c r="F149" s="397" t="str">
        <f t="shared" si="18"/>
        <v/>
      </c>
      <c r="G149" s="149"/>
      <c r="H149" s="149"/>
      <c r="I149" s="149"/>
      <c r="J149" s="165" t="s">
        <v>173</v>
      </c>
      <c r="K149" s="604" t="str">
        <f>IF(S132="","",S132)</f>
        <v/>
      </c>
      <c r="L149" s="149"/>
      <c r="M149" s="195"/>
      <c r="N149" s="149"/>
      <c r="O149" s="296"/>
      <c r="P149" s="297" t="s">
        <v>694</v>
      </c>
      <c r="Q149" s="280"/>
      <c r="R149" s="280"/>
      <c r="S149" s="280"/>
      <c r="T149" s="280"/>
      <c r="U149" s="280"/>
      <c r="V149" s="280"/>
      <c r="Y149" s="161"/>
    </row>
    <row r="150" spans="1:32">
      <c r="A150" s="145">
        <v>14</v>
      </c>
      <c r="B150" s="193"/>
      <c r="C150" s="149"/>
      <c r="D150" s="164">
        <v>4</v>
      </c>
      <c r="E150" s="205" t="str">
        <f t="shared" si="18"/>
        <v/>
      </c>
      <c r="F150" s="397" t="str">
        <f t="shared" si="18"/>
        <v/>
      </c>
      <c r="G150" s="165" t="s">
        <v>169</v>
      </c>
      <c r="H150" s="284" t="str">
        <f>IF(T125="","",T125)</f>
        <v/>
      </c>
      <c r="I150" s="149"/>
      <c r="J150" s="149"/>
      <c r="K150" s="149"/>
      <c r="L150" s="149"/>
      <c r="M150" s="195"/>
      <c r="N150" s="149"/>
      <c r="O150" s="296"/>
      <c r="P150" s="297" t="s">
        <v>695</v>
      </c>
      <c r="Q150" s="280"/>
      <c r="R150" s="280"/>
      <c r="S150" s="280"/>
      <c r="T150" s="280"/>
      <c r="U150" s="280"/>
      <c r="V150" s="280"/>
      <c r="Y150" s="161"/>
      <c r="AA150" s="153" t="s">
        <v>698</v>
      </c>
    </row>
    <row r="151" spans="1:32">
      <c r="A151" s="145">
        <v>15</v>
      </c>
      <c r="B151" s="193"/>
      <c r="C151" s="149"/>
      <c r="D151" s="164">
        <v>4</v>
      </c>
      <c r="E151" s="205" t="str">
        <f t="shared" si="18"/>
        <v/>
      </c>
      <c r="F151" s="397" t="str">
        <f t="shared" si="18"/>
        <v/>
      </c>
      <c r="G151" s="165" t="s">
        <v>170</v>
      </c>
      <c r="H151" s="285" t="str">
        <f>IF(T126="","",T126)</f>
        <v/>
      </c>
      <c r="I151" s="149"/>
      <c r="J151" s="149"/>
      <c r="K151" s="149"/>
      <c r="L151" s="149"/>
      <c r="M151" s="195"/>
      <c r="N151" s="149"/>
      <c r="O151" s="296"/>
      <c r="P151" s="297" t="s">
        <v>696</v>
      </c>
      <c r="Q151" s="280"/>
      <c r="R151" s="280"/>
      <c r="S151" s="280"/>
      <c r="T151" s="280"/>
      <c r="U151" s="280"/>
      <c r="V151" s="280"/>
      <c r="Y151" s="161"/>
      <c r="AA151" s="298" t="str">
        <f>Q145</f>
        <v>/</v>
      </c>
      <c r="AB151" s="298" t="str">
        <f t="shared" ref="AB151:AF151" si="19">R145</f>
        <v>/</v>
      </c>
      <c r="AC151" s="298" t="str">
        <f t="shared" si="19"/>
        <v>/</v>
      </c>
      <c r="AD151" s="298" t="str">
        <f t="shared" si="19"/>
        <v>/</v>
      </c>
      <c r="AE151" s="298" t="str">
        <f t="shared" si="19"/>
        <v>/</v>
      </c>
      <c r="AF151" s="298" t="str">
        <f t="shared" si="19"/>
        <v>/</v>
      </c>
    </row>
    <row r="152" spans="1:32">
      <c r="A152" s="145">
        <v>16</v>
      </c>
      <c r="B152" s="193"/>
      <c r="C152" s="149"/>
      <c r="D152" s="164">
        <v>4</v>
      </c>
      <c r="E152" s="205" t="str">
        <f t="shared" si="18"/>
        <v/>
      </c>
      <c r="F152" s="397" t="str">
        <f t="shared" si="18"/>
        <v/>
      </c>
      <c r="G152" s="246" t="s">
        <v>163</v>
      </c>
      <c r="H152" s="156" t="s">
        <v>171</v>
      </c>
      <c r="I152" s="149"/>
      <c r="J152" s="149"/>
      <c r="K152" s="149"/>
      <c r="L152" s="149"/>
      <c r="M152" s="195"/>
      <c r="N152" s="149"/>
      <c r="O152" s="296"/>
      <c r="P152" s="297" t="s">
        <v>697</v>
      </c>
      <c r="Q152" s="280"/>
      <c r="R152" s="280"/>
      <c r="S152" s="280"/>
      <c r="T152" s="280"/>
      <c r="U152" s="280"/>
      <c r="V152" s="280"/>
      <c r="Y152" s="161"/>
      <c r="Z152" s="297" t="s">
        <v>693</v>
      </c>
      <c r="AA152" s="300" t="str">
        <f t="shared" ref="AA152:AF152" si="20">IF(OR(Q148="",Q$153=""),"",ABS(Q148-Q$153)/Q$153)</f>
        <v/>
      </c>
      <c r="AB152" s="300" t="str">
        <f t="shared" si="20"/>
        <v/>
      </c>
      <c r="AC152" s="300" t="str">
        <f t="shared" si="20"/>
        <v/>
      </c>
      <c r="AD152" s="300" t="str">
        <f t="shared" si="20"/>
        <v/>
      </c>
      <c r="AE152" s="300" t="str">
        <f t="shared" si="20"/>
        <v/>
      </c>
      <c r="AF152" s="300" t="str">
        <f t="shared" si="20"/>
        <v/>
      </c>
    </row>
    <row r="153" spans="1:32">
      <c r="A153" s="145">
        <v>17</v>
      </c>
      <c r="B153" s="193"/>
      <c r="C153" s="149"/>
      <c r="D153" s="164">
        <v>4</v>
      </c>
      <c r="E153" s="205" t="str">
        <f t="shared" si="18"/>
        <v/>
      </c>
      <c r="F153" s="397" t="str">
        <f t="shared" si="18"/>
        <v/>
      </c>
      <c r="G153" s="149"/>
      <c r="H153" s="149"/>
      <c r="I153" s="149"/>
      <c r="J153" s="149"/>
      <c r="K153" s="149"/>
      <c r="L153" s="149"/>
      <c r="M153" s="195"/>
      <c r="N153" s="149"/>
      <c r="O153" s="296"/>
      <c r="P153" s="297" t="s">
        <v>249</v>
      </c>
      <c r="Q153" s="592" t="str">
        <f>IF(Q148="","",AVERAGE(Q148:Q152))</f>
        <v/>
      </c>
      <c r="R153" s="592" t="str">
        <f t="shared" ref="R153:V153" si="21">IF(R148="","",AVERAGE(R148:R152))</f>
        <v/>
      </c>
      <c r="S153" s="592" t="str">
        <f t="shared" si="21"/>
        <v/>
      </c>
      <c r="T153" s="592" t="str">
        <f t="shared" si="21"/>
        <v/>
      </c>
      <c r="U153" s="592" t="str">
        <f t="shared" si="21"/>
        <v/>
      </c>
      <c r="V153" s="592" t="str">
        <f t="shared" si="21"/>
        <v/>
      </c>
      <c r="Y153" s="161"/>
      <c r="Z153" s="297" t="s">
        <v>694</v>
      </c>
      <c r="AA153" s="300" t="str">
        <f t="shared" ref="AA153:AA156" si="22">IF(OR(Q149="",Q$153=""),"",ABS(Q149-Q$153)/Q$153)</f>
        <v/>
      </c>
      <c r="AB153" s="300" t="str">
        <f t="shared" ref="AB153:AF153" si="23">IF(OR(R149="",R$153=""),"",ABS(R149-R$153)/R$153)</f>
        <v/>
      </c>
      <c r="AC153" s="300" t="str">
        <f t="shared" si="23"/>
        <v/>
      </c>
      <c r="AD153" s="300" t="str">
        <f t="shared" si="23"/>
        <v/>
      </c>
      <c r="AE153" s="300" t="str">
        <f t="shared" si="23"/>
        <v/>
      </c>
      <c r="AF153" s="300" t="str">
        <f t="shared" si="23"/>
        <v/>
      </c>
    </row>
    <row r="154" spans="1:32">
      <c r="A154" s="145">
        <v>18</v>
      </c>
      <c r="B154" s="193"/>
      <c r="C154" s="149"/>
      <c r="D154" s="164">
        <v>6</v>
      </c>
      <c r="E154" s="205" t="str">
        <f t="shared" si="18"/>
        <v/>
      </c>
      <c r="F154" s="397" t="str">
        <f t="shared" si="18"/>
        <v/>
      </c>
      <c r="G154" s="149"/>
      <c r="H154" s="149"/>
      <c r="I154" s="149"/>
      <c r="J154" s="149"/>
      <c r="K154" s="149"/>
      <c r="L154" s="149"/>
      <c r="M154" s="195"/>
      <c r="N154" s="149"/>
      <c r="O154" s="296"/>
      <c r="P154" s="297" t="s">
        <v>691</v>
      </c>
      <c r="Q154" s="303" t="str">
        <f>IF(AA152="","",MAX(AA152:AA156))</f>
        <v/>
      </c>
      <c r="R154" s="303" t="str">
        <f>IF(AB152="","",MAX(AB152:AB156))</f>
        <v/>
      </c>
      <c r="S154" s="303" t="str">
        <f>IF(AC152="","",MAX(AC152:AC156))</f>
        <v/>
      </c>
      <c r="T154" s="303" t="str">
        <f t="shared" ref="T154" si="24">IF(AD152="","",MAX(AD152:AD156))</f>
        <v/>
      </c>
      <c r="U154" s="303" t="str">
        <f>IF(AE152="","",MAX(AE152:AE156))</f>
        <v/>
      </c>
      <c r="V154" s="303" t="str">
        <f>IF(AF152="","",MAX(AF152:AF156))</f>
        <v/>
      </c>
      <c r="Y154" s="161"/>
      <c r="Z154" s="297" t="s">
        <v>695</v>
      </c>
      <c r="AA154" s="300" t="str">
        <f t="shared" si="22"/>
        <v/>
      </c>
      <c r="AB154" s="300" t="str">
        <f>IF(OR(R150="",R$153=""),"",ABS(R150-R$153)/R$153)</f>
        <v/>
      </c>
      <c r="AC154" s="300" t="str">
        <f>IF(OR(S150="",S$153=""),"",ABS(S150-S$153)/S$153)</f>
        <v/>
      </c>
      <c r="AD154" s="300" t="str">
        <f>IF(OR(T150="",T$153=""),"",ABS(T150-T$153)/T$153)</f>
        <v/>
      </c>
      <c r="AE154" s="300" t="str">
        <f>IF(OR(U150="",U$153=""),"",ABS(U150-U$153)/U$153)</f>
        <v/>
      </c>
      <c r="AF154" s="300" t="str">
        <f>IF(OR(V150="",V$153=""),"",ABS(V150-V$153)/V$153)</f>
        <v/>
      </c>
    </row>
    <row r="155" spans="1:32" ht="16.2" thickBot="1">
      <c r="A155" s="145">
        <v>19</v>
      </c>
      <c r="B155" s="193"/>
      <c r="C155" s="149"/>
      <c r="D155" s="164">
        <v>8</v>
      </c>
      <c r="E155" s="251" t="str">
        <f t="shared" si="18"/>
        <v/>
      </c>
      <c r="F155" s="408" t="str">
        <f t="shared" si="18"/>
        <v/>
      </c>
      <c r="G155" s="149"/>
      <c r="H155" s="149"/>
      <c r="I155" s="149"/>
      <c r="J155" s="149"/>
      <c r="K155" s="149"/>
      <c r="L155" s="149"/>
      <c r="M155" s="195"/>
      <c r="N155" s="149"/>
      <c r="O155" s="296"/>
      <c r="P155" s="297" t="s">
        <v>180</v>
      </c>
      <c r="Q155" s="298" t="str">
        <f>IF(Q154="","",IF(Q154&lt;0.07,"YES","NO"))</f>
        <v/>
      </c>
      <c r="R155" s="298" t="str">
        <f t="shared" ref="R155:V155" si="25">IF(R154="","",IF(R154&lt;0.07,"YES","NO"))</f>
        <v/>
      </c>
      <c r="S155" s="298" t="str">
        <f t="shared" si="25"/>
        <v/>
      </c>
      <c r="T155" s="298" t="str">
        <f t="shared" si="25"/>
        <v/>
      </c>
      <c r="U155" s="298" t="str">
        <f t="shared" si="25"/>
        <v/>
      </c>
      <c r="V155" s="298" t="str">
        <f t="shared" si="25"/>
        <v/>
      </c>
      <c r="Y155" s="161"/>
      <c r="Z155" s="297" t="s">
        <v>696</v>
      </c>
      <c r="AA155" s="300" t="str">
        <f t="shared" si="22"/>
        <v/>
      </c>
      <c r="AB155" s="300" t="str">
        <f t="shared" ref="AB155:AF155" si="26">IF(OR(R151="",R$153=""),"",ABS(R151-R$153)/R$153)</f>
        <v/>
      </c>
      <c r="AC155" s="300" t="str">
        <f t="shared" si="26"/>
        <v/>
      </c>
      <c r="AD155" s="300" t="str">
        <f t="shared" si="26"/>
        <v/>
      </c>
      <c r="AE155" s="300" t="str">
        <f t="shared" si="26"/>
        <v/>
      </c>
      <c r="AF155" s="300" t="str">
        <f t="shared" si="26"/>
        <v/>
      </c>
    </row>
    <row r="156" spans="1:32" ht="16.2" thickBot="1">
      <c r="A156" s="145">
        <v>20</v>
      </c>
      <c r="B156" s="304"/>
      <c r="C156" s="171"/>
      <c r="D156" s="171"/>
      <c r="E156" s="171"/>
      <c r="F156" s="171"/>
      <c r="G156" s="171"/>
      <c r="H156" s="171"/>
      <c r="I156" s="171"/>
      <c r="J156" s="171"/>
      <c r="K156" s="171"/>
      <c r="L156" s="171"/>
      <c r="M156" s="305"/>
      <c r="N156" s="149"/>
      <c r="O156" s="296"/>
      <c r="Y156" s="161"/>
      <c r="Z156" s="297" t="s">
        <v>697</v>
      </c>
      <c r="AA156" s="300" t="str">
        <f t="shared" si="22"/>
        <v/>
      </c>
      <c r="AB156" s="300" t="str">
        <f t="shared" ref="AB156:AF156" si="27">IF(OR(R152="",R$153=""),"",ABS(R152-R$153)/R$153)</f>
        <v/>
      </c>
      <c r="AC156" s="300" t="str">
        <f t="shared" si="27"/>
        <v/>
      </c>
      <c r="AD156" s="300" t="str">
        <f t="shared" si="27"/>
        <v/>
      </c>
      <c r="AE156" s="300" t="str">
        <f t="shared" si="27"/>
        <v/>
      </c>
      <c r="AF156" s="300" t="str">
        <f t="shared" si="27"/>
        <v/>
      </c>
    </row>
    <row r="157" spans="1:32" ht="16.2" thickBot="1">
      <c r="A157" s="145">
        <v>21</v>
      </c>
      <c r="B157" s="193"/>
      <c r="C157" s="299" t="s">
        <v>175</v>
      </c>
      <c r="D157" s="149"/>
      <c r="E157" s="149"/>
      <c r="F157" s="149"/>
      <c r="G157" s="149"/>
      <c r="H157" s="149"/>
      <c r="I157" s="149"/>
      <c r="J157" s="149"/>
      <c r="K157" s="149"/>
      <c r="L157" s="149"/>
      <c r="M157" s="195"/>
      <c r="N157" s="149"/>
      <c r="O157" s="296"/>
      <c r="P157" s="306" t="s">
        <v>163</v>
      </c>
      <c r="Q157" s="307" t="s">
        <v>692</v>
      </c>
      <c r="Y157" s="161"/>
    </row>
    <row r="158" spans="1:32">
      <c r="A158" s="145">
        <v>22</v>
      </c>
      <c r="B158" s="193"/>
      <c r="C158" s="149"/>
      <c r="D158" s="165" t="s">
        <v>203</v>
      </c>
      <c r="E158" s="196" t="str">
        <f t="shared" ref="E158:J158" si="28">IF(Q136="","",Q136)</f>
        <v/>
      </c>
      <c r="F158" s="197" t="str">
        <f t="shared" si="28"/>
        <v/>
      </c>
      <c r="G158" s="197" t="str">
        <f t="shared" si="28"/>
        <v/>
      </c>
      <c r="H158" s="197" t="str">
        <f t="shared" si="28"/>
        <v/>
      </c>
      <c r="I158" s="197" t="str">
        <f t="shared" si="28"/>
        <v/>
      </c>
      <c r="J158" s="412" t="str">
        <f t="shared" si="28"/>
        <v/>
      </c>
      <c r="K158" s="149"/>
      <c r="L158" s="149"/>
      <c r="M158" s="195"/>
      <c r="N158" s="149"/>
      <c r="O158" s="296"/>
      <c r="Y158" s="161"/>
    </row>
    <row r="159" spans="1:32">
      <c r="A159" s="145">
        <v>23</v>
      </c>
      <c r="B159" s="193"/>
      <c r="C159" s="149"/>
      <c r="D159" s="165" t="s">
        <v>29</v>
      </c>
      <c r="E159" s="205" t="str">
        <f t="shared" ref="E159:J164" si="29">IF(Q136="","",Q136)</f>
        <v/>
      </c>
      <c r="F159" s="206" t="str">
        <f t="shared" si="29"/>
        <v/>
      </c>
      <c r="G159" s="206" t="str">
        <f t="shared" si="29"/>
        <v/>
      </c>
      <c r="H159" s="206" t="str">
        <f t="shared" si="29"/>
        <v/>
      </c>
      <c r="I159" s="206" t="str">
        <f t="shared" si="29"/>
        <v/>
      </c>
      <c r="J159" s="397" t="str">
        <f t="shared" si="29"/>
        <v/>
      </c>
      <c r="K159" s="149"/>
      <c r="L159" s="149"/>
      <c r="M159" s="195"/>
      <c r="N159" s="149"/>
      <c r="O159" s="296"/>
      <c r="Y159" s="161"/>
    </row>
    <row r="160" spans="1:32">
      <c r="A160" s="145">
        <v>24</v>
      </c>
      <c r="B160" s="193"/>
      <c r="C160" s="149"/>
      <c r="D160" s="165" t="s">
        <v>31</v>
      </c>
      <c r="E160" s="205" t="str">
        <f t="shared" si="29"/>
        <v/>
      </c>
      <c r="F160" s="206" t="str">
        <f t="shared" si="29"/>
        <v/>
      </c>
      <c r="G160" s="206" t="str">
        <f t="shared" si="29"/>
        <v/>
      </c>
      <c r="H160" s="206" t="str">
        <f t="shared" si="29"/>
        <v/>
      </c>
      <c r="I160" s="206" t="str">
        <f t="shared" si="29"/>
        <v/>
      </c>
      <c r="J160" s="397" t="str">
        <f t="shared" si="29"/>
        <v/>
      </c>
      <c r="K160" s="149"/>
      <c r="L160" s="149"/>
      <c r="M160" s="195"/>
      <c r="N160" s="149"/>
      <c r="O160" s="296"/>
      <c r="Y160" s="161"/>
    </row>
    <row r="161" spans="1:25">
      <c r="A161" s="145">
        <v>25</v>
      </c>
      <c r="B161" s="193"/>
      <c r="C161" s="149"/>
      <c r="D161" s="165" t="s">
        <v>176</v>
      </c>
      <c r="E161" s="205" t="str">
        <f t="shared" si="29"/>
        <v/>
      </c>
      <c r="F161" s="206" t="str">
        <f t="shared" si="29"/>
        <v/>
      </c>
      <c r="G161" s="206" t="str">
        <f t="shared" si="29"/>
        <v/>
      </c>
      <c r="H161" s="206" t="str">
        <f t="shared" si="29"/>
        <v/>
      </c>
      <c r="I161" s="206" t="str">
        <f t="shared" si="29"/>
        <v/>
      </c>
      <c r="J161" s="397" t="str">
        <f t="shared" si="29"/>
        <v/>
      </c>
      <c r="K161" s="149"/>
      <c r="L161" s="149"/>
      <c r="M161" s="195"/>
      <c r="N161" s="149"/>
      <c r="O161" s="296"/>
      <c r="Y161" s="161"/>
    </row>
    <row r="162" spans="1:25">
      <c r="A162" s="145">
        <v>26</v>
      </c>
      <c r="B162" s="193"/>
      <c r="C162" s="149"/>
      <c r="D162" s="165" t="s">
        <v>177</v>
      </c>
      <c r="E162" s="205" t="str">
        <f t="shared" si="29"/>
        <v/>
      </c>
      <c r="F162" s="206" t="str">
        <f t="shared" si="29"/>
        <v/>
      </c>
      <c r="G162" s="206" t="str">
        <f t="shared" si="29"/>
        <v/>
      </c>
      <c r="H162" s="206" t="str">
        <f t="shared" si="29"/>
        <v/>
      </c>
      <c r="I162" s="206" t="str">
        <f t="shared" si="29"/>
        <v/>
      </c>
      <c r="J162" s="397" t="str">
        <f t="shared" si="29"/>
        <v/>
      </c>
      <c r="K162" s="149"/>
      <c r="L162" s="149"/>
      <c r="M162" s="195"/>
      <c r="N162" s="149"/>
      <c r="O162" s="159"/>
      <c r="P162" s="241" t="s">
        <v>181</v>
      </c>
      <c r="Q162" s="308" t="str">
        <f>IF(Q164&lt;&gt;"",Q164,IF(AB190="","",AB190))</f>
        <v/>
      </c>
      <c r="R162" s="309"/>
      <c r="S162" s="309"/>
      <c r="T162" s="309"/>
      <c r="U162" s="309"/>
      <c r="V162" s="309"/>
      <c r="W162" s="309"/>
      <c r="X162" s="309"/>
      <c r="Y162" s="161"/>
    </row>
    <row r="163" spans="1:25">
      <c r="A163" s="145">
        <v>27</v>
      </c>
      <c r="B163" s="193"/>
      <c r="C163" s="149"/>
      <c r="D163" s="165" t="s">
        <v>178</v>
      </c>
      <c r="E163" s="205" t="str">
        <f t="shared" si="29"/>
        <v/>
      </c>
      <c r="F163" s="206" t="str">
        <f t="shared" si="29"/>
        <v/>
      </c>
      <c r="G163" s="206" t="str">
        <f t="shared" si="29"/>
        <v/>
      </c>
      <c r="H163" s="206" t="str">
        <f t="shared" si="29"/>
        <v/>
      </c>
      <c r="I163" s="206" t="str">
        <f t="shared" si="29"/>
        <v/>
      </c>
      <c r="J163" s="397" t="str">
        <f t="shared" si="29"/>
        <v/>
      </c>
      <c r="K163" s="149"/>
      <c r="L163" s="149"/>
      <c r="M163" s="195"/>
      <c r="N163" s="149"/>
      <c r="O163" s="159"/>
      <c r="P163" s="310" t="s">
        <v>182</v>
      </c>
      <c r="Q163" s="311"/>
      <c r="R163" s="312"/>
      <c r="S163" s="312"/>
      <c r="T163" s="312"/>
      <c r="U163" s="312"/>
      <c r="V163" s="312"/>
      <c r="W163" s="312"/>
      <c r="X163" s="312"/>
      <c r="Y163" s="161"/>
    </row>
    <row r="164" spans="1:25">
      <c r="A164" s="145">
        <v>28</v>
      </c>
      <c r="B164" s="193"/>
      <c r="C164" s="149"/>
      <c r="D164" s="165" t="s">
        <v>179</v>
      </c>
      <c r="E164" s="205" t="str">
        <f t="shared" si="29"/>
        <v/>
      </c>
      <c r="F164" s="206" t="str">
        <f t="shared" si="29"/>
        <v/>
      </c>
      <c r="G164" s="206" t="str">
        <f t="shared" si="29"/>
        <v/>
      </c>
      <c r="H164" s="206" t="str">
        <f t="shared" si="29"/>
        <v/>
      </c>
      <c r="I164" s="206" t="str">
        <f t="shared" si="29"/>
        <v/>
      </c>
      <c r="J164" s="397" t="str">
        <f t="shared" si="29"/>
        <v/>
      </c>
      <c r="K164" s="149"/>
      <c r="L164" s="149"/>
      <c r="M164" s="195"/>
      <c r="N164" s="149"/>
      <c r="O164" s="159"/>
      <c r="P164" s="241" t="s">
        <v>184</v>
      </c>
      <c r="Q164" s="313"/>
      <c r="R164" s="312"/>
      <c r="S164" s="312"/>
      <c r="T164" s="312"/>
      <c r="U164" s="312"/>
      <c r="V164" s="312"/>
      <c r="W164" s="312"/>
      <c r="X164" s="312"/>
      <c r="Y164" s="161"/>
    </row>
    <row r="165" spans="1:25" ht="15.75" customHeight="1" thickBot="1">
      <c r="A165" s="145">
        <v>29</v>
      </c>
      <c r="B165" s="193"/>
      <c r="C165" s="149"/>
      <c r="D165" s="165" t="s">
        <v>723</v>
      </c>
      <c r="E165" s="205" t="str">
        <f>IF(Q142="","",IF(Q142=1,"YES","NO"))</f>
        <v/>
      </c>
      <c r="F165" s="206" t="str">
        <f t="shared" ref="F165:J165" si="30">IF(R142="","",IF(R142=1,"YES","NO"))</f>
        <v/>
      </c>
      <c r="G165" s="206" t="str">
        <f t="shared" si="30"/>
        <v/>
      </c>
      <c r="H165" s="206" t="str">
        <f t="shared" si="30"/>
        <v/>
      </c>
      <c r="I165" s="206" t="str">
        <f t="shared" si="30"/>
        <v/>
      </c>
      <c r="J165" s="397" t="str">
        <f t="shared" si="30"/>
        <v/>
      </c>
      <c r="K165" s="149"/>
      <c r="L165" s="149"/>
      <c r="M165" s="195"/>
      <c r="N165" s="149"/>
      <c r="O165" s="170"/>
      <c r="P165" s="171"/>
      <c r="Q165" s="171"/>
      <c r="R165" s="171"/>
      <c r="S165" s="171"/>
      <c r="T165" s="171"/>
      <c r="U165" s="171"/>
      <c r="V165" s="171"/>
      <c r="W165" s="171"/>
      <c r="X165" s="171"/>
      <c r="Y165" s="172"/>
    </row>
    <row r="166" spans="1:25">
      <c r="A166" s="145">
        <v>30</v>
      </c>
      <c r="B166" s="193"/>
      <c r="C166" s="149"/>
      <c r="D166" s="165" t="s">
        <v>699</v>
      </c>
      <c r="E166" s="595" t="str">
        <f>Q154</f>
        <v/>
      </c>
      <c r="F166" s="314" t="str">
        <f t="shared" ref="F166:J166" si="31">IF(R154="","",R154)</f>
        <v/>
      </c>
      <c r="G166" s="314" t="str">
        <f t="shared" si="31"/>
        <v/>
      </c>
      <c r="H166" s="314" t="str">
        <f t="shared" si="31"/>
        <v/>
      </c>
      <c r="I166" s="314" t="str">
        <f t="shared" si="31"/>
        <v/>
      </c>
      <c r="J166" s="596" t="str">
        <f t="shared" si="31"/>
        <v/>
      </c>
      <c r="K166" s="149"/>
      <c r="L166" s="149"/>
      <c r="M166" s="195"/>
      <c r="N166" s="149"/>
      <c r="O166" s="279" t="s">
        <v>186</v>
      </c>
      <c r="P166" s="151"/>
      <c r="Q166" s="151"/>
      <c r="R166" s="315"/>
      <c r="S166" s="189" t="s">
        <v>53</v>
      </c>
      <c r="T166" s="151"/>
      <c r="U166" s="151"/>
      <c r="V166" s="151"/>
      <c r="W166" s="151"/>
      <c r="X166" s="151"/>
      <c r="Y166" s="152"/>
    </row>
    <row r="167" spans="1:25" ht="16.2" thickBot="1">
      <c r="A167" s="145">
        <v>31</v>
      </c>
      <c r="B167" s="193"/>
      <c r="C167" s="149"/>
      <c r="D167" s="316" t="s">
        <v>724</v>
      </c>
      <c r="E167" s="597" t="str">
        <f t="shared" ref="E167:J167" si="32">Q155</f>
        <v/>
      </c>
      <c r="F167" s="598" t="str">
        <f t="shared" si="32"/>
        <v/>
      </c>
      <c r="G167" s="598" t="str">
        <f t="shared" si="32"/>
        <v/>
      </c>
      <c r="H167" s="598" t="str">
        <f t="shared" si="32"/>
        <v/>
      </c>
      <c r="I167" s="598" t="str">
        <f t="shared" si="32"/>
        <v/>
      </c>
      <c r="J167" s="599" t="str">
        <f t="shared" si="32"/>
        <v/>
      </c>
      <c r="K167" s="317"/>
      <c r="L167" s="317"/>
      <c r="M167" s="158"/>
      <c r="N167" s="149"/>
      <c r="O167" s="159"/>
      <c r="P167" s="697" t="s">
        <v>187</v>
      </c>
      <c r="Q167" s="697"/>
      <c r="R167" s="697"/>
      <c r="S167" s="697"/>
      <c r="T167" s="318"/>
      <c r="U167" s="697" t="s">
        <v>188</v>
      </c>
      <c r="V167" s="697"/>
      <c r="W167" s="149"/>
      <c r="X167" s="149"/>
      <c r="Y167" s="161"/>
    </row>
    <row r="168" spans="1:25" ht="16.2" thickBot="1">
      <c r="A168" s="145">
        <v>32</v>
      </c>
      <c r="B168" s="193"/>
      <c r="C168" s="149"/>
      <c r="D168" s="246" t="s">
        <v>163</v>
      </c>
      <c r="E168" s="156" t="s">
        <v>210</v>
      </c>
      <c r="F168" s="317"/>
      <c r="G168" s="317"/>
      <c r="H168" s="317"/>
      <c r="I168" s="317"/>
      <c r="J168" s="317"/>
      <c r="K168" s="317"/>
      <c r="L168" s="317"/>
      <c r="M168" s="158"/>
      <c r="N168" s="149"/>
      <c r="O168" s="159"/>
      <c r="P168" s="319" t="s">
        <v>189</v>
      </c>
      <c r="Q168" s="319" t="s">
        <v>190</v>
      </c>
      <c r="R168" s="319" t="s">
        <v>191</v>
      </c>
      <c r="S168" s="320" t="s">
        <v>192</v>
      </c>
      <c r="T168" s="318"/>
      <c r="U168" s="698" t="s">
        <v>193</v>
      </c>
      <c r="V168" s="698"/>
      <c r="W168" s="149"/>
      <c r="X168" s="149"/>
      <c r="Y168" s="161"/>
    </row>
    <row r="169" spans="1:25" ht="16.2" thickBot="1">
      <c r="A169" s="145">
        <v>33</v>
      </c>
      <c r="B169" s="193"/>
      <c r="C169" s="149"/>
      <c r="E169" s="307" t="s">
        <v>700</v>
      </c>
      <c r="F169" s="317"/>
      <c r="G169" s="317"/>
      <c r="H169" s="317"/>
      <c r="I169" s="317"/>
      <c r="J169" s="317"/>
      <c r="K169" s="317"/>
      <c r="L169" s="317"/>
      <c r="M169" s="158"/>
      <c r="N169" s="149"/>
      <c r="O169" s="159"/>
      <c r="P169" s="321"/>
      <c r="Q169" s="321"/>
      <c r="R169" s="321"/>
      <c r="S169" s="322"/>
      <c r="T169" s="318"/>
      <c r="U169" s="699" t="str">
        <f>IF(OR(R166=2,R166=3),"NA",IF(OR(P169="",Q169="",R169="",S169=""),"",AVERAGE(P169:S169)))</f>
        <v/>
      </c>
      <c r="V169" s="699"/>
      <c r="W169" s="149"/>
      <c r="X169" s="165" t="s">
        <v>180</v>
      </c>
      <c r="Y169" s="295" t="str">
        <f>IF(U169="","",IF(U169&gt;=160,"Pass","Fail"))</f>
        <v/>
      </c>
    </row>
    <row r="170" spans="1:25" ht="16.2"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25">
      <c r="A171" s="145">
        <v>35</v>
      </c>
      <c r="B171" s="193"/>
      <c r="C171" s="299" t="s">
        <v>186</v>
      </c>
      <c r="D171" s="149"/>
      <c r="E171" s="149"/>
      <c r="F171" s="149"/>
      <c r="G171" s="149"/>
      <c r="H171" s="149"/>
      <c r="I171" s="149"/>
      <c r="J171" s="149"/>
      <c r="K171" s="149"/>
      <c r="L171" s="149"/>
      <c r="M171" s="195"/>
      <c r="N171" s="149"/>
      <c r="O171" s="281" t="s">
        <v>194</v>
      </c>
      <c r="P171" s="149"/>
      <c r="Q171" s="149"/>
      <c r="R171" s="149"/>
      <c r="S171" s="149"/>
      <c r="T171" s="149"/>
      <c r="U171" s="149"/>
      <c r="V171" s="149"/>
      <c r="W171" s="149"/>
      <c r="X171" s="149"/>
      <c r="Y171" s="161"/>
    </row>
    <row r="172" spans="1:25">
      <c r="A172" s="145">
        <v>36</v>
      </c>
      <c r="B172" s="193"/>
      <c r="C172" s="149"/>
      <c r="D172" s="697" t="s">
        <v>187</v>
      </c>
      <c r="E172" s="697"/>
      <c r="F172" s="697"/>
      <c r="G172" s="697"/>
      <c r="H172" s="318"/>
      <c r="I172" s="697" t="s">
        <v>188</v>
      </c>
      <c r="J172" s="697"/>
      <c r="K172" s="149"/>
      <c r="L172" s="149"/>
      <c r="M172" s="195"/>
      <c r="N172" s="149"/>
      <c r="O172" s="323" t="s">
        <v>195</v>
      </c>
      <c r="P172" s="283">
        <f>IF($O$34=1,70,65)</f>
        <v>65</v>
      </c>
      <c r="Q172" s="149"/>
      <c r="R172" s="149"/>
      <c r="S172" s="149"/>
      <c r="T172" s="149"/>
      <c r="U172" s="239"/>
      <c r="V172" s="239"/>
      <c r="W172" s="239"/>
      <c r="X172" s="239"/>
      <c r="Y172" s="324"/>
    </row>
    <row r="173" spans="1:25" ht="16.2" thickBot="1">
      <c r="A173" s="145">
        <v>37</v>
      </c>
      <c r="B173" s="193"/>
      <c r="C173" s="149"/>
      <c r="D173" s="319" t="s">
        <v>189</v>
      </c>
      <c r="E173" s="319" t="s">
        <v>190</v>
      </c>
      <c r="F173" s="319" t="s">
        <v>191</v>
      </c>
      <c r="G173" s="320" t="s">
        <v>192</v>
      </c>
      <c r="H173" s="318"/>
      <c r="I173" s="698" t="s">
        <v>193</v>
      </c>
      <c r="J173" s="698"/>
      <c r="K173" s="149"/>
      <c r="L173" s="149"/>
      <c r="M173" s="195"/>
      <c r="N173" s="149"/>
      <c r="O173" s="159"/>
      <c r="P173" s="700" t="s">
        <v>196</v>
      </c>
      <c r="Q173" s="687" t="s">
        <v>197</v>
      </c>
      <c r="R173" s="687"/>
      <c r="S173" s="687"/>
      <c r="T173" s="325" t="s">
        <v>704</v>
      </c>
      <c r="U173" s="690" t="s">
        <v>198</v>
      </c>
      <c r="V173" s="239"/>
      <c r="W173" s="239"/>
      <c r="X173" s="239"/>
      <c r="Y173" s="324"/>
    </row>
    <row r="174" spans="1:25" ht="16.2" thickBot="1">
      <c r="A174" s="145">
        <v>38</v>
      </c>
      <c r="B174" s="193"/>
      <c r="C174" s="149"/>
      <c r="D174" s="326" t="str">
        <f>IF(P169="","",P169)</f>
        <v/>
      </c>
      <c r="E174" s="326" t="str">
        <f>IF(Q169="","",Q169)</f>
        <v/>
      </c>
      <c r="F174" s="326" t="str">
        <f>IF(R169="","",R169)</f>
        <v/>
      </c>
      <c r="G174" s="327" t="str">
        <f>IF(S169="","",S169)</f>
        <v/>
      </c>
      <c r="H174" s="318"/>
      <c r="I174" s="703" t="str">
        <f>IF(U169="","",U169)</f>
        <v/>
      </c>
      <c r="J174" s="703"/>
      <c r="K174" s="149"/>
      <c r="L174" s="165" t="s">
        <v>180</v>
      </c>
      <c r="M174" s="328" t="str">
        <f>IF(Y169="","",Y169)</f>
        <v/>
      </c>
      <c r="N174" s="149"/>
      <c r="O174" s="159"/>
      <c r="P174" s="700" t="s">
        <v>196</v>
      </c>
      <c r="Q174" s="325" t="s">
        <v>199</v>
      </c>
      <c r="R174" s="329" t="s">
        <v>200</v>
      </c>
      <c r="S174" s="329" t="s">
        <v>201</v>
      </c>
      <c r="T174" s="325" t="s">
        <v>202</v>
      </c>
      <c r="U174" s="690" t="s">
        <v>196</v>
      </c>
      <c r="V174" s="239"/>
      <c r="W174" s="239"/>
      <c r="X174" s="239"/>
      <c r="Y174" s="324"/>
    </row>
    <row r="175" spans="1:25">
      <c r="A175" s="145">
        <v>39</v>
      </c>
      <c r="B175" s="193"/>
      <c r="C175" s="149"/>
      <c r="D175" s="246" t="s">
        <v>163</v>
      </c>
      <c r="E175" s="156" t="s">
        <v>215</v>
      </c>
      <c r="F175" s="149"/>
      <c r="G175" s="149"/>
      <c r="H175" s="149"/>
      <c r="I175" s="149"/>
      <c r="J175" s="149"/>
      <c r="K175" s="149"/>
      <c r="L175" s="149"/>
      <c r="M175" s="195"/>
      <c r="N175" s="149"/>
      <c r="O175" s="323" t="s">
        <v>204</v>
      </c>
      <c r="P175" s="330"/>
      <c r="Q175" s="331"/>
      <c r="R175" s="331"/>
      <c r="S175" s="332"/>
      <c r="T175" s="332"/>
      <c r="U175" s="333"/>
      <c r="V175" s="239"/>
      <c r="W175" s="239"/>
      <c r="X175" s="239"/>
      <c r="Y175" s="324"/>
    </row>
    <row r="176" spans="1:25" ht="16.2" thickBot="1">
      <c r="A176" s="145">
        <v>40</v>
      </c>
      <c r="B176" s="304"/>
      <c r="C176" s="171"/>
      <c r="D176" s="171"/>
      <c r="E176" s="171"/>
      <c r="F176" s="171"/>
      <c r="G176" s="171"/>
      <c r="H176" s="171"/>
      <c r="I176" s="171"/>
      <c r="J176" s="171"/>
      <c r="K176" s="171"/>
      <c r="L176" s="171"/>
      <c r="M176" s="305"/>
      <c r="N176" s="149"/>
      <c r="O176" s="323" t="s">
        <v>205</v>
      </c>
      <c r="P176" s="334"/>
      <c r="Q176" s="335"/>
      <c r="R176" s="335"/>
      <c r="S176" s="336"/>
      <c r="T176" s="336"/>
      <c r="U176" s="337"/>
      <c r="V176" s="239"/>
      <c r="W176" s="239"/>
      <c r="X176" s="239"/>
      <c r="Y176" s="324"/>
    </row>
    <row r="177" spans="1:25">
      <c r="A177" s="145">
        <v>41</v>
      </c>
      <c r="B177" s="193"/>
      <c r="C177" s="299" t="s">
        <v>218</v>
      </c>
      <c r="D177" s="149"/>
      <c r="E177" s="149"/>
      <c r="F177" s="149"/>
      <c r="G177" s="202" t="s">
        <v>217</v>
      </c>
      <c r="H177" s="149"/>
      <c r="I177" s="149"/>
      <c r="J177" s="149"/>
      <c r="K177" s="149"/>
      <c r="L177" s="149"/>
      <c r="M177" s="195"/>
      <c r="N177" s="149"/>
      <c r="O177" s="323" t="s">
        <v>206</v>
      </c>
      <c r="P177" s="334"/>
      <c r="Q177" s="335"/>
      <c r="R177" s="335"/>
      <c r="S177" s="338"/>
      <c r="T177" s="338"/>
      <c r="U177" s="337"/>
      <c r="V177" s="239"/>
      <c r="W177" s="239"/>
      <c r="X177" s="239"/>
      <c r="Y177" s="324"/>
    </row>
    <row r="178" spans="1:25" ht="16.5" customHeight="1" thickBot="1">
      <c r="A178" s="145">
        <v>42</v>
      </c>
      <c r="B178" s="193"/>
      <c r="C178" s="339" t="s">
        <v>195</v>
      </c>
      <c r="D178" s="210"/>
      <c r="E178" s="149"/>
      <c r="F178" s="149"/>
      <c r="G178" s="149"/>
      <c r="H178" s="149"/>
      <c r="I178" s="149"/>
      <c r="J178" s="149"/>
      <c r="K178" s="149"/>
      <c r="L178" s="149"/>
      <c r="M178" s="195"/>
      <c r="N178" s="149"/>
      <c r="O178" s="323" t="s">
        <v>207</v>
      </c>
      <c r="P178" s="340"/>
      <c r="Q178" s="341"/>
      <c r="R178" s="341"/>
      <c r="S178" s="342"/>
      <c r="T178" s="342"/>
      <c r="U178" s="343"/>
      <c r="V178" s="239"/>
      <c r="W178" s="239"/>
      <c r="X178" s="239"/>
      <c r="Y178" s="324"/>
    </row>
    <row r="179" spans="1:25" ht="16.2" thickBot="1">
      <c r="A179" s="145">
        <v>43</v>
      </c>
      <c r="B179" s="193"/>
      <c r="C179" s="292">
        <f>IF(P172="","",P172)</f>
        <v>65</v>
      </c>
      <c r="D179" s="704" t="s">
        <v>219</v>
      </c>
      <c r="E179" s="704"/>
      <c r="F179" s="704"/>
      <c r="G179" s="704"/>
      <c r="H179" s="704"/>
      <c r="I179" s="704"/>
      <c r="J179" s="239"/>
      <c r="K179" s="239"/>
      <c r="L179" s="239"/>
      <c r="M179" s="195"/>
      <c r="N179" s="149"/>
      <c r="O179" s="159"/>
      <c r="P179" s="149"/>
      <c r="Q179" s="156" t="s">
        <v>208</v>
      </c>
      <c r="R179" s="149"/>
      <c r="S179" s="149"/>
      <c r="T179" s="239"/>
      <c r="U179" s="239"/>
      <c r="V179" s="239"/>
      <c r="W179" s="239"/>
      <c r="X179" s="239"/>
      <c r="Y179" s="324"/>
    </row>
    <row r="180" spans="1:25">
      <c r="A180" s="145">
        <v>44</v>
      </c>
      <c r="B180" s="193"/>
      <c r="C180" s="210"/>
      <c r="D180" s="700" t="s">
        <v>196</v>
      </c>
      <c r="E180" s="687" t="s">
        <v>197</v>
      </c>
      <c r="F180" s="687"/>
      <c r="G180" s="687"/>
      <c r="H180" s="325" t="s">
        <v>704</v>
      </c>
      <c r="I180" s="705" t="s">
        <v>198</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00" t="s">
        <v>196</v>
      </c>
      <c r="E181" s="325" t="s">
        <v>199</v>
      </c>
      <c r="F181" s="329" t="s">
        <v>200</v>
      </c>
      <c r="G181" s="329" t="s">
        <v>201</v>
      </c>
      <c r="H181" s="325" t="s">
        <v>202</v>
      </c>
      <c r="I181" s="705" t="s">
        <v>202</v>
      </c>
      <c r="J181" s="239"/>
      <c r="K181" s="239"/>
      <c r="L181" s="239"/>
      <c r="M181" s="195"/>
      <c r="N181" s="149"/>
      <c r="O181" s="344"/>
      <c r="P181" s="685" t="s">
        <v>209</v>
      </c>
      <c r="Q181" s="686"/>
      <c r="R181" s="686"/>
      <c r="S181" s="686"/>
      <c r="T181" s="686"/>
      <c r="U181" s="687"/>
      <c r="V181" s="239"/>
      <c r="W181" s="239"/>
      <c r="X181" s="239"/>
      <c r="Y181" s="324"/>
    </row>
    <row r="182" spans="1:25" ht="15.75" customHeight="1">
      <c r="A182" s="145">
        <v>46</v>
      </c>
      <c r="B182" s="193"/>
      <c r="C182" s="165" t="s">
        <v>204</v>
      </c>
      <c r="D182" s="345" t="str">
        <f t="shared" ref="D182:I187" si="33">IF(P184="","",P184)</f>
        <v/>
      </c>
      <c r="E182" s="346" t="str">
        <f t="shared" si="33"/>
        <v/>
      </c>
      <c r="F182" s="346" t="str">
        <f t="shared" si="33"/>
        <v/>
      </c>
      <c r="G182" s="346" t="str">
        <f t="shared" si="33"/>
        <v/>
      </c>
      <c r="H182" s="347" t="str">
        <f t="shared" si="33"/>
        <v/>
      </c>
      <c r="I182" s="348" t="str">
        <f t="shared" si="33"/>
        <v/>
      </c>
      <c r="J182" s="239"/>
      <c r="K182" s="239"/>
      <c r="L182" s="239"/>
      <c r="M182" s="195"/>
      <c r="N182" s="149"/>
      <c r="O182" s="344"/>
      <c r="P182" s="349" t="s">
        <v>196</v>
      </c>
      <c r="Q182" s="689" t="s">
        <v>197</v>
      </c>
      <c r="R182" s="686"/>
      <c r="S182" s="687"/>
      <c r="T182" s="539" t="s">
        <v>704</v>
      </c>
      <c r="U182" s="690" t="s">
        <v>198</v>
      </c>
      <c r="V182" s="239"/>
      <c r="W182" s="239"/>
      <c r="X182" s="239"/>
      <c r="Y182" s="324"/>
    </row>
    <row r="183" spans="1:25" ht="16.2" thickBot="1">
      <c r="A183" s="145">
        <v>47</v>
      </c>
      <c r="B183" s="193"/>
      <c r="C183" s="165" t="s">
        <v>205</v>
      </c>
      <c r="D183" s="345" t="str">
        <f t="shared" si="33"/>
        <v/>
      </c>
      <c r="E183" s="346" t="str">
        <f t="shared" si="33"/>
        <v/>
      </c>
      <c r="F183" s="346" t="str">
        <f t="shared" si="33"/>
        <v/>
      </c>
      <c r="G183" s="346" t="str">
        <f t="shared" si="33"/>
        <v/>
      </c>
      <c r="H183" s="347" t="str">
        <f t="shared" si="33"/>
        <v/>
      </c>
      <c r="I183" s="348" t="str">
        <f t="shared" si="33"/>
        <v/>
      </c>
      <c r="J183" s="239"/>
      <c r="K183" s="239"/>
      <c r="L183" s="239"/>
      <c r="M183" s="195"/>
      <c r="N183" s="149"/>
      <c r="O183" s="344"/>
      <c r="P183" s="349" t="s">
        <v>196</v>
      </c>
      <c r="Q183" s="329" t="s">
        <v>199</v>
      </c>
      <c r="R183" s="329" t="s">
        <v>200</v>
      </c>
      <c r="S183" s="329" t="s">
        <v>201</v>
      </c>
      <c r="T183" s="329" t="s">
        <v>202</v>
      </c>
      <c r="U183" s="690" t="s">
        <v>196</v>
      </c>
      <c r="V183" s="239"/>
      <c r="W183" s="239"/>
      <c r="X183" s="239"/>
      <c r="Y183" s="324"/>
    </row>
    <row r="184" spans="1:25">
      <c r="A184" s="145">
        <v>48</v>
      </c>
      <c r="B184" s="193"/>
      <c r="C184" s="165" t="s">
        <v>206</v>
      </c>
      <c r="D184" s="345" t="str">
        <f t="shared" si="33"/>
        <v/>
      </c>
      <c r="E184" s="346" t="str">
        <f t="shared" si="33"/>
        <v/>
      </c>
      <c r="F184" s="346" t="str">
        <f t="shared" si="33"/>
        <v/>
      </c>
      <c r="G184" s="346" t="str">
        <f t="shared" si="33"/>
        <v/>
      </c>
      <c r="H184" s="347" t="str">
        <f t="shared" si="33"/>
        <v/>
      </c>
      <c r="I184" s="348" t="str">
        <f t="shared" si="33"/>
        <v/>
      </c>
      <c r="J184" s="239"/>
      <c r="K184" s="239"/>
      <c r="L184" s="239"/>
      <c r="M184" s="195"/>
      <c r="N184" s="149"/>
      <c r="O184" s="323" t="s">
        <v>204</v>
      </c>
      <c r="P184" s="350" t="str">
        <f t="shared" ref="P184:U187" si="34">IF(OR(P175="",$P$172=""),"",P175/$P$172)</f>
        <v/>
      </c>
      <c r="Q184" s="351" t="str">
        <f t="shared" si="34"/>
        <v/>
      </c>
      <c r="R184" s="351" t="str">
        <f t="shared" si="34"/>
        <v/>
      </c>
      <c r="S184" s="351" t="str">
        <f t="shared" si="34"/>
        <v/>
      </c>
      <c r="T184" s="351" t="str">
        <f t="shared" si="34"/>
        <v/>
      </c>
      <c r="U184" s="352" t="str">
        <f t="shared" si="34"/>
        <v/>
      </c>
      <c r="V184" s="239"/>
      <c r="W184" s="239"/>
      <c r="X184" s="239"/>
      <c r="Y184" s="324"/>
    </row>
    <row r="185" spans="1:25" ht="16.2" thickBot="1">
      <c r="A185" s="145">
        <v>49</v>
      </c>
      <c r="B185" s="193"/>
      <c r="C185" s="165" t="s">
        <v>207</v>
      </c>
      <c r="D185" s="345" t="str">
        <f t="shared" si="33"/>
        <v/>
      </c>
      <c r="E185" s="346" t="str">
        <f t="shared" si="33"/>
        <v/>
      </c>
      <c r="F185" s="346" t="str">
        <f t="shared" si="33"/>
        <v/>
      </c>
      <c r="G185" s="346" t="str">
        <f t="shared" si="33"/>
        <v/>
      </c>
      <c r="H185" s="347" t="str">
        <f t="shared" si="33"/>
        <v/>
      </c>
      <c r="I185" s="348" t="str">
        <f t="shared" si="33"/>
        <v/>
      </c>
      <c r="J185" s="239"/>
      <c r="K185" s="239"/>
      <c r="L185" s="239"/>
      <c r="M185" s="195"/>
      <c r="N185" s="149"/>
      <c r="O185" s="323" t="s">
        <v>205</v>
      </c>
      <c r="P185" s="353" t="str">
        <f t="shared" si="34"/>
        <v/>
      </c>
      <c r="Q185" s="354" t="str">
        <f t="shared" si="34"/>
        <v/>
      </c>
      <c r="R185" s="354" t="str">
        <f t="shared" si="34"/>
        <v/>
      </c>
      <c r="S185" s="354" t="str">
        <f t="shared" si="34"/>
        <v/>
      </c>
      <c r="T185" s="354" t="str">
        <f t="shared" si="34"/>
        <v/>
      </c>
      <c r="U185" s="355" t="str">
        <f t="shared" si="34"/>
        <v/>
      </c>
      <c r="V185" s="239"/>
      <c r="W185" s="239"/>
      <c r="X185" s="239"/>
      <c r="Y185" s="324"/>
    </row>
    <row r="186" spans="1:25">
      <c r="A186" s="145">
        <v>50</v>
      </c>
      <c r="B186" s="193"/>
      <c r="C186" s="165" t="s">
        <v>222</v>
      </c>
      <c r="D186" s="356" t="str">
        <f t="shared" si="33"/>
        <v/>
      </c>
      <c r="E186" s="357" t="str">
        <f t="shared" si="33"/>
        <v/>
      </c>
      <c r="F186" s="357" t="str">
        <f t="shared" si="33"/>
        <v/>
      </c>
      <c r="G186" s="357" t="str">
        <f t="shared" si="33"/>
        <v/>
      </c>
      <c r="H186" s="358" t="str">
        <f t="shared" si="33"/>
        <v/>
      </c>
      <c r="I186" s="359" t="str">
        <f t="shared" si="33"/>
        <v/>
      </c>
      <c r="J186" s="239"/>
      <c r="K186" s="239"/>
      <c r="L186" s="239"/>
      <c r="M186" s="195"/>
      <c r="N186" s="149"/>
      <c r="O186" s="323" t="s">
        <v>206</v>
      </c>
      <c r="P186" s="353" t="str">
        <f t="shared" si="34"/>
        <v/>
      </c>
      <c r="Q186" s="354" t="str">
        <f t="shared" si="34"/>
        <v/>
      </c>
      <c r="R186" s="354" t="str">
        <f t="shared" si="34"/>
        <v/>
      </c>
      <c r="S186" s="354" t="str">
        <f t="shared" si="34"/>
        <v/>
      </c>
      <c r="T186" s="354" t="str">
        <f t="shared" si="34"/>
        <v/>
      </c>
      <c r="U186" s="355" t="str">
        <f t="shared" si="34"/>
        <v/>
      </c>
      <c r="V186" s="239"/>
      <c r="W186" s="239"/>
      <c r="X186" s="239"/>
      <c r="Y186" s="324"/>
    </row>
    <row r="187" spans="1:25" ht="16.2" thickBot="1">
      <c r="A187" s="145">
        <v>51</v>
      </c>
      <c r="B187" s="193"/>
      <c r="C187" s="149" t="s">
        <v>223</v>
      </c>
      <c r="D187" s="360" t="str">
        <f t="shared" si="33"/>
        <v/>
      </c>
      <c r="E187" s="361" t="str">
        <f t="shared" si="33"/>
        <v/>
      </c>
      <c r="F187" s="361" t="str">
        <f t="shared" si="33"/>
        <v/>
      </c>
      <c r="G187" s="361" t="str">
        <f t="shared" si="33"/>
        <v/>
      </c>
      <c r="H187" s="362" t="str">
        <f t="shared" si="33"/>
        <v/>
      </c>
      <c r="I187" s="363" t="str">
        <f t="shared" si="33"/>
        <v/>
      </c>
      <c r="J187" s="149"/>
      <c r="K187" s="149"/>
      <c r="L187" s="149"/>
      <c r="M187" s="195"/>
      <c r="N187" s="149"/>
      <c r="O187" s="323" t="s">
        <v>207</v>
      </c>
      <c r="P187" s="364" t="str">
        <f t="shared" si="34"/>
        <v/>
      </c>
      <c r="Q187" s="365" t="str">
        <f t="shared" si="34"/>
        <v/>
      </c>
      <c r="R187" s="365" t="str">
        <f t="shared" si="34"/>
        <v/>
      </c>
      <c r="S187" s="365" t="str">
        <f t="shared" si="34"/>
        <v/>
      </c>
      <c r="T187" s="365" t="str">
        <f t="shared" si="34"/>
        <v/>
      </c>
      <c r="U187" s="366" t="str">
        <f t="shared" si="34"/>
        <v/>
      </c>
      <c r="V187" s="239"/>
      <c r="W187" s="239"/>
      <c r="X187" s="239"/>
      <c r="Y187" s="324"/>
    </row>
    <row r="188" spans="1:25" ht="16.5" customHeight="1" thickBot="1">
      <c r="A188" s="145">
        <v>52</v>
      </c>
      <c r="B188" s="193"/>
      <c r="C188" s="165" t="s">
        <v>180</v>
      </c>
      <c r="D188" s="367" t="str">
        <f t="shared" ref="D188:I188" si="35">IF(OR(D186="",D187=""),"",IF(OR(D186&gt;0.02,D187&gt;0.02),"NO","YES"))</f>
        <v/>
      </c>
      <c r="E188" s="368" t="str">
        <f t="shared" si="35"/>
        <v/>
      </c>
      <c r="F188" s="368" t="str">
        <f t="shared" si="35"/>
        <v/>
      </c>
      <c r="G188" s="368" t="str">
        <f t="shared" si="35"/>
        <v/>
      </c>
      <c r="H188" s="369" t="str">
        <f t="shared" si="35"/>
        <v/>
      </c>
      <c r="I188" s="370" t="str">
        <f t="shared" si="35"/>
        <v/>
      </c>
      <c r="J188" s="149"/>
      <c r="K188" s="149"/>
      <c r="L188" s="149"/>
      <c r="M188" s="195"/>
      <c r="N188" s="149"/>
      <c r="O188" s="159" t="s">
        <v>211</v>
      </c>
      <c r="P188" s="356" t="str">
        <f t="shared" ref="P188:U188" si="36">IF(OR(P184="",P185=""),"",ABS(P184)+ABS(P185))</f>
        <v/>
      </c>
      <c r="Q188" s="357" t="str">
        <f t="shared" si="36"/>
        <v/>
      </c>
      <c r="R188" s="357" t="str">
        <f t="shared" si="36"/>
        <v/>
      </c>
      <c r="S188" s="357" t="str">
        <f t="shared" si="36"/>
        <v/>
      </c>
      <c r="T188" s="357" t="str">
        <f t="shared" si="36"/>
        <v/>
      </c>
      <c r="U188" s="359" t="str">
        <f t="shared" si="36"/>
        <v/>
      </c>
      <c r="V188" s="239"/>
      <c r="W188" s="239"/>
      <c r="X188" s="239"/>
      <c r="Y188" s="324"/>
    </row>
    <row r="189" spans="1:25" ht="16.2" thickBot="1">
      <c r="A189" s="145">
        <v>53</v>
      </c>
      <c r="B189" s="371"/>
      <c r="C189" s="210"/>
      <c r="D189" s="704" t="s">
        <v>224</v>
      </c>
      <c r="E189" s="704"/>
      <c r="F189" s="704"/>
      <c r="G189" s="704"/>
      <c r="H189" s="704"/>
      <c r="I189" s="704"/>
      <c r="J189" s="239"/>
      <c r="K189" s="239"/>
      <c r="L189" s="239"/>
      <c r="M189" s="240"/>
      <c r="N189" s="149"/>
      <c r="O189" s="159" t="s">
        <v>212</v>
      </c>
      <c r="P189" s="360" t="str">
        <f t="shared" ref="P189:U189" si="37">IF(OR(P186="",P187=""),"",ABS(P186)+ABS(P187))</f>
        <v/>
      </c>
      <c r="Q189" s="361" t="str">
        <f t="shared" si="37"/>
        <v/>
      </c>
      <c r="R189" s="361" t="str">
        <f t="shared" si="37"/>
        <v/>
      </c>
      <c r="S189" s="361" t="str">
        <f t="shared" si="37"/>
        <v/>
      </c>
      <c r="T189" s="361" t="str">
        <f t="shared" si="37"/>
        <v/>
      </c>
      <c r="U189" s="363" t="str">
        <f t="shared" si="37"/>
        <v/>
      </c>
      <c r="V189" s="239"/>
      <c r="W189" s="239"/>
      <c r="X189" s="239"/>
      <c r="Y189" s="324"/>
    </row>
    <row r="190" spans="1:25">
      <c r="A190" s="145">
        <v>54</v>
      </c>
      <c r="B190" s="371"/>
      <c r="C190" s="165" t="s">
        <v>204</v>
      </c>
      <c r="D190" s="345" t="str">
        <f t="shared" ref="D190:I194" si="38">IF(P207="","",P207)</f>
        <v/>
      </c>
      <c r="E190" s="346" t="str">
        <f t="shared" si="38"/>
        <v/>
      </c>
      <c r="F190" s="346" t="str">
        <f t="shared" si="38"/>
        <v/>
      </c>
      <c r="G190" s="346" t="str">
        <f t="shared" si="38"/>
        <v/>
      </c>
      <c r="H190" s="347" t="str">
        <f t="shared" si="38"/>
        <v/>
      </c>
      <c r="I190" s="348" t="str">
        <f t="shared" si="38"/>
        <v/>
      </c>
      <c r="J190" s="239"/>
      <c r="K190" s="239"/>
      <c r="L190" s="239"/>
      <c r="M190" s="240"/>
      <c r="N190" s="149"/>
      <c r="O190" s="159"/>
      <c r="P190" s="246" t="s">
        <v>163</v>
      </c>
      <c r="Q190" s="156" t="s">
        <v>213</v>
      </c>
      <c r="R190" s="149"/>
      <c r="S190" s="149"/>
      <c r="T190" s="149"/>
      <c r="U190" s="149"/>
      <c r="V190" s="149"/>
      <c r="W190" s="149"/>
      <c r="X190" s="149"/>
      <c r="Y190" s="161"/>
    </row>
    <row r="191" spans="1:25">
      <c r="A191" s="145">
        <v>55</v>
      </c>
      <c r="B191" s="371"/>
      <c r="C191" s="165" t="s">
        <v>205</v>
      </c>
      <c r="D191" s="345" t="str">
        <f t="shared" si="38"/>
        <v/>
      </c>
      <c r="E191" s="346" t="str">
        <f t="shared" si="38"/>
        <v/>
      </c>
      <c r="F191" s="346" t="str">
        <f t="shared" si="38"/>
        <v/>
      </c>
      <c r="G191" s="346" t="str">
        <f t="shared" si="38"/>
        <v/>
      </c>
      <c r="H191" s="347" t="str">
        <f t="shared" si="38"/>
        <v/>
      </c>
      <c r="I191" s="348" t="str">
        <f t="shared" si="38"/>
        <v/>
      </c>
      <c r="J191" s="239"/>
      <c r="K191" s="239"/>
      <c r="L191" s="239"/>
      <c r="M191" s="240"/>
      <c r="N191" s="149"/>
      <c r="O191" s="159"/>
      <c r="P191" s="156"/>
      <c r="Q191" s="156" t="s">
        <v>214</v>
      </c>
      <c r="R191" s="149"/>
      <c r="S191" s="149"/>
      <c r="T191" s="149"/>
      <c r="U191" s="149"/>
      <c r="V191" s="149"/>
      <c r="W191" s="149"/>
      <c r="X191" s="149"/>
      <c r="Y191" s="161"/>
    </row>
    <row r="192" spans="1:25">
      <c r="A192" s="145">
        <v>56</v>
      </c>
      <c r="B192" s="371"/>
      <c r="C192" s="165" t="s">
        <v>206</v>
      </c>
      <c r="D192" s="345" t="str">
        <f t="shared" si="38"/>
        <v/>
      </c>
      <c r="E192" s="346" t="str">
        <f t="shared" si="38"/>
        <v/>
      </c>
      <c r="F192" s="346" t="str">
        <f t="shared" si="38"/>
        <v/>
      </c>
      <c r="G192" s="346" t="str">
        <f t="shared" si="38"/>
        <v/>
      </c>
      <c r="H192" s="347" t="str">
        <f t="shared" si="38"/>
        <v/>
      </c>
      <c r="I192" s="348" t="str">
        <f t="shared" si="38"/>
        <v/>
      </c>
      <c r="J192" s="239"/>
      <c r="K192" s="239"/>
      <c r="L192" s="239"/>
      <c r="M192" s="240"/>
      <c r="N192" s="149"/>
      <c r="O192" s="159"/>
      <c r="P192" s="149"/>
      <c r="Q192" s="156" t="s">
        <v>216</v>
      </c>
      <c r="R192" s="149"/>
      <c r="S192" s="149"/>
      <c r="T192" s="149"/>
      <c r="U192" s="149"/>
      <c r="V192" s="149"/>
      <c r="W192" s="149"/>
      <c r="X192" s="149"/>
      <c r="Y192" s="161"/>
    </row>
    <row r="193" spans="1:25">
      <c r="A193" s="145">
        <v>57</v>
      </c>
      <c r="B193" s="371"/>
      <c r="C193" s="165" t="s">
        <v>207</v>
      </c>
      <c r="D193" s="345" t="str">
        <f t="shared" si="38"/>
        <v/>
      </c>
      <c r="E193" s="346" t="str">
        <f t="shared" si="38"/>
        <v/>
      </c>
      <c r="F193" s="346" t="str">
        <f t="shared" si="38"/>
        <v/>
      </c>
      <c r="G193" s="346" t="str">
        <f t="shared" si="38"/>
        <v/>
      </c>
      <c r="H193" s="347" t="str">
        <f t="shared" si="38"/>
        <v/>
      </c>
      <c r="I193" s="348" t="str">
        <f t="shared" si="38"/>
        <v/>
      </c>
      <c r="J193" s="239"/>
      <c r="K193" s="239"/>
      <c r="L193" s="239"/>
      <c r="M193" s="240"/>
      <c r="N193" s="149"/>
      <c r="O193" s="281" t="s">
        <v>217</v>
      </c>
      <c r="P193" s="149"/>
      <c r="Q193" s="149"/>
      <c r="R193" s="149"/>
      <c r="S193" s="149"/>
      <c r="T193" s="149"/>
      <c r="U193" s="149"/>
      <c r="V193" s="149"/>
      <c r="W193" s="149"/>
      <c r="X193" s="149"/>
      <c r="Y193" s="161"/>
    </row>
    <row r="194" spans="1:25" ht="16.2" thickBot="1">
      <c r="A194" s="145">
        <v>58</v>
      </c>
      <c r="B194" s="371"/>
      <c r="C194" s="165" t="s">
        <v>220</v>
      </c>
      <c r="D194" s="360" t="str">
        <f t="shared" si="38"/>
        <v/>
      </c>
      <c r="E194" s="361" t="str">
        <f t="shared" si="38"/>
        <v/>
      </c>
      <c r="F194" s="361" t="str">
        <f t="shared" si="38"/>
        <v/>
      </c>
      <c r="G194" s="361" t="str">
        <f t="shared" si="38"/>
        <v/>
      </c>
      <c r="H194" s="362" t="str">
        <f t="shared" si="38"/>
        <v/>
      </c>
      <c r="I194" s="363" t="str">
        <f t="shared" si="38"/>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180</v>
      </c>
      <c r="D195" s="372" t="str">
        <f>IF(OR(D190="",D191="",D192="",D193="",D194=""),"",IF(AND(D190&lt;=0.02,D191&lt;=0.02,D192&lt;=0.02,D193&lt;=0.02,D194&lt;=0.01),"YES","NO"))</f>
        <v/>
      </c>
      <c r="E195" s="368" t="str">
        <f t="shared" ref="E195:I195" si="39">IF(OR(E190="",E191="",E192="",E193="",E194=""),"",IF(AND(E190&lt;=0.02,E191&lt;=0.02,E192&lt;=0.02,E193&lt;=0.02,E194&lt;=0.01),"YES","NO"))</f>
        <v/>
      </c>
      <c r="F195" s="368" t="str">
        <f t="shared" si="39"/>
        <v/>
      </c>
      <c r="G195" s="368" t="str">
        <f t="shared" si="39"/>
        <v/>
      </c>
      <c r="H195" s="369" t="str">
        <f t="shared" si="39"/>
        <v/>
      </c>
      <c r="I195" s="370" t="str">
        <f t="shared" si="39"/>
        <v/>
      </c>
      <c r="J195" s="239"/>
      <c r="K195" s="239"/>
      <c r="L195" s="239"/>
      <c r="M195" s="240"/>
      <c r="N195" s="149"/>
      <c r="O195" s="159"/>
      <c r="P195" s="349" t="s">
        <v>196</v>
      </c>
      <c r="Q195" s="329" t="s">
        <v>197</v>
      </c>
      <c r="R195" s="329"/>
      <c r="S195" s="329"/>
      <c r="T195" s="539" t="s">
        <v>704</v>
      </c>
      <c r="U195" s="690" t="s">
        <v>198</v>
      </c>
      <c r="V195" s="239"/>
      <c r="W195" s="239"/>
      <c r="X195" s="239"/>
      <c r="Y195" s="324"/>
    </row>
    <row r="196" spans="1:25" ht="16.2" thickBot="1">
      <c r="A196" s="145">
        <v>60</v>
      </c>
      <c r="B196" s="371"/>
      <c r="C196" s="246" t="s">
        <v>163</v>
      </c>
      <c r="D196" s="156" t="s">
        <v>225</v>
      </c>
      <c r="E196" s="239"/>
      <c r="F196" s="239"/>
      <c r="G196" s="239"/>
      <c r="H196" s="239"/>
      <c r="I196" s="239"/>
      <c r="J196" s="239"/>
      <c r="K196" s="239"/>
      <c r="L196" s="239"/>
      <c r="M196" s="240"/>
      <c r="N196" s="149"/>
      <c r="O196" s="159"/>
      <c r="P196" s="349" t="s">
        <v>196</v>
      </c>
      <c r="Q196" s="329" t="s">
        <v>199</v>
      </c>
      <c r="R196" s="329" t="s">
        <v>200</v>
      </c>
      <c r="S196" s="329" t="s">
        <v>201</v>
      </c>
      <c r="T196" s="329" t="s">
        <v>202</v>
      </c>
      <c r="U196" s="690" t="s">
        <v>196</v>
      </c>
      <c r="V196" s="239"/>
      <c r="W196" s="239"/>
      <c r="X196" s="239"/>
      <c r="Y196" s="324"/>
    </row>
    <row r="197" spans="1:25">
      <c r="A197" s="145">
        <v>61</v>
      </c>
      <c r="B197" s="371"/>
      <c r="C197" s="149"/>
      <c r="D197" s="156" t="s">
        <v>227</v>
      </c>
      <c r="E197" s="239"/>
      <c r="F197" s="239"/>
      <c r="G197" s="239"/>
      <c r="H197" s="239"/>
      <c r="I197" s="239"/>
      <c r="J197" s="239"/>
      <c r="K197" s="239"/>
      <c r="L197" s="239"/>
      <c r="M197" s="240"/>
      <c r="N197" s="149"/>
      <c r="O197" s="323" t="s">
        <v>204</v>
      </c>
      <c r="P197" s="373"/>
      <c r="Q197" s="374"/>
      <c r="R197" s="374"/>
      <c r="S197" s="374"/>
      <c r="T197" s="374"/>
      <c r="U197" s="333"/>
      <c r="V197" s="239"/>
      <c r="W197" s="239"/>
      <c r="X197" s="239"/>
      <c r="Y197" s="324"/>
    </row>
    <row r="198" spans="1:25">
      <c r="A198" s="145">
        <v>62</v>
      </c>
      <c r="B198" s="371"/>
      <c r="C198" s="149"/>
      <c r="D198" s="156" t="s">
        <v>228</v>
      </c>
      <c r="E198" s="239"/>
      <c r="F198" s="239"/>
      <c r="G198" s="239"/>
      <c r="H198" s="239"/>
      <c r="I198" s="239"/>
      <c r="J198" s="239"/>
      <c r="K198" s="239"/>
      <c r="L198" s="239"/>
      <c r="M198" s="240"/>
      <c r="N198" s="149"/>
      <c r="O198" s="323" t="s">
        <v>205</v>
      </c>
      <c r="P198" s="375"/>
      <c r="Q198" s="376"/>
      <c r="R198" s="376"/>
      <c r="S198" s="376"/>
      <c r="T198" s="377"/>
      <c r="U198" s="337"/>
      <c r="V198" s="239"/>
      <c r="W198" s="239"/>
      <c r="X198" s="239"/>
      <c r="Y198" s="324"/>
    </row>
    <row r="199" spans="1:25">
      <c r="A199" s="145">
        <v>63</v>
      </c>
      <c r="B199" s="371"/>
      <c r="C199" s="149"/>
      <c r="D199" s="156" t="s">
        <v>229</v>
      </c>
      <c r="E199" s="239"/>
      <c r="F199" s="239"/>
      <c r="G199" s="239"/>
      <c r="H199" s="239"/>
      <c r="I199" s="239"/>
      <c r="J199" s="239"/>
      <c r="K199" s="239"/>
      <c r="L199" s="239"/>
      <c r="M199" s="240"/>
      <c r="N199" s="149"/>
      <c r="O199" s="323" t="s">
        <v>206</v>
      </c>
      <c r="P199" s="375"/>
      <c r="Q199" s="376"/>
      <c r="R199" s="376"/>
      <c r="S199" s="376"/>
      <c r="T199" s="376"/>
      <c r="U199" s="337"/>
      <c r="V199" s="239"/>
      <c r="W199" s="239"/>
      <c r="X199" s="239"/>
      <c r="Y199" s="324"/>
    </row>
    <row r="200" spans="1:25">
      <c r="A200" s="145">
        <v>64</v>
      </c>
      <c r="B200" s="371"/>
      <c r="C200" s="149"/>
      <c r="D200" s="156" t="s">
        <v>230</v>
      </c>
      <c r="E200" s="239"/>
      <c r="F200" s="239"/>
      <c r="G200" s="239"/>
      <c r="H200" s="239"/>
      <c r="I200" s="239"/>
      <c r="J200" s="239"/>
      <c r="K200" s="239"/>
      <c r="L200" s="239"/>
      <c r="M200" s="240"/>
      <c r="N200" s="149"/>
      <c r="O200" s="323" t="s">
        <v>207</v>
      </c>
      <c r="P200" s="375"/>
      <c r="Q200" s="376"/>
      <c r="R200" s="376"/>
      <c r="S200" s="376"/>
      <c r="T200" s="376"/>
      <c r="U200" s="337"/>
      <c r="V200" s="239"/>
      <c r="W200" s="239"/>
      <c r="X200" s="239"/>
      <c r="Y200" s="324"/>
    </row>
    <row r="201" spans="1:25" ht="16.2" thickBot="1">
      <c r="A201" s="145">
        <v>65</v>
      </c>
      <c r="B201" s="371"/>
      <c r="C201" s="194"/>
      <c r="D201" s="317" t="s">
        <v>231</v>
      </c>
      <c r="E201" s="239"/>
      <c r="F201" s="239"/>
      <c r="G201" s="239"/>
      <c r="H201" s="239"/>
      <c r="I201" s="239"/>
      <c r="J201" s="239"/>
      <c r="K201" s="239"/>
      <c r="L201" s="239"/>
      <c r="M201" s="240"/>
      <c r="N201" s="149"/>
      <c r="O201" s="323" t="s">
        <v>220</v>
      </c>
      <c r="P201" s="378"/>
      <c r="Q201" s="379"/>
      <c r="R201" s="379"/>
      <c r="S201" s="379"/>
      <c r="T201" s="379"/>
      <c r="U201" s="343"/>
      <c r="V201" s="239"/>
      <c r="W201" s="239"/>
      <c r="X201" s="239"/>
      <c r="Y201" s="324"/>
    </row>
    <row r="202" spans="1:25" ht="16.2" thickBot="1">
      <c r="A202" s="145">
        <v>66</v>
      </c>
      <c r="B202" s="380"/>
      <c r="C202" s="381"/>
      <c r="D202" s="381"/>
      <c r="E202" s="381"/>
      <c r="F202" s="381"/>
      <c r="G202" s="381"/>
      <c r="H202" s="381"/>
      <c r="I202" s="381"/>
      <c r="J202" s="381"/>
      <c r="K202" s="381"/>
      <c r="L202" s="381"/>
      <c r="M202" s="382"/>
      <c r="N202" s="149"/>
      <c r="O202" s="159"/>
      <c r="P202" s="149"/>
      <c r="Q202" s="156" t="s">
        <v>221</v>
      </c>
      <c r="R202" s="149"/>
      <c r="S202" s="149"/>
      <c r="T202" s="149"/>
      <c r="U202" s="194"/>
      <c r="V202" s="194"/>
      <c r="W202" s="194"/>
      <c r="X202" s="194"/>
      <c r="Y202" s="161"/>
    </row>
    <row r="203" spans="1:25" ht="16.2" thickTop="1">
      <c r="A203" s="145">
        <v>67</v>
      </c>
      <c r="B203" s="149"/>
      <c r="C203" s="241" t="s">
        <v>3</v>
      </c>
      <c r="D203" s="582"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91</v>
      </c>
      <c r="D204" s="244" t="str">
        <f>IF($R$14="","",$R$14)</f>
        <v/>
      </c>
      <c r="E204" s="156"/>
      <c r="F204" s="156"/>
      <c r="G204" s="156"/>
      <c r="H204" s="156"/>
      <c r="I204" s="156"/>
      <c r="J204" s="156"/>
      <c r="K204" s="156"/>
      <c r="L204" s="241" t="s">
        <v>16</v>
      </c>
      <c r="M204" s="243" t="str">
        <f>IF($R$13="","",$R$13)</f>
        <v/>
      </c>
      <c r="N204" s="149"/>
      <c r="O204" s="344"/>
      <c r="P204" s="688" t="s">
        <v>209</v>
      </c>
      <c r="Q204" s="688"/>
      <c r="R204" s="688"/>
      <c r="S204" s="688"/>
      <c r="T204" s="688"/>
      <c r="U204" s="688"/>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196</v>
      </c>
      <c r="Q205" s="689" t="s">
        <v>197</v>
      </c>
      <c r="R205" s="686"/>
      <c r="S205" s="687"/>
      <c r="T205" s="539" t="s">
        <v>704</v>
      </c>
      <c r="U205" s="690" t="s">
        <v>198</v>
      </c>
      <c r="V205" s="239"/>
      <c r="W205" s="239"/>
      <c r="X205" s="239"/>
      <c r="Y205" s="324"/>
    </row>
    <row r="206" spans="1:25" ht="18" thickBot="1">
      <c r="A206" s="145">
        <v>2</v>
      </c>
      <c r="B206" s="149"/>
      <c r="C206" s="149"/>
      <c r="D206" s="149"/>
      <c r="E206" s="149"/>
      <c r="F206" s="149"/>
      <c r="G206" s="149"/>
      <c r="H206" s="180" t="s">
        <v>51</v>
      </c>
      <c r="I206" s="149"/>
      <c r="J206" s="149"/>
      <c r="K206" s="149"/>
      <c r="L206" s="149"/>
      <c r="M206" s="246" t="str">
        <f>$H$5</f>
        <v>Mammography System Compliance Inspection</v>
      </c>
      <c r="N206" s="149"/>
      <c r="O206" s="344"/>
      <c r="P206" s="349" t="s">
        <v>196</v>
      </c>
      <c r="Q206" s="329" t="s">
        <v>199</v>
      </c>
      <c r="R206" s="329" t="s">
        <v>200</v>
      </c>
      <c r="S206" s="329" t="s">
        <v>201</v>
      </c>
      <c r="T206" s="329" t="s">
        <v>202</v>
      </c>
      <c r="U206" s="690" t="s">
        <v>196</v>
      </c>
      <c r="V206" s="239"/>
      <c r="W206" s="239"/>
      <c r="X206" s="239"/>
      <c r="Y206" s="324"/>
    </row>
    <row r="207" spans="1:25" ht="16.2" thickTop="1">
      <c r="A207" s="145">
        <v>3</v>
      </c>
      <c r="B207" s="184"/>
      <c r="C207" s="186" t="str">
        <f>O232</f>
        <v>AEC Thickness Tracking – 2D</v>
      </c>
      <c r="D207" s="185"/>
      <c r="E207" s="185"/>
      <c r="F207" s="185"/>
      <c r="G207" s="185"/>
      <c r="H207" s="185"/>
      <c r="I207" s="462" t="s">
        <v>714</v>
      </c>
      <c r="J207" s="715">
        <f t="shared" ref="J207:J208" si="40">IF(V232="","",V232)</f>
        <v>4</v>
      </c>
      <c r="K207" s="185"/>
      <c r="L207" s="185"/>
      <c r="M207" s="187"/>
      <c r="N207" s="149"/>
      <c r="O207" s="323" t="s">
        <v>204</v>
      </c>
      <c r="P207" s="350" t="str">
        <f t="shared" ref="P207:U211" si="41">IF(OR(P197="",$P$172=""),"",P197/$P$172)</f>
        <v/>
      </c>
      <c r="Q207" s="351" t="str">
        <f t="shared" si="41"/>
        <v/>
      </c>
      <c r="R207" s="351" t="str">
        <f t="shared" si="41"/>
        <v/>
      </c>
      <c r="S207" s="351" t="str">
        <f t="shared" si="41"/>
        <v/>
      </c>
      <c r="T207" s="351" t="str">
        <f t="shared" si="41"/>
        <v/>
      </c>
      <c r="U207" s="352" t="str">
        <f t="shared" si="41"/>
        <v/>
      </c>
      <c r="V207" s="239"/>
      <c r="W207" s="239"/>
      <c r="X207" s="239"/>
      <c r="Y207" s="324"/>
    </row>
    <row r="208" spans="1:25">
      <c r="A208" s="145">
        <v>4</v>
      </c>
      <c r="B208" s="193"/>
      <c r="C208" s="165" t="s">
        <v>234</v>
      </c>
      <c r="D208" s="309" t="str">
        <f>IF(P233="","",P233)</f>
        <v>Auto-filter</v>
      </c>
      <c r="E208" s="149"/>
      <c r="F208" s="165" t="s">
        <v>235</v>
      </c>
      <c r="G208" s="593">
        <f>IF(S233="","",S233)</f>
        <v>2</v>
      </c>
      <c r="H208" s="149"/>
      <c r="I208" s="165" t="s">
        <v>715</v>
      </c>
      <c r="J208" s="609">
        <f t="shared" si="40"/>
        <v>4</v>
      </c>
      <c r="K208" s="149"/>
      <c r="L208" s="149"/>
      <c r="M208" s="195"/>
      <c r="N208" s="149"/>
      <c r="O208" s="323" t="s">
        <v>205</v>
      </c>
      <c r="P208" s="353" t="str">
        <f t="shared" si="41"/>
        <v/>
      </c>
      <c r="Q208" s="354" t="str">
        <f t="shared" si="41"/>
        <v/>
      </c>
      <c r="R208" s="354" t="str">
        <f t="shared" si="41"/>
        <v/>
      </c>
      <c r="S208" s="354" t="str">
        <f t="shared" si="41"/>
        <v/>
      </c>
      <c r="T208" s="354" t="str">
        <f t="shared" si="41"/>
        <v/>
      </c>
      <c r="U208" s="355" t="str">
        <f t="shared" si="41"/>
        <v/>
      </c>
      <c r="V208" s="239"/>
      <c r="W208" s="239"/>
      <c r="X208" s="239"/>
      <c r="Y208" s="324"/>
    </row>
    <row r="209" spans="1:25">
      <c r="A209" s="145">
        <v>5</v>
      </c>
      <c r="B209" s="193"/>
      <c r="C209" s="149"/>
      <c r="D209" s="473" t="s">
        <v>47</v>
      </c>
      <c r="E209" s="149"/>
      <c r="F209" s="149"/>
      <c r="G209" s="149"/>
      <c r="H209" s="149"/>
      <c r="I209" s="164" t="s">
        <v>236</v>
      </c>
      <c r="J209" s="149"/>
      <c r="K209" s="210"/>
      <c r="L209" s="149"/>
      <c r="M209" s="195"/>
      <c r="N209" s="149"/>
      <c r="O209" s="323" t="s">
        <v>206</v>
      </c>
      <c r="P209" s="353" t="str">
        <f t="shared" si="41"/>
        <v/>
      </c>
      <c r="Q209" s="354" t="str">
        <f t="shared" si="41"/>
        <v/>
      </c>
      <c r="R209" s="354" t="str">
        <f t="shared" si="41"/>
        <v/>
      </c>
      <c r="S209" s="354" t="str">
        <f t="shared" si="41"/>
        <v/>
      </c>
      <c r="T209" s="354" t="str">
        <f t="shared" si="41"/>
        <v/>
      </c>
      <c r="U209" s="355" t="str">
        <f t="shared" si="41"/>
        <v/>
      </c>
      <c r="V209" s="239"/>
      <c r="W209" s="239"/>
      <c r="X209" s="239"/>
      <c r="Y209" s="324"/>
    </row>
    <row r="210" spans="1:25" ht="16.2" thickBot="1">
      <c r="A210" s="145">
        <v>6</v>
      </c>
      <c r="B210" s="193"/>
      <c r="C210" s="149"/>
      <c r="D210" s="164" t="s">
        <v>238</v>
      </c>
      <c r="E210" s="164" t="s">
        <v>239</v>
      </c>
      <c r="F210" s="164" t="s">
        <v>240</v>
      </c>
      <c r="G210" s="164" t="s">
        <v>50</v>
      </c>
      <c r="H210" s="164" t="s">
        <v>241</v>
      </c>
      <c r="I210" s="164" t="s">
        <v>242</v>
      </c>
      <c r="J210" s="164" t="s">
        <v>243</v>
      </c>
      <c r="K210" s="210"/>
      <c r="L210" s="149"/>
      <c r="M210" s="195"/>
      <c r="N210" s="149"/>
      <c r="O210" s="323" t="s">
        <v>207</v>
      </c>
      <c r="P210" s="353" t="str">
        <f t="shared" si="41"/>
        <v/>
      </c>
      <c r="Q210" s="354" t="str">
        <f t="shared" si="41"/>
        <v/>
      </c>
      <c r="R210" s="354" t="str">
        <f t="shared" si="41"/>
        <v/>
      </c>
      <c r="S210" s="354" t="str">
        <f t="shared" si="41"/>
        <v/>
      </c>
      <c r="T210" s="354" t="str">
        <f t="shared" si="41"/>
        <v/>
      </c>
      <c r="U210" s="355" t="str">
        <f t="shared" si="41"/>
        <v/>
      </c>
      <c r="V210" s="239"/>
      <c r="W210" s="239"/>
      <c r="X210" s="239"/>
      <c r="Y210" s="324"/>
    </row>
    <row r="211" spans="1:25" ht="16.2" thickBot="1">
      <c r="A211" s="145">
        <v>7</v>
      </c>
      <c r="B211" s="193"/>
      <c r="C211" s="149"/>
      <c r="D211" s="196">
        <f t="shared" ref="D211:G218" si="42">IF(P236="","",P236)</f>
        <v>2</v>
      </c>
      <c r="E211" s="197" t="str">
        <f t="shared" si="42"/>
        <v/>
      </c>
      <c r="F211" s="197" t="str">
        <f t="shared" si="42"/>
        <v/>
      </c>
      <c r="G211" s="197" t="str">
        <f t="shared" si="42"/>
        <v/>
      </c>
      <c r="H211" s="605" t="str">
        <f>IF(U236="","",U236)</f>
        <v/>
      </c>
      <c r="I211" s="197" t="str">
        <f t="shared" ref="I211:J218" si="43">IF(V236="","",V236)</f>
        <v/>
      </c>
      <c r="J211" s="359" t="str">
        <f t="shared" si="43"/>
        <v/>
      </c>
      <c r="K211" s="210"/>
      <c r="L211" s="149"/>
      <c r="M211" s="195"/>
      <c r="N211" s="149"/>
      <c r="O211" s="323" t="s">
        <v>220</v>
      </c>
      <c r="P211" s="364" t="str">
        <f t="shared" si="41"/>
        <v/>
      </c>
      <c r="Q211" s="365" t="str">
        <f t="shared" si="41"/>
        <v/>
      </c>
      <c r="R211" s="365" t="str">
        <f t="shared" si="41"/>
        <v/>
      </c>
      <c r="S211" s="365" t="str">
        <f t="shared" si="41"/>
        <v/>
      </c>
      <c r="T211" s="365" t="str">
        <f t="shared" si="41"/>
        <v/>
      </c>
      <c r="U211" s="366" t="str">
        <f t="shared" si="41"/>
        <v/>
      </c>
      <c r="V211" s="239"/>
      <c r="W211" s="239"/>
      <c r="X211" s="239"/>
      <c r="Y211" s="324"/>
    </row>
    <row r="212" spans="1:25">
      <c r="A212" s="145">
        <v>8</v>
      </c>
      <c r="B212" s="193"/>
      <c r="C212" s="149"/>
      <c r="D212" s="205">
        <f t="shared" si="42"/>
        <v>4</v>
      </c>
      <c r="E212" s="206" t="str">
        <f t="shared" si="42"/>
        <v/>
      </c>
      <c r="F212" s="206" t="str">
        <f t="shared" si="42"/>
        <v/>
      </c>
      <c r="G212" s="206" t="str">
        <f t="shared" si="42"/>
        <v/>
      </c>
      <c r="H212" s="399" t="str">
        <f t="shared" ref="H212:H219" si="44">IF(U237="","",U237)</f>
        <v/>
      </c>
      <c r="I212" s="206" t="str">
        <f t="shared" si="43"/>
        <v/>
      </c>
      <c r="J212" s="348" t="str">
        <f t="shared" si="43"/>
        <v/>
      </c>
      <c r="K212" s="210"/>
      <c r="L212" s="149"/>
      <c r="M212" s="195"/>
      <c r="N212" s="149"/>
      <c r="O212" s="214"/>
      <c r="P212" s="255" t="s">
        <v>118</v>
      </c>
      <c r="Q212" s="239"/>
      <c r="R212" s="239"/>
      <c r="S212" s="239"/>
      <c r="T212" s="239"/>
      <c r="U212" s="239"/>
      <c r="V212" s="239"/>
      <c r="W212" s="239"/>
      <c r="X212" s="239"/>
      <c r="Y212" s="161"/>
    </row>
    <row r="213" spans="1:25">
      <c r="A213" s="145">
        <v>9</v>
      </c>
      <c r="B213" s="193"/>
      <c r="C213" s="149"/>
      <c r="D213" s="205">
        <f t="shared" si="42"/>
        <v>4</v>
      </c>
      <c r="E213" s="206">
        <f t="shared" si="42"/>
        <v>0</v>
      </c>
      <c r="F213" s="206">
        <f t="shared" si="42"/>
        <v>0</v>
      </c>
      <c r="G213" s="206" t="str">
        <f t="shared" si="42"/>
        <v/>
      </c>
      <c r="H213" s="399" t="str">
        <f t="shared" si="44"/>
        <v/>
      </c>
      <c r="I213" s="206" t="str">
        <f t="shared" si="43"/>
        <v/>
      </c>
      <c r="J213" s="348" t="str">
        <f t="shared" si="43"/>
        <v/>
      </c>
      <c r="K213" s="210"/>
      <c r="L213" s="149"/>
      <c r="M213" s="195"/>
      <c r="N213" s="149"/>
      <c r="O213" s="214"/>
      <c r="P213" s="255" t="s">
        <v>226</v>
      </c>
      <c r="Q213" s="239"/>
      <c r="R213" s="239"/>
      <c r="S213" s="239"/>
      <c r="T213" s="239"/>
      <c r="U213" s="239"/>
      <c r="V213" s="239"/>
      <c r="W213" s="239"/>
      <c r="X213" s="239"/>
      <c r="Y213" s="161"/>
    </row>
    <row r="214" spans="1:25">
      <c r="A214" s="145">
        <v>10</v>
      </c>
      <c r="B214" s="193"/>
      <c r="C214" s="149"/>
      <c r="D214" s="205">
        <f t="shared" si="42"/>
        <v>4</v>
      </c>
      <c r="E214" s="206">
        <f t="shared" si="42"/>
        <v>0</v>
      </c>
      <c r="F214" s="206">
        <f t="shared" si="42"/>
        <v>0</v>
      </c>
      <c r="G214" s="206" t="str">
        <f t="shared" si="42"/>
        <v/>
      </c>
      <c r="H214" s="399" t="str">
        <f t="shared" si="44"/>
        <v/>
      </c>
      <c r="I214" s="206" t="str">
        <f t="shared" si="43"/>
        <v/>
      </c>
      <c r="J214" s="348" t="str">
        <f t="shared" si="43"/>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42"/>
        <v>4</v>
      </c>
      <c r="E215" s="206">
        <f t="shared" si="42"/>
        <v>0</v>
      </c>
      <c r="F215" s="206">
        <f t="shared" si="42"/>
        <v>0</v>
      </c>
      <c r="G215" s="206" t="str">
        <f t="shared" si="42"/>
        <v/>
      </c>
      <c r="H215" s="399" t="str">
        <f t="shared" si="44"/>
        <v/>
      </c>
      <c r="I215" s="206" t="str">
        <f t="shared" si="43"/>
        <v/>
      </c>
      <c r="J215" s="348" t="str">
        <f t="shared" si="43"/>
        <v/>
      </c>
      <c r="K215" s="210"/>
      <c r="L215" s="149"/>
      <c r="M215" s="195"/>
      <c r="N215" s="149"/>
      <c r="O215" s="159"/>
      <c r="P215" s="246" t="s">
        <v>163</v>
      </c>
      <c r="Q215" s="156" t="s">
        <v>227</v>
      </c>
      <c r="R215" s="149"/>
      <c r="S215" s="149"/>
      <c r="T215" s="149"/>
      <c r="U215" s="194"/>
      <c r="V215" s="194"/>
      <c r="W215" s="194"/>
      <c r="X215" s="194"/>
      <c r="Y215" s="161"/>
    </row>
    <row r="216" spans="1:25">
      <c r="A216" s="145">
        <v>12</v>
      </c>
      <c r="B216" s="193"/>
      <c r="C216" s="149"/>
      <c r="D216" s="205">
        <f t="shared" si="42"/>
        <v>6</v>
      </c>
      <c r="E216" s="206" t="str">
        <f t="shared" si="42"/>
        <v/>
      </c>
      <c r="F216" s="206" t="str">
        <f t="shared" si="42"/>
        <v/>
      </c>
      <c r="G216" s="206" t="str">
        <f t="shared" si="42"/>
        <v/>
      </c>
      <c r="H216" s="399" t="str">
        <f t="shared" si="44"/>
        <v/>
      </c>
      <c r="I216" s="206" t="str">
        <f t="shared" si="43"/>
        <v/>
      </c>
      <c r="J216" s="348" t="str">
        <f t="shared" si="43"/>
        <v/>
      </c>
      <c r="K216" s="210"/>
      <c r="L216" s="149"/>
      <c r="M216" s="195"/>
      <c r="N216" s="149"/>
      <c r="O216" s="159"/>
      <c r="P216" s="149"/>
      <c r="Q216" s="156" t="s">
        <v>228</v>
      </c>
      <c r="R216" s="149"/>
      <c r="S216" s="149"/>
      <c r="T216" s="149"/>
      <c r="U216" s="149"/>
      <c r="V216" s="149"/>
      <c r="W216" s="149"/>
      <c r="X216" s="149"/>
      <c r="Y216" s="161"/>
    </row>
    <row r="217" spans="1:25">
      <c r="A217" s="145">
        <v>13</v>
      </c>
      <c r="B217" s="193"/>
      <c r="C217" s="149"/>
      <c r="D217" s="205">
        <f t="shared" si="42"/>
        <v>8</v>
      </c>
      <c r="E217" s="206" t="str">
        <f t="shared" si="42"/>
        <v/>
      </c>
      <c r="F217" s="206" t="str">
        <f t="shared" si="42"/>
        <v/>
      </c>
      <c r="G217" s="206" t="str">
        <f t="shared" si="42"/>
        <v/>
      </c>
      <c r="H217" s="399" t="str">
        <f t="shared" si="44"/>
        <v/>
      </c>
      <c r="I217" s="206" t="str">
        <f t="shared" si="43"/>
        <v/>
      </c>
      <c r="J217" s="348" t="str">
        <f t="shared" si="43"/>
        <v/>
      </c>
      <c r="K217" s="210"/>
      <c r="L217" s="149"/>
      <c r="M217" s="195"/>
      <c r="N217" s="149"/>
      <c r="O217" s="159"/>
      <c r="P217" s="149"/>
      <c r="Q217" s="156" t="s">
        <v>708</v>
      </c>
      <c r="R217" s="149"/>
      <c r="S217" s="149"/>
      <c r="T217" s="149"/>
      <c r="U217" s="149"/>
      <c r="V217" s="149"/>
      <c r="W217" s="149"/>
      <c r="X217" s="149"/>
      <c r="Y217" s="161"/>
    </row>
    <row r="218" spans="1:25" ht="16.2" thickBot="1">
      <c r="A218" s="145">
        <v>14</v>
      </c>
      <c r="B218" s="193"/>
      <c r="C218" s="149"/>
      <c r="D218" s="251">
        <f t="shared" si="42"/>
        <v>4</v>
      </c>
      <c r="E218" s="252" t="str">
        <f t="shared" si="42"/>
        <v/>
      </c>
      <c r="F218" s="252" t="str">
        <f t="shared" si="42"/>
        <v/>
      </c>
      <c r="G218" s="252" t="str">
        <f t="shared" si="42"/>
        <v/>
      </c>
      <c r="H218" s="606" t="str">
        <f t="shared" si="44"/>
        <v/>
      </c>
      <c r="I218" s="252" t="str">
        <f t="shared" si="43"/>
        <v/>
      </c>
      <c r="J218" s="363" t="str">
        <f t="shared" si="43"/>
        <v/>
      </c>
      <c r="K218" s="210"/>
      <c r="L218" s="149"/>
      <c r="M218" s="195"/>
      <c r="N218" s="149"/>
      <c r="O218" s="159"/>
      <c r="P218" s="149"/>
      <c r="Q218" s="156" t="s">
        <v>231</v>
      </c>
      <c r="R218" s="149"/>
      <c r="S218" s="149"/>
      <c r="T218" s="149"/>
      <c r="U218" s="149"/>
      <c r="V218" s="149"/>
      <c r="W218" s="149"/>
      <c r="X218" s="149"/>
      <c r="Y218" s="161"/>
    </row>
    <row r="219" spans="1:25" ht="16.2" thickBot="1">
      <c r="A219" s="145">
        <v>15</v>
      </c>
      <c r="B219" s="193"/>
      <c r="C219" s="149"/>
      <c r="D219" s="149"/>
      <c r="E219" s="149"/>
      <c r="F219" s="149"/>
      <c r="G219" s="165" t="s">
        <v>249</v>
      </c>
      <c r="H219" s="383" t="str">
        <f t="shared" si="44"/>
        <v/>
      </c>
      <c r="I219" s="149"/>
      <c r="J219" s="383" t="str">
        <f>IF(W244="","",W244)</f>
        <v/>
      </c>
      <c r="K219" s="210"/>
      <c r="L219" s="149"/>
      <c r="M219" s="195"/>
      <c r="N219" s="149"/>
      <c r="O219" s="159"/>
      <c r="P219" s="149"/>
      <c r="Q219" s="156"/>
      <c r="R219" s="149"/>
      <c r="S219" s="149"/>
      <c r="T219" s="149"/>
      <c r="U219" s="149"/>
      <c r="V219" s="149"/>
      <c r="W219" s="149"/>
      <c r="X219" s="149"/>
      <c r="Y219" s="161"/>
    </row>
    <row r="220" spans="1:25" ht="16.2" thickBot="1">
      <c r="A220" s="145">
        <v>16</v>
      </c>
      <c r="B220" s="193"/>
      <c r="C220" s="149"/>
      <c r="D220" s="246" t="s">
        <v>163</v>
      </c>
      <c r="E220" s="156" t="s">
        <v>250</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232</v>
      </c>
      <c r="P221" s="149"/>
      <c r="Q221" s="164" t="s">
        <v>635</v>
      </c>
      <c r="R221" s="164" t="s">
        <v>636</v>
      </c>
      <c r="S221" s="164" t="s">
        <v>635</v>
      </c>
      <c r="T221" s="164" t="s">
        <v>636</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233</v>
      </c>
      <c r="Q222" s="280"/>
      <c r="R222" s="280"/>
      <c r="S222" s="280"/>
      <c r="T222" s="280"/>
      <c r="U222" s="239"/>
      <c r="V222" s="239"/>
      <c r="W222" s="239"/>
      <c r="X222" s="239"/>
      <c r="Y222" s="161"/>
    </row>
    <row r="223" spans="1:25">
      <c r="A223" s="145">
        <v>19</v>
      </c>
      <c r="B223" s="371"/>
      <c r="C223" s="165" t="s">
        <v>234</v>
      </c>
      <c r="D223" s="309" t="str">
        <f>IF(P248="","",P248)</f>
        <v>Auto-filter</v>
      </c>
      <c r="E223" s="149"/>
      <c r="F223" s="165" t="s">
        <v>235</v>
      </c>
      <c r="G223" s="593">
        <f>IF(S248="","",S248)</f>
        <v>2</v>
      </c>
      <c r="H223" s="149"/>
      <c r="I223" s="165" t="s">
        <v>714</v>
      </c>
      <c r="J223" s="609">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47</v>
      </c>
      <c r="E224" s="149"/>
      <c r="F224" s="149"/>
      <c r="G224" s="149"/>
      <c r="H224" s="149"/>
      <c r="I224" s="164" t="s">
        <v>236</v>
      </c>
      <c r="J224" s="149"/>
      <c r="K224" s="239"/>
      <c r="L224" s="239"/>
      <c r="M224" s="240"/>
      <c r="N224" s="149"/>
      <c r="O224" s="159"/>
      <c r="P224" s="165" t="s">
        <v>177</v>
      </c>
      <c r="Q224" s="280"/>
      <c r="R224" s="280"/>
      <c r="S224" s="280"/>
      <c r="T224" s="280"/>
      <c r="U224" s="149"/>
      <c r="V224" s="149"/>
      <c r="W224" s="149"/>
      <c r="X224" s="149"/>
      <c r="Y224" s="161"/>
    </row>
    <row r="225" spans="1:25" ht="16.2" thickBot="1">
      <c r="A225" s="145">
        <v>21</v>
      </c>
      <c r="B225" s="371"/>
      <c r="C225" s="149"/>
      <c r="D225" s="164" t="s">
        <v>238</v>
      </c>
      <c r="E225" s="164" t="s">
        <v>239</v>
      </c>
      <c r="F225" s="164" t="s">
        <v>240</v>
      </c>
      <c r="G225" s="164" t="s">
        <v>50</v>
      </c>
      <c r="H225" s="164" t="s">
        <v>241</v>
      </c>
      <c r="I225" s="164" t="s">
        <v>242</v>
      </c>
      <c r="J225" s="164" t="s">
        <v>243</v>
      </c>
      <c r="K225" s="239"/>
      <c r="L225" s="239"/>
      <c r="M225" s="240"/>
      <c r="N225" s="149"/>
      <c r="O225" s="159"/>
      <c r="P225" s="165" t="s">
        <v>178</v>
      </c>
      <c r="Q225" s="280"/>
      <c r="R225" s="280"/>
      <c r="S225" s="280"/>
      <c r="T225" s="280"/>
      <c r="U225" s="149"/>
      <c r="V225" s="149"/>
      <c r="W225" s="149"/>
      <c r="X225" s="149"/>
      <c r="Y225" s="161"/>
    </row>
    <row r="226" spans="1:25">
      <c r="A226" s="145">
        <v>22</v>
      </c>
      <c r="B226" s="371"/>
      <c r="C226" s="149"/>
      <c r="D226" s="196">
        <f t="shared" ref="D226:G232" si="45">IF(P251="","",P251)</f>
        <v>2</v>
      </c>
      <c r="E226" s="197" t="str">
        <f t="shared" si="45"/>
        <v/>
      </c>
      <c r="F226" s="197" t="str">
        <f t="shared" si="45"/>
        <v/>
      </c>
      <c r="G226" s="197" t="str">
        <f t="shared" si="45"/>
        <v/>
      </c>
      <c r="H226" s="605" t="str">
        <f>IF(U251="","",U251)</f>
        <v/>
      </c>
      <c r="I226" s="197" t="str">
        <f t="shared" ref="I226:J232" si="46">IF(V251="","",V251)</f>
        <v/>
      </c>
      <c r="J226" s="359" t="str">
        <f t="shared" si="46"/>
        <v/>
      </c>
      <c r="K226" s="239"/>
      <c r="L226" s="239"/>
      <c r="M226" s="240"/>
      <c r="N226" s="149"/>
      <c r="O226" s="159"/>
      <c r="P226" s="165" t="s">
        <v>237</v>
      </c>
      <c r="Q226" s="280"/>
      <c r="R226" s="280"/>
      <c r="S226" s="280"/>
      <c r="T226" s="280"/>
      <c r="U226" s="149"/>
      <c r="V226" s="149"/>
      <c r="W226" s="149"/>
      <c r="X226" s="149"/>
      <c r="Y226" s="161"/>
    </row>
    <row r="227" spans="1:25">
      <c r="A227" s="145">
        <v>23</v>
      </c>
      <c r="B227" s="371"/>
      <c r="C227" s="149"/>
      <c r="D227" s="205">
        <f t="shared" si="45"/>
        <v>4</v>
      </c>
      <c r="E227" s="206" t="str">
        <f t="shared" si="45"/>
        <v/>
      </c>
      <c r="F227" s="206" t="str">
        <f t="shared" si="45"/>
        <v/>
      </c>
      <c r="G227" s="206" t="str">
        <f t="shared" si="45"/>
        <v/>
      </c>
      <c r="H227" s="399" t="str">
        <f t="shared" ref="H227:H233" si="47">IF(U252="","",U252)</f>
        <v/>
      </c>
      <c r="I227" s="206" t="str">
        <f t="shared" si="46"/>
        <v/>
      </c>
      <c r="J227" s="348" t="str">
        <f t="shared" si="46"/>
        <v/>
      </c>
      <c r="K227" s="239"/>
      <c r="L227" s="239"/>
      <c r="M227" s="240"/>
      <c r="N227" s="149"/>
      <c r="O227" s="159"/>
      <c r="P227" s="165" t="s">
        <v>180</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45"/>
        <v>4</v>
      </c>
      <c r="E228" s="206">
        <f t="shared" si="45"/>
        <v>0</v>
      </c>
      <c r="F228" s="206">
        <f t="shared" si="45"/>
        <v>0</v>
      </c>
      <c r="G228" s="206" t="str">
        <f t="shared" si="45"/>
        <v/>
      </c>
      <c r="H228" s="399" t="str">
        <f t="shared" si="47"/>
        <v/>
      </c>
      <c r="I228" s="206" t="str">
        <f t="shared" si="46"/>
        <v/>
      </c>
      <c r="J228" s="348" t="str">
        <f t="shared" si="46"/>
        <v/>
      </c>
      <c r="K228" s="239"/>
      <c r="L228" s="239"/>
      <c r="M228" s="240"/>
      <c r="N228" s="149"/>
      <c r="O228" s="159"/>
      <c r="P228" s="165" t="s">
        <v>244</v>
      </c>
      <c r="Q228" s="385" t="str">
        <f>IF(AB94="","",AB94)</f>
        <v/>
      </c>
      <c r="R228" s="385" t="str">
        <f>IF(AB95="","",AB95)</f>
        <v/>
      </c>
      <c r="S228" s="385" t="str">
        <f>IF(AB96="","",AB96)</f>
        <v/>
      </c>
      <c r="T228" s="385" t="str">
        <f>IF(AC96="","",AC96)</f>
        <v/>
      </c>
      <c r="U228" s="239"/>
      <c r="V228" s="239"/>
      <c r="W228" s="239"/>
      <c r="X228" s="239"/>
      <c r="Y228" s="161"/>
    </row>
    <row r="229" spans="1:25">
      <c r="A229" s="145">
        <v>25</v>
      </c>
      <c r="B229" s="371"/>
      <c r="C229" s="149"/>
      <c r="D229" s="205">
        <f t="shared" si="45"/>
        <v>4</v>
      </c>
      <c r="E229" s="206">
        <f t="shared" si="45"/>
        <v>0</v>
      </c>
      <c r="F229" s="206">
        <f t="shared" si="45"/>
        <v>0</v>
      </c>
      <c r="G229" s="206" t="str">
        <f t="shared" si="45"/>
        <v/>
      </c>
      <c r="H229" s="399" t="str">
        <f t="shared" si="47"/>
        <v/>
      </c>
      <c r="I229" s="206" t="str">
        <f t="shared" si="46"/>
        <v/>
      </c>
      <c r="J229" s="348" t="str">
        <f t="shared" si="46"/>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45"/>
        <v>4</v>
      </c>
      <c r="E230" s="206">
        <f t="shared" si="45"/>
        <v>0</v>
      </c>
      <c r="F230" s="206">
        <f t="shared" si="45"/>
        <v>0</v>
      </c>
      <c r="G230" s="206" t="str">
        <f t="shared" si="45"/>
        <v/>
      </c>
      <c r="H230" s="399" t="str">
        <f t="shared" si="47"/>
        <v/>
      </c>
      <c r="I230" s="206" t="str">
        <f t="shared" si="46"/>
        <v/>
      </c>
      <c r="J230" s="348" t="str">
        <f t="shared" si="46"/>
        <v/>
      </c>
      <c r="K230" s="239"/>
      <c r="L230" s="239"/>
      <c r="M230" s="240"/>
      <c r="N230" s="149"/>
      <c r="O230" s="159"/>
      <c r="P230" s="386" t="s">
        <v>163</v>
      </c>
      <c r="Q230" s="317" t="s">
        <v>245</v>
      </c>
      <c r="R230" s="194"/>
      <c r="S230" s="194"/>
      <c r="T230" s="194"/>
      <c r="U230" s="194"/>
      <c r="V230" s="194"/>
      <c r="W230" s="194"/>
      <c r="X230" s="194"/>
      <c r="Y230" s="161"/>
    </row>
    <row r="231" spans="1:25" ht="16.2" thickBot="1">
      <c r="A231" s="145">
        <v>27</v>
      </c>
      <c r="B231" s="371"/>
      <c r="C231" s="149"/>
      <c r="D231" s="205">
        <f t="shared" si="45"/>
        <v>6</v>
      </c>
      <c r="E231" s="206" t="str">
        <f t="shared" si="45"/>
        <v/>
      </c>
      <c r="F231" s="206" t="str">
        <f t="shared" si="45"/>
        <v/>
      </c>
      <c r="G231" s="206" t="str">
        <f t="shared" si="45"/>
        <v/>
      </c>
      <c r="H231" s="399" t="str">
        <f t="shared" si="47"/>
        <v/>
      </c>
      <c r="I231" s="206" t="str">
        <f t="shared" si="46"/>
        <v/>
      </c>
      <c r="J231" s="348" t="str">
        <f t="shared" si="46"/>
        <v/>
      </c>
      <c r="K231" s="239"/>
      <c r="L231" s="239"/>
      <c r="M231" s="240"/>
      <c r="N231" s="149"/>
      <c r="O231" s="170"/>
      <c r="P231" s="171"/>
      <c r="Q231" s="384" t="s">
        <v>246</v>
      </c>
      <c r="R231" s="171"/>
      <c r="S231" s="171"/>
      <c r="T231" s="171"/>
      <c r="U231" s="171"/>
      <c r="V231" s="171"/>
      <c r="W231" s="171"/>
      <c r="X231" s="171"/>
      <c r="Y231" s="172"/>
    </row>
    <row r="232" spans="1:25" ht="16.2" thickBot="1">
      <c r="A232" s="145">
        <v>28</v>
      </c>
      <c r="B232" s="371"/>
      <c r="C232" s="149"/>
      <c r="D232" s="251">
        <f t="shared" si="45"/>
        <v>8</v>
      </c>
      <c r="E232" s="252" t="str">
        <f t="shared" si="45"/>
        <v/>
      </c>
      <c r="F232" s="252" t="str">
        <f t="shared" si="45"/>
        <v/>
      </c>
      <c r="G232" s="252" t="str">
        <f t="shared" si="45"/>
        <v/>
      </c>
      <c r="H232" s="606" t="str">
        <f t="shared" si="47"/>
        <v/>
      </c>
      <c r="I232" s="252" t="str">
        <f t="shared" si="46"/>
        <v/>
      </c>
      <c r="J232" s="363" t="str">
        <f t="shared" si="46"/>
        <v/>
      </c>
      <c r="K232" s="239"/>
      <c r="L232" s="239"/>
      <c r="M232" s="240"/>
      <c r="N232" s="149"/>
      <c r="O232" s="281" t="s">
        <v>247</v>
      </c>
      <c r="P232" s="149"/>
      <c r="Q232" s="149"/>
      <c r="R232" s="149"/>
      <c r="S232" s="149"/>
      <c r="T232" s="149"/>
      <c r="U232" s="165" t="s">
        <v>714</v>
      </c>
      <c r="V232" s="282">
        <v>4</v>
      </c>
      <c r="W232" s="149" t="s">
        <v>248</v>
      </c>
      <c r="X232" s="149"/>
      <c r="Y232" s="161"/>
    </row>
    <row r="233" spans="1:25" ht="16.2" thickBot="1">
      <c r="A233" s="145">
        <v>29</v>
      </c>
      <c r="B233" s="371"/>
      <c r="C233" s="149"/>
      <c r="D233" s="149"/>
      <c r="E233" s="149"/>
      <c r="F233" s="149"/>
      <c r="G233" s="165" t="s">
        <v>249</v>
      </c>
      <c r="H233" s="383" t="str">
        <f t="shared" si="47"/>
        <v/>
      </c>
      <c r="I233" s="149"/>
      <c r="J233" s="383" t="str">
        <f>IF(W258="","",W258)</f>
        <v/>
      </c>
      <c r="K233" s="239"/>
      <c r="L233" s="239"/>
      <c r="M233" s="240"/>
      <c r="N233" s="149"/>
      <c r="O233" s="159" t="s">
        <v>234</v>
      </c>
      <c r="P233" s="387" t="s">
        <v>689</v>
      </c>
      <c r="Q233" s="149"/>
      <c r="R233" s="165" t="s">
        <v>235</v>
      </c>
      <c r="S233" s="282">
        <v>2</v>
      </c>
      <c r="T233" s="149"/>
      <c r="U233" s="165" t="s">
        <v>715</v>
      </c>
      <c r="V233" s="282">
        <v>4</v>
      </c>
      <c r="W233" s="149" t="s">
        <v>248</v>
      </c>
      <c r="X233" s="149"/>
      <c r="Y233" s="161"/>
    </row>
    <row r="234" spans="1:25">
      <c r="A234" s="145">
        <v>30</v>
      </c>
      <c r="B234" s="371"/>
      <c r="C234" s="149"/>
      <c r="D234" s="246" t="s">
        <v>163</v>
      </c>
      <c r="E234" s="156" t="s">
        <v>250</v>
      </c>
      <c r="F234" s="149"/>
      <c r="G234" s="149"/>
      <c r="H234" s="149"/>
      <c r="I234" s="149"/>
      <c r="J234" s="149"/>
      <c r="K234" s="239"/>
      <c r="L234" s="239"/>
      <c r="M234" s="240"/>
      <c r="N234" s="149"/>
      <c r="O234" s="159"/>
      <c r="P234" s="164" t="s">
        <v>47</v>
      </c>
      <c r="Q234" s="149"/>
      <c r="R234" s="149"/>
      <c r="S234" s="149"/>
      <c r="T234" s="149"/>
      <c r="U234" s="164"/>
      <c r="V234" s="164" t="s">
        <v>236</v>
      </c>
      <c r="W234" s="149"/>
      <c r="X234" s="149"/>
      <c r="Y234" s="161"/>
    </row>
    <row r="235" spans="1:25" ht="16.2" thickBot="1">
      <c r="A235" s="145">
        <v>31</v>
      </c>
      <c r="B235" s="371"/>
      <c r="C235" s="149"/>
      <c r="D235" s="239"/>
      <c r="E235" s="239"/>
      <c r="F235" s="239"/>
      <c r="G235" s="239"/>
      <c r="H235" s="239"/>
      <c r="I235" s="239"/>
      <c r="J235" s="239"/>
      <c r="K235" s="239"/>
      <c r="L235" s="239"/>
      <c r="M235" s="240"/>
      <c r="N235" s="149"/>
      <c r="O235" s="159"/>
      <c r="P235" s="164" t="s">
        <v>238</v>
      </c>
      <c r="Q235" s="164" t="s">
        <v>239</v>
      </c>
      <c r="R235" s="164" t="s">
        <v>240</v>
      </c>
      <c r="S235" s="164" t="s">
        <v>50</v>
      </c>
      <c r="T235" s="164" t="s">
        <v>241</v>
      </c>
      <c r="U235" s="588" t="s">
        <v>709</v>
      </c>
      <c r="V235" s="164" t="s">
        <v>242</v>
      </c>
      <c r="W235" s="164" t="s">
        <v>243</v>
      </c>
      <c r="X235" s="149"/>
      <c r="Y235" s="161"/>
    </row>
    <row r="236" spans="1:25">
      <c r="A236" s="145">
        <v>32</v>
      </c>
      <c r="B236" s="193"/>
      <c r="C236" s="202" t="s">
        <v>253</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48">IF(OR(U236="",$U$244=""),"",ABS((U236-$U$244)/$U$244))</f>
        <v/>
      </c>
      <c r="X236" s="149"/>
      <c r="Y236" s="161"/>
    </row>
    <row r="237" spans="1:25">
      <c r="A237" s="145">
        <v>33</v>
      </c>
      <c r="B237" s="193"/>
      <c r="C237" s="165" t="s">
        <v>234</v>
      </c>
      <c r="D237" s="309" t="str">
        <f>IF(P263="","",P263)</f>
        <v>Auto-filter</v>
      </c>
      <c r="E237" s="149"/>
      <c r="F237" s="165" t="s">
        <v>235</v>
      </c>
      <c r="G237" s="593">
        <f>IF(S263="","",S263)</f>
        <v>2</v>
      </c>
      <c r="H237" s="164"/>
      <c r="I237" s="165" t="s">
        <v>177</v>
      </c>
      <c r="J237" s="593"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48"/>
        <v/>
      </c>
      <c r="X237" s="149"/>
      <c r="Y237" s="161"/>
    </row>
    <row r="238" spans="1:25" ht="16.2" thickBot="1">
      <c r="A238" s="145">
        <v>34</v>
      </c>
      <c r="B238" s="193"/>
      <c r="C238" s="149"/>
      <c r="D238" s="210"/>
      <c r="E238" s="210"/>
      <c r="F238" s="210"/>
      <c r="G238" s="164" t="s">
        <v>236</v>
      </c>
      <c r="H238" s="210"/>
      <c r="I238" s="149"/>
      <c r="J238" s="210"/>
      <c r="K238" s="149"/>
      <c r="L238" s="149"/>
      <c r="M238" s="195"/>
      <c r="N238" s="149"/>
      <c r="O238" s="159"/>
      <c r="P238" s="392">
        <v>4</v>
      </c>
      <c r="Q238" s="205">
        <f t="shared" ref="Q238:R240" si="49">Q237</f>
        <v>0</v>
      </c>
      <c r="R238" s="206">
        <f t="shared" si="49"/>
        <v>0</v>
      </c>
      <c r="S238" s="280"/>
      <c r="T238" s="280"/>
      <c r="U238" s="394" t="str">
        <f>IF(T238="","",IF($V$232=-1,T238,(T238-50)/VLOOKUP(P238,Tables!$A$136:$I$140,MATCH($V$232,Tables!$A$136:$I$136))))</f>
        <v/>
      </c>
      <c r="V238" s="280"/>
      <c r="W238" s="348" t="str">
        <f t="shared" si="48"/>
        <v/>
      </c>
      <c r="X238" s="149"/>
      <c r="Y238" s="161"/>
    </row>
    <row r="239" spans="1:25">
      <c r="A239" s="145">
        <v>35</v>
      </c>
      <c r="B239" s="193"/>
      <c r="C239" s="149"/>
      <c r="D239" s="196" t="s">
        <v>254</v>
      </c>
      <c r="E239" s="197" t="s">
        <v>50</v>
      </c>
      <c r="F239" s="197" t="s">
        <v>241</v>
      </c>
      <c r="G239" s="197" t="s">
        <v>242</v>
      </c>
      <c r="H239" s="197" t="s">
        <v>255</v>
      </c>
      <c r="I239" s="395" t="s">
        <v>256</v>
      </c>
      <c r="J239" s="210"/>
      <c r="K239" s="149"/>
      <c r="L239" s="149"/>
      <c r="M239" s="195"/>
      <c r="N239" s="149"/>
      <c r="O239" s="159"/>
      <c r="P239" s="392">
        <v>4</v>
      </c>
      <c r="Q239" s="205">
        <f t="shared" si="49"/>
        <v>0</v>
      </c>
      <c r="R239" s="206">
        <f t="shared" si="49"/>
        <v>0</v>
      </c>
      <c r="S239" s="280"/>
      <c r="T239" s="280"/>
      <c r="U239" s="394" t="str">
        <f>IF(T239="","",IF($V$232=-1,T239,(T239-50)/VLOOKUP(P239,Tables!$A$136:$I$140,MATCH($V$232,Tables!$A$136:$I$136))))</f>
        <v/>
      </c>
      <c r="V239" s="280"/>
      <c r="W239" s="348" t="str">
        <f t="shared" si="48"/>
        <v/>
      </c>
      <c r="X239" s="149"/>
      <c r="Y239" s="161"/>
    </row>
    <row r="240" spans="1:25">
      <c r="A240" s="145">
        <v>36</v>
      </c>
      <c r="B240" s="193"/>
      <c r="C240" s="149"/>
      <c r="D240" s="205">
        <f t="shared" ref="D240:D247" si="50">P265</f>
        <v>-3</v>
      </c>
      <c r="E240" s="206" t="str">
        <f t="shared" ref="E240:E247" si="51">IF(R265="","",R265)</f>
        <v/>
      </c>
      <c r="F240" s="399" t="str">
        <f>IF(U265="","",U265)</f>
        <v/>
      </c>
      <c r="G240" s="396" t="str">
        <f>IF(T265="","",T265)</f>
        <v/>
      </c>
      <c r="H240" s="396" t="str">
        <f t="shared" ref="H240:H247" si="52">IF(V265="","",V265)</f>
        <v/>
      </c>
      <c r="I240" s="397" t="str">
        <f>IF(V265="","",IF(AND(V265&gt;=X265,V265&lt;=Y265),"Pass","Fail"))</f>
        <v/>
      </c>
      <c r="J240" s="210"/>
      <c r="K240" s="149"/>
      <c r="L240" s="149"/>
      <c r="M240" s="195"/>
      <c r="N240" s="149"/>
      <c r="O240" s="159"/>
      <c r="P240" s="392">
        <v>4</v>
      </c>
      <c r="Q240" s="205">
        <f t="shared" si="49"/>
        <v>0</v>
      </c>
      <c r="R240" s="206">
        <f t="shared" si="49"/>
        <v>0</v>
      </c>
      <c r="S240" s="280"/>
      <c r="T240" s="280"/>
      <c r="U240" s="394" t="str">
        <f>IF(T240="","",IF($V$232=-1,T240,(T240-50)/VLOOKUP(P240,Tables!$A$136:$I$140,MATCH($V$232,Tables!$A$136:$I$136))))</f>
        <v/>
      </c>
      <c r="V240" s="280"/>
      <c r="W240" s="348" t="str">
        <f t="shared" si="48"/>
        <v/>
      </c>
      <c r="X240" s="149"/>
      <c r="Y240" s="161"/>
    </row>
    <row r="241" spans="1:29">
      <c r="A241" s="145">
        <v>37</v>
      </c>
      <c r="B241" s="193"/>
      <c r="C241" s="149"/>
      <c r="D241" s="205">
        <f t="shared" si="50"/>
        <v>-2</v>
      </c>
      <c r="E241" s="206" t="str">
        <f t="shared" si="51"/>
        <v/>
      </c>
      <c r="F241" s="399" t="str">
        <f t="shared" ref="F241:F247" si="53">IF(U266="","",U266)</f>
        <v/>
      </c>
      <c r="G241" s="396" t="str">
        <f t="shared" ref="G241:G247" si="54">IF(T266="","",T266)</f>
        <v/>
      </c>
      <c r="H241" s="396" t="str">
        <f t="shared" si="52"/>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48"/>
        <v/>
      </c>
      <c r="X241" s="149"/>
      <c r="Y241" s="161"/>
    </row>
    <row r="242" spans="1:29">
      <c r="A242" s="145">
        <v>38</v>
      </c>
      <c r="B242" s="193"/>
      <c r="C242" s="149"/>
      <c r="D242" s="205">
        <f t="shared" si="50"/>
        <v>-1</v>
      </c>
      <c r="E242" s="206" t="str">
        <f t="shared" si="51"/>
        <v/>
      </c>
      <c r="F242" s="399" t="str">
        <f t="shared" si="53"/>
        <v/>
      </c>
      <c r="G242" s="396" t="str">
        <f t="shared" si="54"/>
        <v/>
      </c>
      <c r="H242" s="396" t="str">
        <f t="shared" si="52"/>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48"/>
        <v/>
      </c>
      <c r="X242" s="149"/>
      <c r="Y242" s="161"/>
    </row>
    <row r="243" spans="1:29" ht="16.2" thickBot="1">
      <c r="A243" s="145">
        <v>39</v>
      </c>
      <c r="B243" s="193"/>
      <c r="C243" s="149"/>
      <c r="D243" s="205">
        <f t="shared" si="50"/>
        <v>0</v>
      </c>
      <c r="E243" s="207" t="str">
        <f t="shared" si="51"/>
        <v/>
      </c>
      <c r="F243" s="399" t="str">
        <f t="shared" si="53"/>
        <v/>
      </c>
      <c r="G243" s="396" t="str">
        <f t="shared" si="54"/>
        <v/>
      </c>
      <c r="H243" s="396" t="str">
        <f t="shared" si="52"/>
        <v/>
      </c>
      <c r="I243" s="400"/>
      <c r="J243" s="210"/>
      <c r="K243" s="149"/>
      <c r="L243" s="149"/>
      <c r="M243" s="195"/>
      <c r="N243" s="149"/>
      <c r="O243" s="323" t="s">
        <v>251</v>
      </c>
      <c r="P243" s="401">
        <v>4</v>
      </c>
      <c r="Q243" s="402"/>
      <c r="R243" s="403"/>
      <c r="S243" s="403"/>
      <c r="T243" s="404"/>
      <c r="U243" s="405" t="str">
        <f>IF(T243="","",IF($V$233=-1,T243,(T243-50)/VLOOKUP(P243,Tables!A142:F146,MATCH($V$233,Tables!A142:F142))))</f>
        <v/>
      </c>
      <c r="V243" s="403"/>
      <c r="W243" s="363" t="str">
        <f t="shared" si="48"/>
        <v/>
      </c>
      <c r="X243" s="149"/>
      <c r="Y243" s="161"/>
    </row>
    <row r="244" spans="1:29" ht="16.2" thickBot="1">
      <c r="A244" s="145">
        <v>40</v>
      </c>
      <c r="B244" s="193"/>
      <c r="C244" s="149"/>
      <c r="D244" s="205">
        <f t="shared" si="50"/>
        <v>1</v>
      </c>
      <c r="E244" s="206" t="str">
        <f t="shared" si="51"/>
        <v/>
      </c>
      <c r="F244" s="399" t="str">
        <f t="shared" si="53"/>
        <v/>
      </c>
      <c r="G244" s="396" t="str">
        <f t="shared" si="54"/>
        <v/>
      </c>
      <c r="H244" s="396" t="str">
        <f t="shared" si="52"/>
        <v/>
      </c>
      <c r="I244" s="397" t="str">
        <f>IF(V269="","",IF(AND(V269&gt;=X269,V269&lt;=Y269),"Pass","Fail"))</f>
        <v/>
      </c>
      <c r="J244" s="210"/>
      <c r="K244" s="149"/>
      <c r="L244" s="149"/>
      <c r="M244" s="195"/>
      <c r="N244" s="149"/>
      <c r="O244" s="159"/>
      <c r="P244" s="149"/>
      <c r="Q244" s="156" t="s">
        <v>710</v>
      </c>
      <c r="R244" s="149"/>
      <c r="S244" s="239"/>
      <c r="T244" s="165" t="s">
        <v>249</v>
      </c>
      <c r="U244" s="406" t="str">
        <f>IF(U236="","",IF(O35=1,AVERAGE(U236:U242),AVERAGE(U236:U243)))</f>
        <v/>
      </c>
      <c r="V244" s="149"/>
      <c r="W244" s="295" t="str">
        <f>IF(W236="","",IF(MAX(W236:W243)&gt;0.1,"Fail","Pass"))</f>
        <v/>
      </c>
      <c r="X244" s="149"/>
      <c r="Y244" s="161"/>
    </row>
    <row r="245" spans="1:29">
      <c r="A245" s="145">
        <v>41</v>
      </c>
      <c r="B245" s="193"/>
      <c r="C245" s="149"/>
      <c r="D245" s="205">
        <f t="shared" si="50"/>
        <v>2</v>
      </c>
      <c r="E245" s="206" t="str">
        <f t="shared" si="51"/>
        <v/>
      </c>
      <c r="F245" s="399" t="str">
        <f t="shared" si="53"/>
        <v/>
      </c>
      <c r="G245" s="396" t="str">
        <f t="shared" si="54"/>
        <v/>
      </c>
      <c r="H245" s="396" t="str">
        <f t="shared" si="52"/>
        <v/>
      </c>
      <c r="I245" s="397" t="str">
        <f>IF(V270="","",IF(AND(V270&gt;=X270,V270&lt;=Y270),"Pass","Fail"))</f>
        <v/>
      </c>
      <c r="J245" s="210"/>
      <c r="K245" s="149"/>
      <c r="L245" s="149"/>
      <c r="M245" s="195"/>
      <c r="N245" s="149"/>
      <c r="O245" s="159"/>
      <c r="P245" s="246" t="s">
        <v>163</v>
      </c>
      <c r="Q245" s="156" t="s">
        <v>250</v>
      </c>
      <c r="R245" s="149"/>
      <c r="S245" s="149"/>
      <c r="T245" s="149"/>
      <c r="U245" s="149"/>
      <c r="V245" s="149"/>
      <c r="W245" s="149"/>
      <c r="X245" s="149"/>
      <c r="Y245" s="161"/>
    </row>
    <row r="246" spans="1:29">
      <c r="A246" s="145">
        <v>42</v>
      </c>
      <c r="B246" s="193"/>
      <c r="C246" s="149"/>
      <c r="D246" s="205">
        <f t="shared" si="50"/>
        <v>3</v>
      </c>
      <c r="E246" s="206" t="str">
        <f t="shared" si="51"/>
        <v/>
      </c>
      <c r="F246" s="399" t="str">
        <f t="shared" si="53"/>
        <v/>
      </c>
      <c r="G246" s="396" t="str">
        <f t="shared" si="54"/>
        <v/>
      </c>
      <c r="H246" s="396" t="str">
        <f t="shared" si="52"/>
        <v/>
      </c>
      <c r="I246" s="397" t="str">
        <f>IF(V271="","",IF(AND(V271&gt;=X271,V271&lt;=Y271),"Pass","Fail"))</f>
        <v/>
      </c>
      <c r="J246" s="210"/>
      <c r="K246" s="149"/>
      <c r="L246" s="149"/>
      <c r="M246" s="195"/>
      <c r="N246" s="149"/>
      <c r="O246" s="159"/>
      <c r="P246" s="149"/>
      <c r="Q246" s="149"/>
      <c r="R246" s="149"/>
      <c r="S246" s="149"/>
      <c r="T246" s="149"/>
      <c r="U246" s="149"/>
      <c r="V246" s="149"/>
      <c r="W246" s="149"/>
      <c r="X246" s="149"/>
      <c r="Y246" s="161"/>
      <c r="Z246" s="153" t="s">
        <v>589</v>
      </c>
      <c r="AB246" s="153" t="s">
        <v>632</v>
      </c>
    </row>
    <row r="247" spans="1:29" ht="16.2" thickBot="1">
      <c r="A247" s="145">
        <v>43</v>
      </c>
      <c r="B247" s="193"/>
      <c r="C247" s="149"/>
      <c r="D247" s="251">
        <f t="shared" si="50"/>
        <v>4</v>
      </c>
      <c r="E247" s="252" t="str">
        <f t="shared" si="51"/>
        <v/>
      </c>
      <c r="F247" s="606" t="str">
        <f t="shared" si="53"/>
        <v/>
      </c>
      <c r="G247" s="407" t="str">
        <f t="shared" si="54"/>
        <v/>
      </c>
      <c r="H247" s="407" t="str">
        <f t="shared" si="52"/>
        <v/>
      </c>
      <c r="I247" s="408" t="str">
        <f>IF(V272="","",IF(AND(V272&gt;=X272,V272&lt;=Y272),"Pass","Fail"))</f>
        <v/>
      </c>
      <c r="J247" s="210"/>
      <c r="K247" s="149"/>
      <c r="L247" s="149"/>
      <c r="M247" s="195"/>
      <c r="N247" s="149"/>
      <c r="O247" s="281" t="s">
        <v>252</v>
      </c>
      <c r="P247" s="149"/>
      <c r="Q247" s="149"/>
      <c r="R247" s="149"/>
      <c r="S247" s="149"/>
      <c r="T247" s="149"/>
      <c r="U247" s="149"/>
      <c r="V247" s="149"/>
      <c r="W247" s="149"/>
      <c r="X247" s="149"/>
      <c r="Y247" s="161"/>
      <c r="Z247" s="153" t="s">
        <v>257</v>
      </c>
      <c r="AA247" s="153" t="s">
        <v>258</v>
      </c>
      <c r="AB247" s="153" t="s">
        <v>257</v>
      </c>
      <c r="AC247" s="153" t="s">
        <v>258</v>
      </c>
    </row>
    <row r="248" spans="1:29">
      <c r="A248" s="145">
        <v>44</v>
      </c>
      <c r="B248" s="193"/>
      <c r="C248" s="149"/>
      <c r="D248" s="246" t="s">
        <v>163</v>
      </c>
      <c r="E248" s="317" t="s">
        <v>259</v>
      </c>
      <c r="F248" s="149"/>
      <c r="G248" s="149"/>
      <c r="H248" s="149"/>
      <c r="I248" s="149"/>
      <c r="J248" s="149"/>
      <c r="K248" s="149"/>
      <c r="L248" s="149"/>
      <c r="M248" s="195"/>
      <c r="N248" s="149"/>
      <c r="O248" s="159" t="s">
        <v>234</v>
      </c>
      <c r="P248" s="387" t="s">
        <v>689</v>
      </c>
      <c r="Q248" s="149"/>
      <c r="R248" s="165" t="s">
        <v>235</v>
      </c>
      <c r="S248" s="282">
        <v>2</v>
      </c>
      <c r="T248" s="149"/>
      <c r="U248" s="165" t="s">
        <v>714</v>
      </c>
      <c r="V248" s="282">
        <v>0</v>
      </c>
      <c r="W248" s="149"/>
      <c r="X248" s="149"/>
      <c r="Y248" s="161"/>
      <c r="Z248" s="153">
        <v>0.5</v>
      </c>
      <c r="AA248" s="153">
        <v>0.61</v>
      </c>
      <c r="AB248" s="153">
        <v>0.56000000000000005</v>
      </c>
      <c r="AC248" s="153">
        <v>0.66</v>
      </c>
    </row>
    <row r="249" spans="1:29">
      <c r="A249" s="145">
        <v>45</v>
      </c>
      <c r="B249" s="193"/>
      <c r="C249" s="194"/>
      <c r="D249" s="194"/>
      <c r="E249" s="194"/>
      <c r="F249" s="194"/>
      <c r="G249" s="194"/>
      <c r="H249" s="194"/>
      <c r="I249" s="194"/>
      <c r="J249" s="194"/>
      <c r="K249" s="194"/>
      <c r="L249" s="194"/>
      <c r="M249" s="195"/>
      <c r="N249" s="149"/>
      <c r="O249" s="159"/>
      <c r="P249" s="164" t="s">
        <v>47</v>
      </c>
      <c r="Q249" s="149"/>
      <c r="R249" s="149"/>
      <c r="S249" s="149"/>
      <c r="T249" s="149"/>
      <c r="U249" s="164"/>
      <c r="V249" s="164" t="s">
        <v>236</v>
      </c>
      <c r="W249" s="149"/>
      <c r="X249" s="149"/>
      <c r="Y249" s="161"/>
      <c r="Z249" s="153">
        <v>0.63</v>
      </c>
      <c r="AA249" s="153">
        <v>0.77</v>
      </c>
      <c r="AB249" s="153">
        <v>0.66</v>
      </c>
      <c r="AC249" s="153">
        <v>0.78</v>
      </c>
    </row>
    <row r="250" spans="1:29" ht="16.2" thickBot="1">
      <c r="A250" s="145">
        <v>46</v>
      </c>
      <c r="B250" s="716"/>
      <c r="C250" s="714" t="s">
        <v>720</v>
      </c>
      <c r="D250" s="717"/>
      <c r="E250" s="717"/>
      <c r="F250" s="717"/>
      <c r="G250" s="717"/>
      <c r="H250" s="717"/>
      <c r="I250" s="717"/>
      <c r="J250" s="717"/>
      <c r="K250" s="717"/>
      <c r="L250" s="717"/>
      <c r="M250" s="718"/>
      <c r="N250" s="149"/>
      <c r="O250" s="159"/>
      <c r="P250" s="164" t="s">
        <v>238</v>
      </c>
      <c r="Q250" s="164" t="s">
        <v>239</v>
      </c>
      <c r="R250" s="164" t="s">
        <v>240</v>
      </c>
      <c r="S250" s="164" t="s">
        <v>50</v>
      </c>
      <c r="T250" s="164" t="s">
        <v>241</v>
      </c>
      <c r="U250" s="588" t="s">
        <v>709</v>
      </c>
      <c r="V250" s="164" t="s">
        <v>242</v>
      </c>
      <c r="W250" s="164" t="s">
        <v>243</v>
      </c>
      <c r="X250" s="149"/>
      <c r="Y250" s="161"/>
      <c r="Z250" s="153">
        <v>0.77</v>
      </c>
      <c r="AA250" s="153">
        <v>0.94</v>
      </c>
      <c r="AB250" s="153">
        <v>0.78</v>
      </c>
      <c r="AC250" s="153">
        <v>0.92</v>
      </c>
    </row>
    <row r="251" spans="1:29">
      <c r="A251" s="145">
        <v>47</v>
      </c>
      <c r="B251" s="716"/>
      <c r="C251" s="316" t="s">
        <v>234</v>
      </c>
      <c r="D251" s="309" t="str">
        <f>IF(P278="","",P278)</f>
        <v>Auto-filter</v>
      </c>
      <c r="E251" s="194"/>
      <c r="F251" s="316" t="s">
        <v>235</v>
      </c>
      <c r="G251" s="609">
        <f>IF(S278="","",S278)</f>
        <v>2</v>
      </c>
      <c r="H251" s="717"/>
      <c r="I251" s="316" t="s">
        <v>714</v>
      </c>
      <c r="J251" s="609">
        <f>IF(V278="","",V278)</f>
        <v>0</v>
      </c>
      <c r="K251" s="717"/>
      <c r="L251" s="717"/>
      <c r="M251" s="718"/>
      <c r="N251" s="149"/>
      <c r="O251" s="159"/>
      <c r="P251" s="388">
        <v>2</v>
      </c>
      <c r="Q251" s="389"/>
      <c r="R251" s="390"/>
      <c r="S251" s="390"/>
      <c r="T251" s="409"/>
      <c r="U251" s="391" t="str">
        <f>IF(T251="","",(T251-50)/VLOOKUP(P251,Tables!$A$154:$C$158,MATCH($V$248,Tables!$A$154:$C$154)))</f>
        <v/>
      </c>
      <c r="V251" s="390"/>
      <c r="W251" s="359" t="str">
        <f t="shared" ref="W251:W257" si="55">IF(OR(U251="",$U$258=""),"",ABS((U251-$U$258)/$U$258))</f>
        <v/>
      </c>
      <c r="X251" s="149"/>
      <c r="Y251" s="161"/>
    </row>
    <row r="252" spans="1:29">
      <c r="A252" s="145">
        <v>48</v>
      </c>
      <c r="B252" s="716"/>
      <c r="C252" s="717"/>
      <c r="D252" s="473" t="s">
        <v>47</v>
      </c>
      <c r="E252" s="194"/>
      <c r="F252" s="194"/>
      <c r="G252" s="194"/>
      <c r="H252" s="194"/>
      <c r="I252" s="612" t="s">
        <v>236</v>
      </c>
      <c r="J252" s="194"/>
      <c r="K252" s="717"/>
      <c r="L252" s="717"/>
      <c r="M252" s="718"/>
      <c r="N252" s="149"/>
      <c r="O252" s="159"/>
      <c r="P252" s="392">
        <v>4</v>
      </c>
      <c r="Q252" s="393"/>
      <c r="R252" s="280"/>
      <c r="S252" s="280"/>
      <c r="T252" s="398"/>
      <c r="U252" s="394" t="str">
        <f>IF(T252="","",(T252-50)/VLOOKUP(P252,Tables!$A$154:$C$158,MATCH($V$248,Tables!$A$154:$C$154)))</f>
        <v/>
      </c>
      <c r="V252" s="280"/>
      <c r="W252" s="348" t="str">
        <f t="shared" si="55"/>
        <v/>
      </c>
      <c r="X252" s="149"/>
      <c r="Y252" s="161"/>
      <c r="Z252" s="153">
        <v>1.04</v>
      </c>
      <c r="AA252" s="153">
        <v>1.27</v>
      </c>
      <c r="AB252" s="153">
        <v>1.06</v>
      </c>
      <c r="AC252" s="153">
        <v>1.24</v>
      </c>
    </row>
    <row r="253" spans="1:29" ht="16.2" thickBot="1">
      <c r="A253" s="145">
        <v>49</v>
      </c>
      <c r="B253" s="716"/>
      <c r="C253" s="717"/>
      <c r="D253" s="612" t="s">
        <v>238</v>
      </c>
      <c r="E253" s="612" t="s">
        <v>239</v>
      </c>
      <c r="F253" s="612" t="s">
        <v>240</v>
      </c>
      <c r="G253" s="612" t="s">
        <v>50</v>
      </c>
      <c r="H253" s="612" t="s">
        <v>241</v>
      </c>
      <c r="I253" s="612" t="s">
        <v>242</v>
      </c>
      <c r="J253" s="612" t="s">
        <v>243</v>
      </c>
      <c r="K253" s="717"/>
      <c r="L253" s="717"/>
      <c r="M253" s="718"/>
      <c r="N253" s="149"/>
      <c r="O253" s="159"/>
      <c r="P253" s="392">
        <v>4</v>
      </c>
      <c r="Q253" s="205">
        <f t="shared" ref="Q253:R255" si="56">Q252</f>
        <v>0</v>
      </c>
      <c r="R253" s="206">
        <f t="shared" si="56"/>
        <v>0</v>
      </c>
      <c r="S253" s="280"/>
      <c r="T253" s="398"/>
      <c r="U253" s="394" t="str">
        <f>IF(T253="","",(T253-50)/VLOOKUP(P253,Tables!$A$154:$C$158,MATCH($V$248,Tables!$A$154:$C$154)))</f>
        <v/>
      </c>
      <c r="V253" s="280"/>
      <c r="W253" s="348" t="str">
        <f t="shared" si="55"/>
        <v/>
      </c>
      <c r="X253" s="149"/>
      <c r="Y253" s="161"/>
      <c r="Z253" s="153">
        <v>1.17</v>
      </c>
      <c r="AA253" s="153">
        <v>1.43</v>
      </c>
      <c r="AB253" s="153">
        <v>1.22</v>
      </c>
      <c r="AC253" s="153">
        <v>1.43</v>
      </c>
    </row>
    <row r="254" spans="1:29">
      <c r="A254" s="145">
        <v>50</v>
      </c>
      <c r="B254" s="716"/>
      <c r="C254" s="717"/>
      <c r="D254" s="196">
        <f>IF(P281="","",P281)</f>
        <v>2</v>
      </c>
      <c r="E254" s="197" t="str">
        <f>IF(Q281="","",Q281)</f>
        <v/>
      </c>
      <c r="F254" s="197" t="str">
        <f>IF(R281="","",R281)</f>
        <v/>
      </c>
      <c r="G254" s="197" t="str">
        <f>IF(S281="","",S281)</f>
        <v/>
      </c>
      <c r="H254" s="605" t="str">
        <f>IF(U281="","",U281)</f>
        <v/>
      </c>
      <c r="I254" s="197" t="str">
        <f>IF(V281="","",V281)</f>
        <v/>
      </c>
      <c r="J254" s="359" t="str">
        <f>IF(W281="","",W281)</f>
        <v/>
      </c>
      <c r="K254" s="717"/>
      <c r="L254" s="717"/>
      <c r="M254" s="718"/>
      <c r="N254" s="149"/>
      <c r="O254" s="159"/>
      <c r="P254" s="392">
        <v>4</v>
      </c>
      <c r="Q254" s="205">
        <f t="shared" si="56"/>
        <v>0</v>
      </c>
      <c r="R254" s="206">
        <f t="shared" si="56"/>
        <v>0</v>
      </c>
      <c r="S254" s="280"/>
      <c r="T254" s="398"/>
      <c r="U254" s="394" t="str">
        <f>IF(T254="","",(T254-50)/VLOOKUP(P254,Tables!$A$154:$C$158,MATCH($V$248,Tables!$A$154:$C$154)))</f>
        <v/>
      </c>
      <c r="V254" s="280"/>
      <c r="W254" s="348" t="str">
        <f t="shared" si="55"/>
        <v/>
      </c>
      <c r="X254" s="149"/>
      <c r="Y254" s="161"/>
      <c r="Z254" s="153">
        <v>1.31</v>
      </c>
      <c r="AA254" s="153">
        <v>1.6</v>
      </c>
      <c r="AB254" s="153">
        <v>1.4</v>
      </c>
      <c r="AC254" s="153">
        <v>1.64</v>
      </c>
    </row>
    <row r="255" spans="1:29">
      <c r="A255" s="145">
        <v>51</v>
      </c>
      <c r="B255" s="716"/>
      <c r="C255" s="717"/>
      <c r="D255" s="205">
        <f>IF(P282="","",P282)</f>
        <v>4</v>
      </c>
      <c r="E255" s="206" t="str">
        <f>IF(Q282="","",Q282)</f>
        <v/>
      </c>
      <c r="F255" s="206" t="str">
        <f>IF(R282="","",R282)</f>
        <v/>
      </c>
      <c r="G255" s="206" t="str">
        <f>IF(S282="","",S282)</f>
        <v/>
      </c>
      <c r="H255" s="399" t="str">
        <f>IF(U282="","",U282)</f>
        <v/>
      </c>
      <c r="I255" s="206" t="str">
        <f>IF(V282="","",V282)</f>
        <v/>
      </c>
      <c r="J255" s="348" t="str">
        <f>IF(W282="","",W282)</f>
        <v/>
      </c>
      <c r="K255" s="717"/>
      <c r="L255" s="717"/>
      <c r="M255" s="718"/>
      <c r="N255" s="149"/>
      <c r="O255" s="159"/>
      <c r="P255" s="392">
        <v>4</v>
      </c>
      <c r="Q255" s="205">
        <f t="shared" si="56"/>
        <v>0</v>
      </c>
      <c r="R255" s="206">
        <f t="shared" si="56"/>
        <v>0</v>
      </c>
      <c r="S255" s="280"/>
      <c r="T255" s="398"/>
      <c r="U255" s="394" t="str">
        <f>IF(T255="","",(T255-50)/VLOOKUP(P255,Tables!$A$154:$C$158,MATCH($V$248,Tables!$A$154:$C$154)))</f>
        <v/>
      </c>
      <c r="V255" s="280"/>
      <c r="W255" s="348" t="str">
        <f t="shared" si="55"/>
        <v/>
      </c>
      <c r="X255" s="149"/>
      <c r="Y255" s="161"/>
      <c r="Z255" s="153">
        <v>1.44</v>
      </c>
      <c r="AA255" s="153">
        <v>1.76</v>
      </c>
      <c r="AB255" s="153">
        <v>1.61</v>
      </c>
      <c r="AC255" s="153">
        <v>1.89</v>
      </c>
    </row>
    <row r="256" spans="1:29">
      <c r="A256" s="145">
        <v>52</v>
      </c>
      <c r="B256" s="716"/>
      <c r="C256" s="717"/>
      <c r="D256" s="205">
        <f>IF(P283="","",P283)</f>
        <v>4</v>
      </c>
      <c r="E256" s="206">
        <f>IF(Q283="","",Q283)</f>
        <v>0</v>
      </c>
      <c r="F256" s="206">
        <f>IF(R283="","",R283)</f>
        <v>0</v>
      </c>
      <c r="G256" s="206" t="str">
        <f>IF(S283="","",S283)</f>
        <v/>
      </c>
      <c r="H256" s="399" t="str">
        <f>IF(U283="","",U283)</f>
        <v/>
      </c>
      <c r="I256" s="206" t="str">
        <f>IF(V283="","",V283)</f>
        <v/>
      </c>
      <c r="J256" s="348" t="str">
        <f>IF(W283="","",W283)</f>
        <v/>
      </c>
      <c r="K256" s="717"/>
      <c r="L256" s="717"/>
      <c r="M256" s="718"/>
      <c r="N256" s="149"/>
      <c r="O256" s="159"/>
      <c r="P256" s="392">
        <v>6</v>
      </c>
      <c r="Q256" s="393"/>
      <c r="R256" s="280"/>
      <c r="S256" s="280"/>
      <c r="T256" s="398"/>
      <c r="U256" s="394" t="str">
        <f>IF(T256="","",(T256-50)/VLOOKUP(P256,Tables!$A$154:$C$158,MATCH($V$248,Tables!$A$154:$C$154)))</f>
        <v/>
      </c>
      <c r="V256" s="280"/>
      <c r="W256" s="348" t="str">
        <f t="shared" si="55"/>
        <v/>
      </c>
      <c r="X256" s="149"/>
      <c r="Y256" s="161"/>
    </row>
    <row r="257" spans="1:25" ht="16.2" thickBot="1">
      <c r="A257" s="145">
        <v>53</v>
      </c>
      <c r="B257" s="716"/>
      <c r="C257" s="717"/>
      <c r="D257" s="205">
        <f>IF(P284="","",P284)</f>
        <v>4</v>
      </c>
      <c r="E257" s="206">
        <f>IF(Q284="","",Q284)</f>
        <v>0</v>
      </c>
      <c r="F257" s="206">
        <f>IF(R284="","",R284)</f>
        <v>0</v>
      </c>
      <c r="G257" s="206" t="str">
        <f>IF(S284="","",S284)</f>
        <v/>
      </c>
      <c r="H257" s="399" t="str">
        <f>IF(U284="","",U284)</f>
        <v/>
      </c>
      <c r="I257" s="206" t="str">
        <f>IF(V284="","",V284)</f>
        <v/>
      </c>
      <c r="J257" s="348" t="str">
        <f>IF(W284="","",W284)</f>
        <v/>
      </c>
      <c r="K257" s="717"/>
      <c r="L257" s="717"/>
      <c r="M257" s="718"/>
      <c r="N257" s="149"/>
      <c r="O257" s="159"/>
      <c r="P257" s="401">
        <v>8</v>
      </c>
      <c r="Q257" s="402"/>
      <c r="R257" s="403"/>
      <c r="S257" s="403"/>
      <c r="T257" s="404"/>
      <c r="U257" s="405" t="str">
        <f>IF(T257="","",(T257-50)/VLOOKUP(P257,Tables!$A$154:$C$158,MATCH($V$248,Tables!$A$154:$C$154)))</f>
        <v/>
      </c>
      <c r="V257" s="403"/>
      <c r="W257" s="363" t="str">
        <f t="shared" si="55"/>
        <v/>
      </c>
      <c r="X257" s="149"/>
      <c r="Y257" s="161"/>
    </row>
    <row r="258" spans="1:25" ht="16.2" thickBot="1">
      <c r="A258" s="145">
        <v>54</v>
      </c>
      <c r="B258" s="716"/>
      <c r="C258" s="717"/>
      <c r="D258" s="205">
        <f>IF(P285="","",P285)</f>
        <v>4</v>
      </c>
      <c r="E258" s="206">
        <f>IF(Q285="","",Q285)</f>
        <v>0</v>
      </c>
      <c r="F258" s="206">
        <f>IF(R285="","",R285)</f>
        <v>0</v>
      </c>
      <c r="G258" s="206" t="str">
        <f>IF(S285="","",S285)</f>
        <v/>
      </c>
      <c r="H258" s="399" t="str">
        <f>IF(U285="","",U285)</f>
        <v/>
      </c>
      <c r="I258" s="206" t="str">
        <f>IF(V285="","",V285)</f>
        <v/>
      </c>
      <c r="J258" s="348" t="str">
        <f>IF(W285="","",W285)</f>
        <v/>
      </c>
      <c r="K258" s="717"/>
      <c r="L258" s="717"/>
      <c r="M258" s="718"/>
      <c r="N258" s="149"/>
      <c r="O258" s="159"/>
      <c r="P258" s="149"/>
      <c r="Q258" s="156" t="s">
        <v>710</v>
      </c>
      <c r="R258" s="149"/>
      <c r="S258" s="239"/>
      <c r="T258" s="165" t="s">
        <v>249</v>
      </c>
      <c r="U258" s="406" t="str">
        <f>IF(U251="","",AVERAGE(U251:U257))</f>
        <v/>
      </c>
      <c r="V258" s="149"/>
      <c r="W258" s="411" t="str">
        <f>IF(W251="","",IF(MAX(W251:W257)&gt;0.1,"Fail","Pass"))</f>
        <v/>
      </c>
      <c r="X258" s="149"/>
      <c r="Y258" s="161"/>
    </row>
    <row r="259" spans="1:25">
      <c r="A259" s="145">
        <v>55</v>
      </c>
      <c r="B259" s="716"/>
      <c r="C259" s="717"/>
      <c r="D259" s="205">
        <f>IF(P286="","",P286)</f>
        <v>6</v>
      </c>
      <c r="E259" s="206" t="str">
        <f>IF(Q286="","",Q286)</f>
        <v/>
      </c>
      <c r="F259" s="206" t="str">
        <f>IF(R286="","",R286)</f>
        <v/>
      </c>
      <c r="G259" s="206" t="str">
        <f>IF(S286="","",S286)</f>
        <v/>
      </c>
      <c r="H259" s="399" t="str">
        <f>IF(U286="","",U286)</f>
        <v/>
      </c>
      <c r="I259" s="206" t="str">
        <f>IF(V286="","",V286)</f>
        <v/>
      </c>
      <c r="J259" s="348" t="str">
        <f>IF(W286="","",W286)</f>
        <v/>
      </c>
      <c r="K259" s="717"/>
      <c r="L259" s="717"/>
      <c r="M259" s="718"/>
      <c r="N259" s="149"/>
      <c r="O259" s="159"/>
      <c r="P259" s="246" t="s">
        <v>163</v>
      </c>
      <c r="Q259" s="156" t="s">
        <v>250</v>
      </c>
      <c r="R259" s="149"/>
      <c r="S259" s="149"/>
      <c r="T259" s="149"/>
      <c r="U259" s="149"/>
      <c r="V259" s="149"/>
      <c r="W259" s="210"/>
      <c r="X259" s="149"/>
      <c r="Y259" s="161"/>
    </row>
    <row r="260" spans="1:25" ht="16.2" thickBot="1">
      <c r="A260" s="145">
        <v>56</v>
      </c>
      <c r="B260" s="716"/>
      <c r="C260" s="717"/>
      <c r="D260" s="251">
        <f>IF(P287="","",P287)</f>
        <v>8</v>
      </c>
      <c r="E260" s="252" t="str">
        <f>IF(Q287="","",Q287)</f>
        <v/>
      </c>
      <c r="F260" s="252" t="str">
        <f>IF(R287="","",R287)</f>
        <v/>
      </c>
      <c r="G260" s="252" t="str">
        <f>IF(S287="","",S287)</f>
        <v/>
      </c>
      <c r="H260" s="606" t="str">
        <f>IF(U287="","",U287)</f>
        <v/>
      </c>
      <c r="I260" s="252" t="str">
        <f>IF(V287="","",V287)</f>
        <v/>
      </c>
      <c r="J260" s="363" t="str">
        <f>IF(W287="","",W287)</f>
        <v/>
      </c>
      <c r="K260" s="717"/>
      <c r="L260" s="717"/>
      <c r="M260" s="718"/>
      <c r="N260" s="149"/>
      <c r="O260" s="159"/>
      <c r="P260" s="239"/>
      <c r="Q260" s="239"/>
      <c r="R260" s="239"/>
      <c r="S260" s="239"/>
      <c r="T260" s="239"/>
      <c r="U260" s="239"/>
      <c r="V260" s="239"/>
      <c r="W260" s="149"/>
      <c r="X260" s="149"/>
      <c r="Y260" s="161"/>
    </row>
    <row r="261" spans="1:25" ht="16.2" thickBot="1">
      <c r="A261" s="145">
        <v>57</v>
      </c>
      <c r="B261" s="716"/>
      <c r="C261" s="717"/>
      <c r="D261" s="194"/>
      <c r="E261" s="194"/>
      <c r="F261" s="194"/>
      <c r="G261" s="316" t="s">
        <v>249</v>
      </c>
      <c r="H261" s="383" t="str">
        <f>IF(U288="","",U288)</f>
        <v/>
      </c>
      <c r="I261" s="194"/>
      <c r="J261" s="383" t="str">
        <f>IF(W288="","",W288)</f>
        <v/>
      </c>
      <c r="K261" s="717"/>
      <c r="L261" s="717"/>
      <c r="M261" s="718"/>
      <c r="N261" s="149"/>
      <c r="O261" s="159"/>
      <c r="P261" s="239"/>
      <c r="Q261" s="239"/>
      <c r="R261" s="239"/>
      <c r="S261" s="239"/>
      <c r="T261" s="239"/>
      <c r="U261" s="239"/>
      <c r="V261" s="239"/>
      <c r="W261" s="239"/>
      <c r="X261" s="239"/>
      <c r="Y261" s="161"/>
    </row>
    <row r="262" spans="1:25">
      <c r="A262" s="145">
        <v>58</v>
      </c>
      <c r="B262" s="716"/>
      <c r="C262" s="717"/>
      <c r="D262" s="386" t="s">
        <v>163</v>
      </c>
      <c r="E262" s="317" t="s">
        <v>250</v>
      </c>
      <c r="F262" s="194"/>
      <c r="G262" s="194"/>
      <c r="H262" s="194"/>
      <c r="I262" s="194"/>
      <c r="J262" s="194"/>
      <c r="K262" s="717"/>
      <c r="L262" s="717"/>
      <c r="M262" s="718"/>
      <c r="N262" s="149"/>
      <c r="O262" s="281" t="s">
        <v>253</v>
      </c>
      <c r="P262" s="149"/>
      <c r="Q262" s="149"/>
      <c r="R262" s="149"/>
      <c r="S262" s="149"/>
      <c r="T262" s="149"/>
      <c r="U262" s="149"/>
      <c r="V262" s="149"/>
      <c r="W262" s="149"/>
      <c r="X262" s="149"/>
      <c r="Y262" s="161"/>
    </row>
    <row r="263" spans="1:25">
      <c r="A263" s="145">
        <v>59</v>
      </c>
      <c r="B263" s="716"/>
      <c r="C263" s="717"/>
      <c r="D263" s="717"/>
      <c r="E263" s="717"/>
      <c r="F263" s="717"/>
      <c r="G263" s="717"/>
      <c r="H263" s="717"/>
      <c r="I263" s="717"/>
      <c r="J263" s="717"/>
      <c r="K263" s="717"/>
      <c r="L263" s="717"/>
      <c r="M263" s="718"/>
      <c r="N263" s="149"/>
      <c r="O263" s="159" t="s">
        <v>234</v>
      </c>
      <c r="P263" s="283" t="str">
        <f>P233</f>
        <v>Auto-filter</v>
      </c>
      <c r="Q263" s="149"/>
      <c r="R263" s="165" t="s">
        <v>235</v>
      </c>
      <c r="S263" s="283">
        <f>S233</f>
        <v>2</v>
      </c>
      <c r="T263" s="164" t="s">
        <v>236</v>
      </c>
      <c r="U263" s="210"/>
      <c r="V263" s="149"/>
      <c r="W263" s="149"/>
      <c r="X263" s="581" t="str">
        <f>IF($O$34=1,AB246,Z246)</f>
        <v>Selenia</v>
      </c>
      <c r="Y263" s="416"/>
    </row>
    <row r="264" spans="1:25" ht="16.2" thickBot="1">
      <c r="A264" s="145">
        <v>60</v>
      </c>
      <c r="B264" s="716"/>
      <c r="C264" s="717"/>
      <c r="D264" s="717"/>
      <c r="E264" s="717"/>
      <c r="F264" s="717"/>
      <c r="G264" s="717"/>
      <c r="H264" s="717"/>
      <c r="I264" s="717"/>
      <c r="J264" s="717"/>
      <c r="K264" s="717"/>
      <c r="L264" s="717"/>
      <c r="M264" s="718"/>
      <c r="N264" s="149"/>
      <c r="O264" s="159"/>
      <c r="P264" s="164" t="s">
        <v>254</v>
      </c>
      <c r="Q264" s="164" t="s">
        <v>240</v>
      </c>
      <c r="R264" s="164" t="s">
        <v>50</v>
      </c>
      <c r="S264" s="164" t="s">
        <v>241</v>
      </c>
      <c r="T264" s="164" t="s">
        <v>242</v>
      </c>
      <c r="U264" s="588" t="s">
        <v>709</v>
      </c>
      <c r="V264" s="164" t="s">
        <v>255</v>
      </c>
      <c r="W264" s="149"/>
      <c r="X264" s="417" t="s">
        <v>257</v>
      </c>
      <c r="Y264" s="416" t="s">
        <v>258</v>
      </c>
    </row>
    <row r="265" spans="1:25">
      <c r="A265" s="145">
        <v>61</v>
      </c>
      <c r="B265" s="716"/>
      <c r="C265" s="717"/>
      <c r="D265" s="717"/>
      <c r="E265" s="717"/>
      <c r="F265" s="717"/>
      <c r="G265" s="717"/>
      <c r="H265" s="717"/>
      <c r="I265" s="717"/>
      <c r="J265" s="717"/>
      <c r="K265" s="717"/>
      <c r="L265" s="717"/>
      <c r="M265" s="718"/>
      <c r="N265" s="149"/>
      <c r="O265" s="159"/>
      <c r="P265" s="196">
        <v>-3</v>
      </c>
      <c r="Q265" s="390"/>
      <c r="R265" s="390"/>
      <c r="S265" s="390"/>
      <c r="T265" s="419"/>
      <c r="U265" s="589" t="str">
        <f t="shared" ref="U265:U272" si="57">IF(S265="","",S265-50)</f>
        <v/>
      </c>
      <c r="V265" s="198" t="str">
        <f>IF(OR(U265="",$U$268=""),"",U265/$U$268)</f>
        <v/>
      </c>
      <c r="W265" s="149"/>
      <c r="X265" s="417">
        <f t="shared" ref="X265:Y267" si="58">IF($O$34=1,AB248,Z248)</f>
        <v>0.5</v>
      </c>
      <c r="Y265" s="416">
        <f t="shared" si="58"/>
        <v>0.61</v>
      </c>
    </row>
    <row r="266" spans="1:25">
      <c r="A266" s="145">
        <v>62</v>
      </c>
      <c r="B266" s="716"/>
      <c r="C266" s="717"/>
      <c r="D266" s="717"/>
      <c r="E266" s="717"/>
      <c r="F266" s="717"/>
      <c r="G266" s="717"/>
      <c r="H266" s="717"/>
      <c r="I266" s="717"/>
      <c r="J266" s="717"/>
      <c r="K266" s="717"/>
      <c r="L266" s="717"/>
      <c r="M266" s="718"/>
      <c r="N266" s="149"/>
      <c r="O266" s="159"/>
      <c r="P266" s="205">
        <v>-2</v>
      </c>
      <c r="Q266" s="420"/>
      <c r="R266" s="280"/>
      <c r="S266" s="280"/>
      <c r="T266" s="421"/>
      <c r="U266" s="298" t="str">
        <f t="shared" si="57"/>
        <v/>
      </c>
      <c r="V266" s="208" t="str">
        <f t="shared" ref="V266:V267" si="59">IF(OR(U266="",$U$268=""),"",U266/$U$268)</f>
        <v/>
      </c>
      <c r="W266" s="149"/>
      <c r="X266" s="417">
        <f t="shared" si="58"/>
        <v>0.63</v>
      </c>
      <c r="Y266" s="416">
        <f t="shared" si="58"/>
        <v>0.77</v>
      </c>
    </row>
    <row r="267" spans="1:25">
      <c r="A267" s="145">
        <v>63</v>
      </c>
      <c r="B267" s="716"/>
      <c r="C267" s="717"/>
      <c r="D267" s="717"/>
      <c r="E267" s="717"/>
      <c r="F267" s="717"/>
      <c r="G267" s="717"/>
      <c r="H267" s="717"/>
      <c r="I267" s="717"/>
      <c r="J267" s="717"/>
      <c r="K267" s="717"/>
      <c r="L267" s="717"/>
      <c r="M267" s="718"/>
      <c r="N267" s="149"/>
      <c r="O267" s="159"/>
      <c r="P267" s="205">
        <v>-1</v>
      </c>
      <c r="Q267" s="423"/>
      <c r="R267" s="280"/>
      <c r="S267" s="280"/>
      <c r="T267" s="280"/>
      <c r="U267" s="298" t="str">
        <f t="shared" si="57"/>
        <v/>
      </c>
      <c r="V267" s="208" t="str">
        <f t="shared" si="59"/>
        <v/>
      </c>
      <c r="W267" s="149"/>
      <c r="X267" s="417">
        <f t="shared" si="58"/>
        <v>0.77</v>
      </c>
      <c r="Y267" s="416">
        <f t="shared" si="58"/>
        <v>0.94</v>
      </c>
    </row>
    <row r="268" spans="1:25">
      <c r="A268" s="145">
        <v>64</v>
      </c>
      <c r="B268" s="716"/>
      <c r="C268" s="717"/>
      <c r="D268" s="717"/>
      <c r="E268" s="717"/>
      <c r="F268" s="717"/>
      <c r="G268" s="717"/>
      <c r="H268" s="717"/>
      <c r="I268" s="717"/>
      <c r="J268" s="717"/>
      <c r="K268" s="717"/>
      <c r="L268" s="717"/>
      <c r="M268" s="718"/>
      <c r="N268" s="149"/>
      <c r="O268" s="159"/>
      <c r="P268" s="205">
        <v>0</v>
      </c>
      <c r="Q268" s="423"/>
      <c r="R268" s="206" t="str">
        <f>IF(S237="","",AVERAGE(S237:S240))</f>
        <v/>
      </c>
      <c r="S268" s="206" t="str">
        <f>IF(T237="","",AVERAGE(T237:T240))</f>
        <v/>
      </c>
      <c r="T268" s="396" t="str">
        <f>IF(V237="","",AVERAGE(V237:V240))</f>
        <v/>
      </c>
      <c r="U268" s="298" t="str">
        <f t="shared" si="57"/>
        <v/>
      </c>
      <c r="V268" s="208"/>
      <c r="W268" s="149"/>
      <c r="X268" s="417"/>
      <c r="Y268" s="416"/>
    </row>
    <row r="269" spans="1:25">
      <c r="A269" s="145">
        <v>65</v>
      </c>
      <c r="B269" s="716"/>
      <c r="C269" s="717"/>
      <c r="D269" s="717"/>
      <c r="E269" s="717"/>
      <c r="F269" s="717"/>
      <c r="G269" s="717"/>
      <c r="H269" s="717"/>
      <c r="I269" s="717"/>
      <c r="J269" s="717"/>
      <c r="K269" s="717"/>
      <c r="L269" s="717"/>
      <c r="M269" s="718"/>
      <c r="N269" s="149"/>
      <c r="O269" s="159"/>
      <c r="P269" s="205">
        <v>1</v>
      </c>
      <c r="Q269" s="423"/>
      <c r="R269" s="280"/>
      <c r="S269" s="280"/>
      <c r="T269" s="280"/>
      <c r="U269" s="298" t="str">
        <f t="shared" si="57"/>
        <v/>
      </c>
      <c r="V269" s="208" t="str">
        <f>IF(OR(U269="",$U$268=""),"",U269/$U$268)</f>
        <v/>
      </c>
      <c r="W269" s="149"/>
      <c r="X269" s="417">
        <f t="shared" ref="X269:Y272" si="60">IF($O$34=1,AB252,Z252)</f>
        <v>1.04</v>
      </c>
      <c r="Y269" s="416">
        <f t="shared" si="60"/>
        <v>1.27</v>
      </c>
    </row>
    <row r="270" spans="1:25" ht="16.2" thickBot="1">
      <c r="A270" s="145">
        <v>66</v>
      </c>
      <c r="B270" s="719"/>
      <c r="C270" s="720"/>
      <c r="D270" s="720"/>
      <c r="E270" s="720"/>
      <c r="F270" s="720"/>
      <c r="G270" s="720"/>
      <c r="H270" s="720"/>
      <c r="I270" s="720"/>
      <c r="J270" s="720"/>
      <c r="K270" s="720"/>
      <c r="L270" s="720"/>
      <c r="M270" s="721"/>
      <c r="N270" s="149"/>
      <c r="O270" s="159"/>
      <c r="P270" s="205">
        <v>2</v>
      </c>
      <c r="Q270" s="423"/>
      <c r="R270" s="280"/>
      <c r="S270" s="280"/>
      <c r="T270" s="280"/>
      <c r="U270" s="298" t="str">
        <f t="shared" si="57"/>
        <v/>
      </c>
      <c r="V270" s="208" t="str">
        <f t="shared" ref="V270:V272" si="61">IF(OR(U270="",$U$268=""),"",U270/$U$268)</f>
        <v/>
      </c>
      <c r="W270" s="149"/>
      <c r="X270" s="417">
        <f t="shared" si="60"/>
        <v>1.17</v>
      </c>
      <c r="Y270" s="416">
        <f t="shared" si="60"/>
        <v>1.43</v>
      </c>
    </row>
    <row r="271" spans="1:25" ht="16.2" thickTop="1">
      <c r="A271" s="145">
        <v>67</v>
      </c>
      <c r="B271" s="149"/>
      <c r="C271" s="241" t="s">
        <v>3</v>
      </c>
      <c r="D271" s="582"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57"/>
        <v/>
      </c>
      <c r="V271" s="208" t="str">
        <f t="shared" si="61"/>
        <v/>
      </c>
      <c r="W271" s="149"/>
      <c r="X271" s="417">
        <f t="shared" si="60"/>
        <v>1.31</v>
      </c>
      <c r="Y271" s="416">
        <f t="shared" si="60"/>
        <v>1.6</v>
      </c>
    </row>
    <row r="272" spans="1:25" ht="16.2" thickBot="1">
      <c r="A272" s="145">
        <v>68</v>
      </c>
      <c r="B272" s="149"/>
      <c r="C272" s="241" t="s">
        <v>91</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90" t="str">
        <f t="shared" si="57"/>
        <v/>
      </c>
      <c r="V272" s="253" t="str">
        <f t="shared" si="61"/>
        <v/>
      </c>
      <c r="W272" s="149"/>
      <c r="X272" s="417">
        <f t="shared" si="60"/>
        <v>1.44</v>
      </c>
      <c r="Y272" s="416">
        <f t="shared" si="60"/>
        <v>1.76</v>
      </c>
    </row>
    <row r="273" spans="1:25" ht="16.2">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710</v>
      </c>
      <c r="R273" s="210"/>
      <c r="S273" s="210"/>
      <c r="T273" s="210"/>
      <c r="U273" s="210"/>
      <c r="V273" s="210"/>
      <c r="W273" s="149"/>
      <c r="X273" s="149"/>
      <c r="Y273" s="161"/>
    </row>
    <row r="274" spans="1:25" ht="18" thickBot="1">
      <c r="A274" s="145">
        <v>2</v>
      </c>
      <c r="B274" s="239"/>
      <c r="C274" s="239"/>
      <c r="D274" s="239"/>
      <c r="E274" s="239"/>
      <c r="F274" s="239"/>
      <c r="G274" s="239"/>
      <c r="H274" s="180" t="s">
        <v>51</v>
      </c>
      <c r="I274" s="239"/>
      <c r="J274" s="239"/>
      <c r="K274" s="239"/>
      <c r="L274" s="239"/>
      <c r="M274" s="246" t="str">
        <f>$H$5</f>
        <v>Mammography System Compliance Inspection</v>
      </c>
      <c r="N274" s="149"/>
      <c r="O274" s="159"/>
      <c r="P274" s="386" t="s">
        <v>163</v>
      </c>
      <c r="Q274" s="317" t="s">
        <v>259</v>
      </c>
      <c r="R274" s="194"/>
      <c r="S274" s="194"/>
      <c r="T274" s="194"/>
      <c r="U274" s="194"/>
      <c r="V274" s="194"/>
      <c r="W274" s="194"/>
      <c r="X274" s="194"/>
      <c r="Y274" s="161"/>
    </row>
    <row r="275" spans="1:25" ht="16.8" thickTop="1" thickBot="1">
      <c r="A275" s="145">
        <v>3</v>
      </c>
      <c r="B275" s="184"/>
      <c r="C275" s="186" t="s">
        <v>232</v>
      </c>
      <c r="D275" s="185"/>
      <c r="E275" s="463" t="s">
        <v>635</v>
      </c>
      <c r="F275" s="463" t="s">
        <v>636</v>
      </c>
      <c r="G275" s="463" t="s">
        <v>635</v>
      </c>
      <c r="H275" s="463" t="s">
        <v>636</v>
      </c>
      <c r="I275" s="185"/>
      <c r="J275" s="185"/>
      <c r="K275" s="185"/>
      <c r="L275" s="185"/>
      <c r="M275" s="187"/>
      <c r="N275" s="149"/>
      <c r="O275" s="296"/>
      <c r="Y275" s="161"/>
    </row>
    <row r="276" spans="1:25">
      <c r="A276" s="145">
        <v>4</v>
      </c>
      <c r="B276" s="193"/>
      <c r="C276" s="239"/>
      <c r="D276" s="165" t="s">
        <v>233</v>
      </c>
      <c r="E276" s="196" t="str">
        <f>IF(Q222="","",Q222)</f>
        <v/>
      </c>
      <c r="F276" s="197" t="str">
        <f>IF(R222="","",R222)</f>
        <v/>
      </c>
      <c r="G276" s="197" t="str">
        <f>IF(S222="","",S222)</f>
        <v/>
      </c>
      <c r="H276" s="412" t="str">
        <f>IF(T222="","",T222)</f>
        <v/>
      </c>
      <c r="I276" s="239"/>
      <c r="J276" s="239"/>
      <c r="K276" s="239"/>
      <c r="L276" s="239"/>
      <c r="M276" s="195"/>
      <c r="N276" s="149"/>
      <c r="O276" s="713" t="s">
        <v>720</v>
      </c>
      <c r="Y276" s="161"/>
    </row>
    <row r="277" spans="1:25" ht="16.2" thickBot="1">
      <c r="A277" s="145">
        <v>5</v>
      </c>
      <c r="B277" s="193"/>
      <c r="C277" s="149"/>
      <c r="D277" s="165" t="s">
        <v>29</v>
      </c>
      <c r="E277" s="205" t="str">
        <f>IF(Q223="","",Q223)</f>
        <v/>
      </c>
      <c r="F277" s="206" t="str">
        <f>IF(R223="","",R223)</f>
        <v/>
      </c>
      <c r="G277" s="206" t="str">
        <f>IF(S223="","",S223)</f>
        <v/>
      </c>
      <c r="H277" s="397" t="str">
        <f>IF(T223="","",T223)</f>
        <v/>
      </c>
      <c r="I277" s="149"/>
      <c r="J277" s="149"/>
      <c r="K277" s="149"/>
      <c r="L277" s="149"/>
      <c r="M277" s="195"/>
      <c r="N277" s="149"/>
      <c r="O277" s="214">
        <v>2</v>
      </c>
      <c r="P277" s="153" t="s">
        <v>721</v>
      </c>
      <c r="Y277" s="161"/>
    </row>
    <row r="278" spans="1:25" ht="16.2" thickBot="1">
      <c r="A278" s="145">
        <v>6</v>
      </c>
      <c r="B278" s="193"/>
      <c r="C278" s="149"/>
      <c r="D278" s="165" t="s">
        <v>177</v>
      </c>
      <c r="E278" s="205" t="str">
        <f>IF(Q224="","",Q224)</f>
        <v/>
      </c>
      <c r="F278" s="206" t="str">
        <f>IF(R224="","",R224)</f>
        <v/>
      </c>
      <c r="G278" s="206" t="str">
        <f>IF(S224="","",S224)</f>
        <v/>
      </c>
      <c r="H278" s="397" t="str">
        <f>IF(T224="","",T224)</f>
        <v/>
      </c>
      <c r="J278" s="165" t="s">
        <v>180</v>
      </c>
      <c r="K278" s="295" t="str">
        <f>IF(AND(Q227="",R227="",S227=""),"",IF(OR(Q227="Fail",R227="Fail",S227="Fail"),"Fail","Pass"))</f>
        <v/>
      </c>
      <c r="L278" s="149"/>
      <c r="M278" s="195"/>
      <c r="N278" s="149"/>
      <c r="O278" s="159" t="s">
        <v>234</v>
      </c>
      <c r="P278" s="387" t="s">
        <v>689</v>
      </c>
      <c r="Q278" s="149"/>
      <c r="R278" s="165" t="s">
        <v>235</v>
      </c>
      <c r="S278" s="282">
        <v>2</v>
      </c>
      <c r="T278" s="149"/>
      <c r="U278" s="165" t="s">
        <v>714</v>
      </c>
      <c r="V278" s="282">
        <v>0</v>
      </c>
      <c r="W278" s="149"/>
      <c r="Y278" s="161"/>
    </row>
    <row r="279" spans="1:25">
      <c r="A279" s="145">
        <v>7</v>
      </c>
      <c r="B279" s="193"/>
      <c r="C279" s="149"/>
      <c r="D279" s="165" t="s">
        <v>178</v>
      </c>
      <c r="E279" s="205" t="str">
        <f>IF(Q225="","",Q225)</f>
        <v/>
      </c>
      <c r="F279" s="206" t="str">
        <f>IF(R225="","",R225)</f>
        <v/>
      </c>
      <c r="G279" s="206" t="str">
        <f>IF(S225="","",S225)</f>
        <v/>
      </c>
      <c r="H279" s="397" t="str">
        <f>IF(T225="","",T225)</f>
        <v/>
      </c>
      <c r="I279" s="149"/>
      <c r="J279" s="149"/>
      <c r="K279" s="149"/>
      <c r="L279" s="149"/>
      <c r="M279" s="195"/>
      <c r="N279" s="149"/>
      <c r="O279" s="159"/>
      <c r="P279" s="613" t="s">
        <v>47</v>
      </c>
      <c r="Q279" s="149"/>
      <c r="R279" s="149"/>
      <c r="S279" s="149"/>
      <c r="T279" s="149"/>
      <c r="U279" s="613"/>
      <c r="V279" s="613" t="s">
        <v>236</v>
      </c>
      <c r="W279" s="149"/>
      <c r="Y279" s="161"/>
    </row>
    <row r="280" spans="1:25" ht="16.2" thickBot="1">
      <c r="A280" s="145">
        <v>8</v>
      </c>
      <c r="B280" s="193"/>
      <c r="C280" s="149"/>
      <c r="D280" s="165" t="s">
        <v>237</v>
      </c>
      <c r="E280" s="251" t="str">
        <f>IF(Q226="","",Q226)</f>
        <v/>
      </c>
      <c r="F280" s="252" t="str">
        <f>IF(R226="","",R226)</f>
        <v/>
      </c>
      <c r="G280" s="252" t="str">
        <f>IF(S226="","",S226)</f>
        <v/>
      </c>
      <c r="H280" s="408" t="str">
        <f>IF(T226="","",T226)</f>
        <v/>
      </c>
      <c r="I280" s="149"/>
      <c r="J280" s="149"/>
      <c r="K280" s="149"/>
      <c r="L280" s="149"/>
      <c r="M280" s="195"/>
      <c r="N280" s="149"/>
      <c r="O280" s="159"/>
      <c r="P280" s="613" t="s">
        <v>238</v>
      </c>
      <c r="Q280" s="613" t="s">
        <v>239</v>
      </c>
      <c r="R280" s="613" t="s">
        <v>240</v>
      </c>
      <c r="S280" s="613" t="s">
        <v>50</v>
      </c>
      <c r="T280" s="613" t="s">
        <v>241</v>
      </c>
      <c r="U280" s="588" t="s">
        <v>709</v>
      </c>
      <c r="V280" s="613" t="s">
        <v>242</v>
      </c>
      <c r="W280" s="613" t="s">
        <v>243</v>
      </c>
      <c r="Y280" s="161"/>
    </row>
    <row r="281" spans="1:25" ht="16.2" thickBot="1">
      <c r="A281" s="145">
        <v>9</v>
      </c>
      <c r="B281" s="211"/>
      <c r="C281" s="212"/>
      <c r="D281" s="410" t="s">
        <v>163</v>
      </c>
      <c r="E281" s="168" t="str">
        <f>Q230</f>
        <v>Limiting system resolution must be 7 lp/mm or higher in conventional/2D mode</v>
      </c>
      <c r="F281" s="212"/>
      <c r="G281" s="212"/>
      <c r="H281" s="212"/>
      <c r="I281" s="212"/>
      <c r="J281" s="212"/>
      <c r="K281" s="212"/>
      <c r="L281" s="212"/>
      <c r="M281" s="213"/>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ht="16.2" thickTop="1">
      <c r="A282" s="145">
        <v>10</v>
      </c>
      <c r="B282" s="371"/>
      <c r="C282" s="239"/>
      <c r="D282" s="239"/>
      <c r="E282" s="239"/>
      <c r="F282" s="239"/>
      <c r="G282" s="239"/>
      <c r="H282" s="239"/>
      <c r="I282" s="239"/>
      <c r="J282" s="239"/>
      <c r="K282" s="239"/>
      <c r="L282" s="239"/>
      <c r="M282" s="195"/>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193"/>
      <c r="C283" s="202" t="s">
        <v>260</v>
      </c>
      <c r="D283" s="149"/>
      <c r="E283" s="149"/>
      <c r="F283" s="149"/>
      <c r="G283" s="149"/>
      <c r="H283" s="149"/>
      <c r="I283" s="149"/>
      <c r="J283" s="149"/>
      <c r="K283" s="149"/>
      <c r="L283" s="149"/>
      <c r="M283" s="195"/>
      <c r="N283" s="149"/>
      <c r="O283" s="159"/>
      <c r="P283" s="392">
        <v>4</v>
      </c>
      <c r="Q283" s="205">
        <f t="shared" ref="Q283:R283" si="62">Q282</f>
        <v>0</v>
      </c>
      <c r="R283" s="206">
        <f t="shared" si="62"/>
        <v>0</v>
      </c>
      <c r="S283" s="280"/>
      <c r="T283" s="398"/>
      <c r="U283" s="394" t="str">
        <f>IF(T283="","",(T283-50)/VLOOKUP(P283,Tables!$A$148:$B$152,MATCH($V$278,Tables!$A$148:$B$148)))</f>
        <v/>
      </c>
      <c r="V283" s="280"/>
      <c r="W283" s="348" t="str">
        <f t="shared" ref="W283:W287" si="63">IF(OR(U283="",$U$288=""),"",ABS((U283-$U$288)/$U$288))</f>
        <v/>
      </c>
      <c r="Y283" s="161"/>
    </row>
    <row r="284" spans="1:25" ht="16.2" thickBot="1">
      <c r="A284" s="145">
        <v>12</v>
      </c>
      <c r="B284" s="193"/>
      <c r="C284" s="149"/>
      <c r="D284" s="702" t="s">
        <v>261</v>
      </c>
      <c r="E284" s="702"/>
      <c r="F284" s="210"/>
      <c r="G284" s="702" t="s">
        <v>262</v>
      </c>
      <c r="H284" s="702"/>
      <c r="I284" s="149"/>
      <c r="J284" s="210"/>
      <c r="K284" s="706" t="s">
        <v>263</v>
      </c>
      <c r="L284" s="706"/>
      <c r="M284" s="240"/>
      <c r="N284" s="149"/>
      <c r="O284" s="159"/>
      <c r="P284" s="392">
        <v>4</v>
      </c>
      <c r="Q284" s="205">
        <f t="shared" ref="Q284:R284" si="64">Q283</f>
        <v>0</v>
      </c>
      <c r="R284" s="206">
        <f t="shared" si="64"/>
        <v>0</v>
      </c>
      <c r="S284" s="280"/>
      <c r="T284" s="398"/>
      <c r="U284" s="394" t="str">
        <f>IF(T284="","",(T284-50)/VLOOKUP(P284,Tables!$A$148:$B$152,MATCH($V$278,Tables!$A$148:$B$148)))</f>
        <v/>
      </c>
      <c r="V284" s="280"/>
      <c r="W284" s="348" t="str">
        <f t="shared" si="63"/>
        <v/>
      </c>
      <c r="Y284" s="161"/>
    </row>
    <row r="285" spans="1:25" ht="16.2" thickBot="1">
      <c r="A285" s="145">
        <v>13</v>
      </c>
      <c r="B285" s="193"/>
      <c r="C285" s="210"/>
      <c r="D285" s="316" t="s">
        <v>177</v>
      </c>
      <c r="E285" s="388">
        <f>IF(Q441="","",Q441)</f>
        <v>0</v>
      </c>
      <c r="F285" s="149"/>
      <c r="G285" s="164" t="s">
        <v>265</v>
      </c>
      <c r="H285" s="164" t="s">
        <v>266</v>
      </c>
      <c r="I285" s="164" t="s">
        <v>202</v>
      </c>
      <c r="J285" s="210"/>
      <c r="K285" s="164" t="s">
        <v>199</v>
      </c>
      <c r="L285" s="339" t="s">
        <v>201</v>
      </c>
      <c r="M285" s="240"/>
      <c r="N285" s="149"/>
      <c r="O285" s="159"/>
      <c r="P285" s="392">
        <v>4</v>
      </c>
      <c r="Q285" s="205">
        <f t="shared" ref="Q285:R285" si="65">Q284</f>
        <v>0</v>
      </c>
      <c r="R285" s="206">
        <f t="shared" si="65"/>
        <v>0</v>
      </c>
      <c r="S285" s="280"/>
      <c r="T285" s="398"/>
      <c r="U285" s="394" t="str">
        <f>IF(T285="","",(T285-50)/VLOOKUP(P285,Tables!$A$148:$B$152,MATCH($V$278,Tables!$A$148:$B$148)))</f>
        <v/>
      </c>
      <c r="V285" s="280"/>
      <c r="W285" s="348" t="str">
        <f t="shared" si="63"/>
        <v/>
      </c>
      <c r="Y285" s="161"/>
    </row>
    <row r="286" spans="1:25" ht="16.2" thickBot="1">
      <c r="A286" s="145">
        <v>14</v>
      </c>
      <c r="B286" s="193"/>
      <c r="C286" s="210"/>
      <c r="D286" s="316" t="s">
        <v>268</v>
      </c>
      <c r="E286" s="392">
        <f>IF(Q442="","",Q442)</f>
        <v>0</v>
      </c>
      <c r="F286" s="165" t="s">
        <v>177</v>
      </c>
      <c r="G286" s="196">
        <f>IF(P457="","",P457)</f>
        <v>0</v>
      </c>
      <c r="H286" s="197" t="str">
        <f>IF(R457="","",R457)</f>
        <v/>
      </c>
      <c r="I286" s="412" t="str">
        <f>IF(T457="","",T457)</f>
        <v/>
      </c>
      <c r="J286" s="210"/>
      <c r="K286" s="165" t="s">
        <v>269</v>
      </c>
      <c r="L286" s="413" t="str">
        <f>IF(R449="","",R449)</f>
        <v/>
      </c>
      <c r="M286" s="240"/>
      <c r="N286" s="149"/>
      <c r="O286" s="159"/>
      <c r="P286" s="392">
        <v>6</v>
      </c>
      <c r="Q286" s="393"/>
      <c r="R286" s="280"/>
      <c r="S286" s="280"/>
      <c r="T286" s="398"/>
      <c r="U286" s="394" t="str">
        <f>IF(T286="","",(T286-50)/VLOOKUP(P286,Tables!$A$148:$B$152,MATCH($V$278,Tables!$A$148:$B$148)))</f>
        <v/>
      </c>
      <c r="V286" s="280"/>
      <c r="W286" s="348" t="str">
        <f t="shared" si="63"/>
        <v/>
      </c>
      <c r="Y286" s="161"/>
    </row>
    <row r="287" spans="1:25" ht="16.2" thickBot="1">
      <c r="A287" s="145">
        <v>15</v>
      </c>
      <c r="B287" s="193"/>
      <c r="C287" s="210"/>
      <c r="D287" s="316" t="s">
        <v>271</v>
      </c>
      <c r="E287" s="392" t="str">
        <f>IF(Q443="","",Q443)</f>
        <v/>
      </c>
      <c r="F287" s="165" t="s">
        <v>268</v>
      </c>
      <c r="G287" s="205">
        <f>IF(P458="","",P458)</f>
        <v>0</v>
      </c>
      <c r="H287" s="206" t="str">
        <f>IF(R458="","",R458)</f>
        <v/>
      </c>
      <c r="I287" s="397" t="str">
        <f>IF(T458="","",T458)</f>
        <v/>
      </c>
      <c r="J287" s="165" t="s">
        <v>272</v>
      </c>
      <c r="K287" s="196" t="str">
        <f>IF(Q451="","",Q451)</f>
        <v/>
      </c>
      <c r="L287" s="412" t="str">
        <f>IF(R451="","",R451)</f>
        <v/>
      </c>
      <c r="M287" s="240"/>
      <c r="N287" s="149"/>
      <c r="O287" s="159"/>
      <c r="P287" s="401">
        <v>8</v>
      </c>
      <c r="Q287" s="402"/>
      <c r="R287" s="403"/>
      <c r="S287" s="403"/>
      <c r="T287" s="404"/>
      <c r="U287" s="405" t="str">
        <f>IF(T287="","",(T287-50)/VLOOKUP(P287,Tables!$A$148:$B$152,MATCH($V$278,Tables!$A$148:$B$148)))</f>
        <v/>
      </c>
      <c r="V287" s="403"/>
      <c r="W287" s="363" t="str">
        <f t="shared" si="63"/>
        <v/>
      </c>
      <c r="Y287" s="161"/>
    </row>
    <row r="288" spans="1:25" ht="16.2" thickBot="1">
      <c r="A288" s="145">
        <v>16</v>
      </c>
      <c r="B288" s="193"/>
      <c r="C288" s="210"/>
      <c r="D288" s="316" t="s">
        <v>274</v>
      </c>
      <c r="E288" s="392" t="str">
        <f>IF(Q444="","",Q444)</f>
        <v/>
      </c>
      <c r="F288" s="165" t="s">
        <v>179</v>
      </c>
      <c r="G288" s="205">
        <f>IF(P459="","",P459)</f>
        <v>0</v>
      </c>
      <c r="H288" s="206" t="str">
        <f>IF(R459="","",R459)</f>
        <v/>
      </c>
      <c r="I288" s="397" t="str">
        <f>IF(T459="","",T459)</f>
        <v/>
      </c>
      <c r="J288" s="165" t="s">
        <v>275</v>
      </c>
      <c r="K288" s="205" t="str">
        <f>IF(Q452="","",Q452)</f>
        <v/>
      </c>
      <c r="L288" s="397" t="str">
        <f>IF(R452="","",R452)</f>
        <v/>
      </c>
      <c r="M288" s="240"/>
      <c r="N288" s="149"/>
      <c r="O288" s="159"/>
      <c r="P288" s="149"/>
      <c r="Q288" s="156" t="s">
        <v>710</v>
      </c>
      <c r="R288" s="149"/>
      <c r="S288" s="239"/>
      <c r="T288" s="165"/>
      <c r="U288" s="406" t="str">
        <f>IF(U281="","",AVERAGE(U281:U287))</f>
        <v/>
      </c>
      <c r="V288" s="149"/>
      <c r="W288" s="411" t="str">
        <f>IF(W281="","",IF(MAX(W281:W287)&gt;0.1,"Fail","Pass"))</f>
        <v/>
      </c>
      <c r="Y288" s="161"/>
    </row>
    <row r="289" spans="1:32" ht="16.2" thickBot="1">
      <c r="A289" s="145">
        <v>17</v>
      </c>
      <c r="B289" s="193"/>
      <c r="C289" s="210"/>
      <c r="D289" s="316" t="s">
        <v>279</v>
      </c>
      <c r="E289" s="392" t="str">
        <f>IF(Q445="","",Q445)</f>
        <v/>
      </c>
      <c r="F289" s="165" t="s">
        <v>272</v>
      </c>
      <c r="G289" s="205" t="str">
        <f>IF(P460="","",P460)</f>
        <v/>
      </c>
      <c r="H289" s="206" t="str">
        <f>IF(R460="","",R460)</f>
        <v/>
      </c>
      <c r="I289" s="397" t="str">
        <f>IF(T460="","",T460)</f>
        <v/>
      </c>
      <c r="J289" s="165" t="s">
        <v>280</v>
      </c>
      <c r="K289" s="251" t="str">
        <f>IF(Q453="","",Q453)</f>
        <v/>
      </c>
      <c r="L289" s="408" t="str">
        <f>IF(R453="","",R453)</f>
        <v/>
      </c>
      <c r="M289" s="240"/>
      <c r="N289" s="149"/>
      <c r="O289" s="159"/>
      <c r="P289" s="241" t="s">
        <v>163</v>
      </c>
      <c r="Q289" s="156" t="s">
        <v>250</v>
      </c>
      <c r="R289" s="149"/>
      <c r="S289" s="149"/>
      <c r="T289" s="149"/>
      <c r="U289" s="149"/>
      <c r="V289" s="149"/>
      <c r="W289" s="210"/>
      <c r="X289" s="171"/>
      <c r="Y289" s="172"/>
    </row>
    <row r="290" spans="1:32" ht="16.2" thickBot="1">
      <c r="A290" s="145">
        <v>18</v>
      </c>
      <c r="B290" s="193"/>
      <c r="C290" s="210"/>
      <c r="D290" s="316" t="s">
        <v>282</v>
      </c>
      <c r="E290" s="392" t="str">
        <f>IF(Q446="","",Q446)</f>
        <v/>
      </c>
      <c r="F290" s="165" t="s">
        <v>275</v>
      </c>
      <c r="G290" s="205" t="str">
        <f>IF(P461="","",P461)</f>
        <v/>
      </c>
      <c r="H290" s="206" t="str">
        <f>IF(R461="","",R461)</f>
        <v/>
      </c>
      <c r="I290" s="397" t="str">
        <f>IF(T461="","",T461)</f>
        <v/>
      </c>
      <c r="J290" s="210"/>
      <c r="K290" s="165" t="s">
        <v>269</v>
      </c>
      <c r="L290" s="418" t="str">
        <f>IF(V449="","",V449)</f>
        <v/>
      </c>
      <c r="M290" s="240"/>
      <c r="N290" s="149"/>
      <c r="O290" s="279" t="s">
        <v>264</v>
      </c>
      <c r="P290" s="151"/>
      <c r="Q290" s="151"/>
      <c r="R290" s="151"/>
      <c r="S290" s="151"/>
      <c r="T290" s="151"/>
      <c r="U290" s="151"/>
      <c r="V290" s="151"/>
      <c r="W290" s="151"/>
      <c r="X290" s="151"/>
      <c r="Y290" s="152"/>
    </row>
    <row r="291" spans="1:32" ht="16.2" thickBot="1">
      <c r="A291" s="145">
        <v>19</v>
      </c>
      <c r="B291" s="193"/>
      <c r="C291" s="149"/>
      <c r="D291" s="316" t="s">
        <v>272</v>
      </c>
      <c r="E291" s="392" t="str">
        <f>IF(U441="","",U441)</f>
        <v/>
      </c>
      <c r="F291" s="165" t="s">
        <v>280</v>
      </c>
      <c r="G291" s="251" t="str">
        <f>IF(P462="","",P462)</f>
        <v/>
      </c>
      <c r="H291" s="252" t="str">
        <f>IF(R462="","",R462)</f>
        <v/>
      </c>
      <c r="I291" s="408" t="str">
        <f>IF(T462="","",T462)</f>
        <v/>
      </c>
      <c r="J291" s="165" t="s">
        <v>272</v>
      </c>
      <c r="K291" s="196" t="str">
        <f>IF(U451="","",U451)</f>
        <v/>
      </c>
      <c r="L291" s="412" t="str">
        <f>IF(V451="","",V451)</f>
        <v/>
      </c>
      <c r="M291" s="240"/>
      <c r="N291" s="149"/>
      <c r="O291" s="159"/>
      <c r="P291" s="165" t="s">
        <v>267</v>
      </c>
      <c r="Q291" s="387"/>
      <c r="R291" s="149"/>
      <c r="S291" s="165" t="s">
        <v>177</v>
      </c>
      <c r="T291" s="387"/>
      <c r="U291" s="149"/>
      <c r="V291" s="210"/>
      <c r="W291" s="210"/>
      <c r="X291" s="149"/>
      <c r="Y291" s="161"/>
    </row>
    <row r="292" spans="1:32">
      <c r="A292" s="145">
        <v>20</v>
      </c>
      <c r="B292" s="193"/>
      <c r="C292" s="149"/>
      <c r="D292" s="316" t="s">
        <v>275</v>
      </c>
      <c r="E292" s="392" t="str">
        <f>IF(U442="","",U442)</f>
        <v/>
      </c>
      <c r="F292" s="234" t="s">
        <v>163</v>
      </c>
      <c r="G292" s="149"/>
      <c r="H292" s="149"/>
      <c r="I292" s="149"/>
      <c r="J292" s="165" t="s">
        <v>275</v>
      </c>
      <c r="K292" s="205" t="str">
        <f>IF(U452="","",U452)</f>
        <v/>
      </c>
      <c r="L292" s="397" t="str">
        <f>IF(V452="","",V452)</f>
        <v/>
      </c>
      <c r="M292" s="240"/>
      <c r="N292" s="149"/>
      <c r="O292" s="159"/>
      <c r="P292" s="165" t="s">
        <v>270</v>
      </c>
      <c r="Q292" s="282"/>
      <c r="R292" s="149"/>
      <c r="S292" s="165" t="s">
        <v>268</v>
      </c>
      <c r="T292" s="387"/>
      <c r="U292" s="149"/>
      <c r="V292" s="149"/>
      <c r="W292" s="149"/>
      <c r="X292" s="149"/>
      <c r="Y292" s="161"/>
    </row>
    <row r="293" spans="1:32" ht="16.2" thickBot="1">
      <c r="A293" s="145">
        <v>21</v>
      </c>
      <c r="B293" s="193"/>
      <c r="C293" s="194"/>
      <c r="D293" s="316" t="s">
        <v>280</v>
      </c>
      <c r="E293" s="401" t="str">
        <f>IF(U443="","",U443)</f>
        <v/>
      </c>
      <c r="F293" s="317" t="s">
        <v>286</v>
      </c>
      <c r="G293" s="422"/>
      <c r="H293" s="194"/>
      <c r="I293" s="194"/>
      <c r="J293" s="316" t="s">
        <v>280</v>
      </c>
      <c r="K293" s="251" t="str">
        <f>IF(U453="","",U453)</f>
        <v/>
      </c>
      <c r="L293" s="408" t="str">
        <f>IF(V453="","",V453)</f>
        <v/>
      </c>
      <c r="M293" s="240"/>
      <c r="N293" s="149"/>
      <c r="O293" s="159"/>
      <c r="P293" s="149"/>
      <c r="Q293" s="149"/>
      <c r="R293" s="149"/>
      <c r="S293" s="164" t="s">
        <v>236</v>
      </c>
      <c r="T293" s="149"/>
      <c r="U293" s="149" t="s">
        <v>273</v>
      </c>
      <c r="V293" s="149"/>
      <c r="W293" s="149"/>
      <c r="X293" s="149"/>
      <c r="Y293" s="161"/>
      <c r="AA293" s="153" t="s">
        <v>705</v>
      </c>
      <c r="AC293" s="153" t="s">
        <v>706</v>
      </c>
    </row>
    <row r="294" spans="1:32">
      <c r="A294" s="145">
        <v>22</v>
      </c>
      <c r="B294" s="371"/>
      <c r="C294" s="587"/>
      <c r="D294" s="587"/>
      <c r="E294" s="587"/>
      <c r="F294" s="317" t="s">
        <v>288</v>
      </c>
      <c r="G294" s="422"/>
      <c r="H294" s="587"/>
      <c r="I294" s="587"/>
      <c r="J294" s="587"/>
      <c r="K294" s="587"/>
      <c r="L294" s="587"/>
      <c r="M294" s="240"/>
      <c r="N294" s="149"/>
      <c r="O294" s="431"/>
      <c r="P294" s="149"/>
      <c r="Q294" s="164" t="s">
        <v>50</v>
      </c>
      <c r="R294" s="164" t="s">
        <v>241</v>
      </c>
      <c r="S294" s="164" t="s">
        <v>242</v>
      </c>
      <c r="T294" s="164" t="s">
        <v>276</v>
      </c>
      <c r="U294" s="164" t="s">
        <v>277</v>
      </c>
      <c r="V294" s="149"/>
      <c r="W294" s="165" t="s">
        <v>278</v>
      </c>
      <c r="X294" s="284" t="str">
        <f>IF(T291="","",VLOOKUP(T291,Tables!B87:C93,2))</f>
        <v/>
      </c>
      <c r="Y294" s="161"/>
      <c r="AA294" s="153" t="s">
        <v>355</v>
      </c>
      <c r="AB294" s="153" t="s">
        <v>356</v>
      </c>
      <c r="AC294" s="153" t="s">
        <v>355</v>
      </c>
      <c r="AD294" s="153" t="s">
        <v>356</v>
      </c>
      <c r="AE294" s="153" t="s">
        <v>544</v>
      </c>
      <c r="AF294" s="153" t="s">
        <v>543</v>
      </c>
    </row>
    <row r="295" spans="1:32" ht="16.2" thickBot="1">
      <c r="A295" s="145">
        <v>23</v>
      </c>
      <c r="B295" s="380"/>
      <c r="C295" s="381"/>
      <c r="D295" s="381"/>
      <c r="E295" s="381"/>
      <c r="F295" s="381"/>
      <c r="G295" s="381"/>
      <c r="H295" s="381"/>
      <c r="I295" s="381"/>
      <c r="J295" s="381"/>
      <c r="K295" s="381"/>
      <c r="L295" s="381"/>
      <c r="M295" s="382"/>
      <c r="N295" s="149"/>
      <c r="O295" s="431"/>
      <c r="P295" s="149"/>
      <c r="Q295" s="280"/>
      <c r="R295" s="280"/>
      <c r="S295" s="280"/>
      <c r="T295" s="433" t="str">
        <f>IF(Q295="","",Q295/$T$292)</f>
        <v/>
      </c>
      <c r="U295" s="396" t="str">
        <f>IF(Q295="","",($T$291^2*Tables!D82+Tables!D83)*Q295)</f>
        <v/>
      </c>
      <c r="V295" s="149"/>
      <c r="W295" s="165" t="s">
        <v>281</v>
      </c>
      <c r="X295" s="284" t="str">
        <f>IF(U299="","",Q299*($T$291^2*Tables!D82+Tables!D83))</f>
        <v/>
      </c>
      <c r="Y295" s="161"/>
      <c r="AE295" s="153" t="e">
        <f>(AA295-50)/AB295</f>
        <v>#DIV/0!</v>
      </c>
      <c r="AF295" s="153" t="e">
        <f>(AA295-AC295)/AB295</f>
        <v>#DIV/0!</v>
      </c>
    </row>
    <row r="296" spans="1:32" ht="16.2" thickTop="1">
      <c r="A296" s="145">
        <v>24</v>
      </c>
      <c r="N296" s="149"/>
      <c r="O296" s="431"/>
      <c r="P296" s="149"/>
      <c r="Q296" s="280"/>
      <c r="R296" s="280"/>
      <c r="S296" s="280"/>
      <c r="T296" s="433" t="str">
        <f>IF(Q296="","",Q296/$T$292)</f>
        <v/>
      </c>
      <c r="U296" s="396" t="str">
        <f>IF(Q296="","",($T$291^2*Tables!D82+Tables!D83)*Q296)</f>
        <v/>
      </c>
      <c r="V296" s="149"/>
      <c r="W296" s="165" t="s">
        <v>283</v>
      </c>
      <c r="X296" s="435" t="str">
        <f>IF(Q292="","",HLOOKUP(Q292,Tables!A105:F106,2,FALSE))</f>
        <v/>
      </c>
      <c r="Y296" s="161"/>
      <c r="AE296" s="153" t="e">
        <f t="shared" ref="AE296:AE298" si="66">(AA296-50)/AB296</f>
        <v>#DIV/0!</v>
      </c>
      <c r="AF296" s="153" t="e">
        <f t="shared" ref="AF296:AF298" si="67">(AA296-AC296)/AB296</f>
        <v>#DIV/0!</v>
      </c>
    </row>
    <row r="297" spans="1:32">
      <c r="A297" s="145">
        <v>25</v>
      </c>
      <c r="N297" s="149"/>
      <c r="O297" s="431"/>
      <c r="P297" s="149"/>
      <c r="Q297" s="280"/>
      <c r="R297" s="280"/>
      <c r="S297" s="280"/>
      <c r="T297" s="433" t="str">
        <f>IF(Q297="","",Q297/$T$292)</f>
        <v/>
      </c>
      <c r="U297" s="396" t="str">
        <f>IF(Q297="","",($T$291^2*Tables!D82+Tables!D83)*Q297)</f>
        <v/>
      </c>
      <c r="V297" s="149"/>
      <c r="W297" s="165" t="s">
        <v>284</v>
      </c>
      <c r="X297" s="284" t="str">
        <f>IF(OR(X295="",X296=""),"",(X296*(X295/8.76))/100)</f>
        <v/>
      </c>
      <c r="Y297" s="161"/>
      <c r="AE297" s="153" t="e">
        <f t="shared" si="66"/>
        <v>#DIV/0!</v>
      </c>
      <c r="AF297" s="153" t="e">
        <f t="shared" si="67"/>
        <v>#DIV/0!</v>
      </c>
    </row>
    <row r="298" spans="1:32">
      <c r="A298" s="145">
        <v>26</v>
      </c>
      <c r="N298" s="149"/>
      <c r="O298" s="431"/>
      <c r="P298" s="149"/>
      <c r="Q298" s="280"/>
      <c r="R298" s="280"/>
      <c r="S298" s="280"/>
      <c r="T298" s="433" t="str">
        <f>IF(Q298="","",Q298/$T$292)</f>
        <v/>
      </c>
      <c r="U298" s="396" t="str">
        <f>IF(Q298="","",($T$291^2*Tables!D82+Tables!D83)*Q298)</f>
        <v/>
      </c>
      <c r="V298" s="149"/>
      <c r="W298" s="165" t="s">
        <v>285</v>
      </c>
      <c r="X298" s="439" t="str">
        <f>IF(AB86="","",AB86)</f>
        <v/>
      </c>
      <c r="Y298" s="161"/>
      <c r="AE298" s="153" t="e">
        <f t="shared" si="66"/>
        <v>#DIV/0!</v>
      </c>
      <c r="AF298" s="153" t="e">
        <f t="shared" si="67"/>
        <v>#DIV/0!</v>
      </c>
    </row>
    <row r="299" spans="1:32">
      <c r="A299" s="145">
        <v>27</v>
      </c>
      <c r="N299" s="149"/>
      <c r="O299" s="431"/>
      <c r="P299" s="165" t="s">
        <v>249</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287</v>
      </c>
      <c r="X299" s="144" t="str">
        <f>IF(OR(X297="",X298=""),"",(X297-X298)/X298)</f>
        <v/>
      </c>
      <c r="Y299" s="161"/>
    </row>
    <row r="300" spans="1:32">
      <c r="A300" s="145">
        <v>28</v>
      </c>
      <c r="N300" s="149"/>
      <c r="O300" s="431"/>
      <c r="P300" s="165" t="s">
        <v>289</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c r="A301" s="145">
        <v>29</v>
      </c>
      <c r="N301" s="149"/>
      <c r="O301" s="159"/>
      <c r="P301" s="210"/>
      <c r="Q301" s="210"/>
      <c r="R301" s="210"/>
      <c r="S301" s="210"/>
      <c r="T301" s="210"/>
      <c r="U301" s="210"/>
      <c r="V301" s="149"/>
      <c r="W301" s="149"/>
      <c r="X301" s="149"/>
      <c r="Y301" s="161"/>
    </row>
    <row r="302" spans="1:32">
      <c r="A302" s="145">
        <v>30</v>
      </c>
      <c r="N302" s="149"/>
      <c r="O302" s="159"/>
      <c r="P302" s="210" t="s">
        <v>163</v>
      </c>
      <c r="Q302" s="210" t="s">
        <v>290</v>
      </c>
      <c r="R302" s="149"/>
      <c r="S302" s="149"/>
      <c r="T302" s="149"/>
      <c r="U302" s="149"/>
      <c r="V302" s="149"/>
      <c r="W302" s="165" t="s">
        <v>291</v>
      </c>
      <c r="X302" s="144" t="str">
        <f>IF(X297="","",(X297-AVERAGE(S295:S298))/AVERAGE(S295:S298))</f>
        <v/>
      </c>
      <c r="Y302" s="161"/>
    </row>
    <row r="303" spans="1:32">
      <c r="A303" s="145">
        <v>31</v>
      </c>
      <c r="N303" s="149"/>
      <c r="O303" s="159"/>
      <c r="P303" s="210"/>
      <c r="Q303" s="210" t="s">
        <v>292</v>
      </c>
      <c r="R303" s="149"/>
      <c r="S303" s="149"/>
      <c r="T303" s="149"/>
      <c r="U303" s="149"/>
      <c r="V303" s="149"/>
      <c r="W303" s="165" t="s">
        <v>293</v>
      </c>
      <c r="X303" s="435" t="str">
        <f>IF(OR(X297="",Q299=""),"",3/(X297/Q299))</f>
        <v/>
      </c>
      <c r="Y303" s="161"/>
    </row>
    <row r="304" spans="1:32" ht="16.2" thickBot="1">
      <c r="A304" s="145">
        <v>32</v>
      </c>
      <c r="N304" s="149"/>
      <c r="O304" s="170"/>
      <c r="P304" s="440"/>
      <c r="Q304" s="440"/>
      <c r="R304" s="171"/>
      <c r="S304" s="171"/>
      <c r="T304" s="440"/>
      <c r="U304" s="440"/>
      <c r="V304" s="171"/>
      <c r="W304" s="441"/>
      <c r="X304" s="171"/>
      <c r="Y304" s="172"/>
    </row>
    <row r="305" spans="1:25">
      <c r="A305" s="145">
        <v>33</v>
      </c>
      <c r="N305" s="149"/>
      <c r="O305" s="279" t="s">
        <v>294</v>
      </c>
      <c r="P305" s="151"/>
      <c r="Q305" s="151"/>
      <c r="R305" s="151"/>
      <c r="S305" s="151"/>
      <c r="T305" s="151"/>
      <c r="U305" s="151"/>
      <c r="V305" s="151"/>
      <c r="W305" s="151"/>
      <c r="X305" s="151"/>
      <c r="Y305" s="152"/>
    </row>
    <row r="306" spans="1:25">
      <c r="A306" s="145">
        <v>34</v>
      </c>
      <c r="N306" s="149"/>
      <c r="O306" s="159"/>
      <c r="P306" s="165" t="s">
        <v>267</v>
      </c>
      <c r="Q306" s="609">
        <f>$Q$291</f>
        <v>0</v>
      </c>
      <c r="R306" s="149"/>
      <c r="S306" s="165" t="s">
        <v>177</v>
      </c>
      <c r="T306" s="282"/>
      <c r="U306" s="149"/>
      <c r="V306" s="210"/>
      <c r="W306" s="210"/>
      <c r="X306" s="149"/>
      <c r="Y306" s="161"/>
    </row>
    <row r="307" spans="1:25">
      <c r="A307" s="145">
        <v>35</v>
      </c>
      <c r="N307" s="149"/>
      <c r="O307" s="159"/>
      <c r="P307" s="165" t="s">
        <v>270</v>
      </c>
      <c r="Q307" s="282"/>
      <c r="R307" s="149"/>
      <c r="S307" s="165" t="s">
        <v>268</v>
      </c>
      <c r="T307" s="282"/>
      <c r="U307" s="149"/>
      <c r="V307" s="149"/>
      <c r="W307" s="149"/>
      <c r="X307" s="149"/>
      <c r="Y307" s="161"/>
    </row>
    <row r="308" spans="1:25">
      <c r="A308" s="145">
        <v>36</v>
      </c>
      <c r="N308" s="149"/>
      <c r="O308" s="159"/>
      <c r="P308" s="149"/>
      <c r="Q308" s="149"/>
      <c r="R308" s="149"/>
      <c r="S308" s="613" t="s">
        <v>236</v>
      </c>
      <c r="T308" s="149"/>
      <c r="U308" s="149" t="s">
        <v>273</v>
      </c>
      <c r="V308" s="149"/>
      <c r="W308" s="149"/>
      <c r="X308" s="149"/>
      <c r="Y308" s="161"/>
    </row>
    <row r="309" spans="1:25">
      <c r="A309" s="145">
        <v>37</v>
      </c>
      <c r="N309" s="149"/>
      <c r="O309" s="431"/>
      <c r="P309" s="149"/>
      <c r="Q309" s="613" t="s">
        <v>50</v>
      </c>
      <c r="R309" s="613" t="s">
        <v>241</v>
      </c>
      <c r="S309" s="613" t="s">
        <v>242</v>
      </c>
      <c r="T309" s="613" t="s">
        <v>276</v>
      </c>
      <c r="U309" s="613" t="s">
        <v>277</v>
      </c>
      <c r="V309" s="149"/>
      <c r="W309" s="165" t="s">
        <v>278</v>
      </c>
      <c r="X309" s="284" t="str">
        <f>IF(T306="","",VLOOKUP(T306,Tables!H87:I91,2))</f>
        <v/>
      </c>
      <c r="Y309" s="161"/>
    </row>
    <row r="310" spans="1:25">
      <c r="A310" s="145">
        <v>38</v>
      </c>
      <c r="N310" s="149"/>
      <c r="O310" s="431"/>
      <c r="P310" s="149"/>
      <c r="Q310" s="280"/>
      <c r="R310" s="280"/>
      <c r="S310" s="280"/>
      <c r="T310" s="433" t="str">
        <f>IF(Q310="","",Q310/$T$307)</f>
        <v/>
      </c>
      <c r="U310" s="396" t="str">
        <f>IF(Q310="","",($T$291^2*Tables!D82+Tables!D83)*Q310)</f>
        <v/>
      </c>
      <c r="V310" s="149"/>
      <c r="W310" s="165" t="s">
        <v>281</v>
      </c>
      <c r="X310" s="284" t="str">
        <f>IF(U314="","",Q314*($T$306^2*Tables!P78+Tables!P79))</f>
        <v/>
      </c>
      <c r="Y310" s="161"/>
    </row>
    <row r="311" spans="1:25">
      <c r="A311" s="145">
        <v>39</v>
      </c>
      <c r="N311" s="149"/>
      <c r="O311" s="431"/>
      <c r="P311" s="149"/>
      <c r="Q311" s="280"/>
      <c r="R311" s="280"/>
      <c r="S311" s="280"/>
      <c r="T311" s="433" t="str">
        <f>IF(Q311="","",Q311/$T$307)</f>
        <v/>
      </c>
      <c r="U311" s="396" t="str">
        <f>IF(Q311="","",($T$291^2*Tables!D82+Tables!D83)*Q311)</f>
        <v/>
      </c>
      <c r="V311" s="149"/>
      <c r="W311" s="165" t="s">
        <v>283</v>
      </c>
      <c r="X311" s="435" t="str">
        <f>IF(Q307="","",HLOOKUP(Q307,Tables!A105:F106,2,FALSE))</f>
        <v/>
      </c>
      <c r="Y311" s="161"/>
    </row>
    <row r="312" spans="1:25">
      <c r="A312" s="145">
        <v>40</v>
      </c>
      <c r="N312" s="149"/>
      <c r="O312" s="431"/>
      <c r="P312" s="149"/>
      <c r="Q312" s="280"/>
      <c r="R312" s="280"/>
      <c r="S312" s="280"/>
      <c r="T312" s="433" t="str">
        <f>IF(Q312="","",Q312/$T$307)</f>
        <v/>
      </c>
      <c r="U312" s="396" t="str">
        <f>IF(Q312="","",($T$291^2*Tables!D82+Tables!D83)*Q312)</f>
        <v/>
      </c>
      <c r="V312" s="149"/>
      <c r="W312" s="165" t="s">
        <v>284</v>
      </c>
      <c r="X312" s="284" t="str">
        <f>IF($O$34=2,"NA",IF(OR(X310="",X311=""),"",(X311*(X310/8.76))/100))</f>
        <v/>
      </c>
      <c r="Y312" s="161"/>
    </row>
    <row r="313" spans="1:25">
      <c r="A313" s="145">
        <v>41</v>
      </c>
      <c r="N313" s="149"/>
      <c r="O313" s="431"/>
      <c r="P313" s="149"/>
      <c r="Q313" s="280"/>
      <c r="R313" s="280"/>
      <c r="S313" s="280"/>
      <c r="T313" s="433" t="str">
        <f>IF(Q313="","",Q313/$T$307)</f>
        <v/>
      </c>
      <c r="U313" s="396" t="str">
        <f>IF(Q313="","",($T$291^2*Tables!D82+Tables!D83)*Q313)</f>
        <v/>
      </c>
      <c r="V313" s="149"/>
      <c r="W313" s="165" t="s">
        <v>285</v>
      </c>
      <c r="X313" s="439" t="str">
        <f>IF(AB89="","",AB89)</f>
        <v/>
      </c>
      <c r="Y313" s="161"/>
    </row>
    <row r="314" spans="1:25">
      <c r="A314" s="145">
        <v>42</v>
      </c>
      <c r="N314" s="149"/>
      <c r="O314" s="431"/>
      <c r="P314" s="165" t="s">
        <v>249</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287</v>
      </c>
      <c r="X314" s="144" t="str">
        <f>IF(OR(X312="",X312="NA",X313="",X313="NA"),"",(X312-X313)/X313)</f>
        <v/>
      </c>
      <c r="Y314" s="161"/>
    </row>
    <row r="315" spans="1:25">
      <c r="A315" s="145">
        <v>43</v>
      </c>
      <c r="N315" s="149"/>
      <c r="O315" s="431"/>
      <c r="P315" s="165" t="s">
        <v>289</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N316" s="149"/>
      <c r="O316" s="159"/>
      <c r="P316" s="210"/>
      <c r="Q316" s="210"/>
      <c r="R316" s="210"/>
      <c r="S316" s="210"/>
      <c r="T316" s="210"/>
      <c r="U316" s="210"/>
      <c r="V316" s="149"/>
      <c r="W316" s="149"/>
      <c r="X316" s="149"/>
      <c r="Y316" s="161"/>
    </row>
    <row r="317" spans="1:25">
      <c r="A317" s="145">
        <v>45</v>
      </c>
      <c r="N317" s="149"/>
      <c r="O317" s="159"/>
      <c r="P317" s="210" t="s">
        <v>163</v>
      </c>
      <c r="Q317" s="210" t="s">
        <v>290</v>
      </c>
      <c r="R317" s="149"/>
      <c r="S317" s="149"/>
      <c r="T317" s="149"/>
      <c r="U317" s="149"/>
      <c r="V317" s="149"/>
      <c r="W317" s="165" t="s">
        <v>291</v>
      </c>
      <c r="X317" s="144" t="str">
        <f>IF(OR(X312="NA",X312=""),"",(X312-AVERAGE(S310:S313))/AVERAGE(S310:S313))</f>
        <v/>
      </c>
      <c r="Y317" s="161"/>
    </row>
    <row r="318" spans="1:25">
      <c r="A318" s="145">
        <v>46</v>
      </c>
      <c r="N318" s="149"/>
      <c r="O318" s="159"/>
      <c r="P318" s="210"/>
      <c r="Q318" s="210" t="s">
        <v>292</v>
      </c>
      <c r="R318" s="149"/>
      <c r="S318" s="149"/>
      <c r="T318" s="149"/>
      <c r="U318" s="149"/>
      <c r="V318" s="149"/>
      <c r="W318" s="165" t="s">
        <v>293</v>
      </c>
      <c r="X318" s="435" t="str">
        <f>IF(OR(X312="",Q314=""),"",3/(X312/Q314))</f>
        <v/>
      </c>
      <c r="Y318" s="161"/>
    </row>
    <row r="319" spans="1:25">
      <c r="A319" s="145">
        <v>47</v>
      </c>
      <c r="N319" s="149"/>
      <c r="O319" s="159"/>
      <c r="P319" s="239"/>
      <c r="Q319" s="239" t="s">
        <v>295</v>
      </c>
      <c r="R319" s="239"/>
      <c r="S319" s="239"/>
      <c r="T319" s="239"/>
      <c r="U319" s="239"/>
      <c r="V319" s="239"/>
      <c r="W319" s="239"/>
      <c r="X319" s="239"/>
      <c r="Y319" s="161"/>
    </row>
    <row r="320" spans="1:25">
      <c r="A320" s="145">
        <v>48</v>
      </c>
      <c r="N320" s="149"/>
      <c r="O320" s="159"/>
      <c r="P320" s="239"/>
      <c r="Q320" s="239"/>
      <c r="R320" s="239"/>
      <c r="S320" s="239"/>
      <c r="T320" s="239"/>
      <c r="U320" s="239"/>
      <c r="V320" s="239"/>
      <c r="W320" s="316"/>
      <c r="X320" s="442"/>
      <c r="Y320" s="161"/>
    </row>
    <row r="321" spans="1:25" ht="16.2" thickBot="1">
      <c r="A321" s="145">
        <v>49</v>
      </c>
      <c r="N321" s="149"/>
      <c r="O321" s="170"/>
      <c r="P321" s="440"/>
      <c r="Q321" s="440"/>
      <c r="R321" s="171"/>
      <c r="S321" s="171"/>
      <c r="T321" s="440"/>
      <c r="U321" s="440"/>
      <c r="V321" s="171"/>
      <c r="W321" s="239"/>
      <c r="X321" s="239"/>
      <c r="Y321" s="172"/>
    </row>
    <row r="322" spans="1:25">
      <c r="A322" s="145">
        <v>50</v>
      </c>
      <c r="N322" s="149"/>
      <c r="O322" s="279" t="s">
        <v>296</v>
      </c>
      <c r="P322" s="443"/>
      <c r="Q322" s="443"/>
      <c r="R322" s="443"/>
      <c r="S322" s="443"/>
      <c r="T322" s="443"/>
      <c r="U322" s="443"/>
      <c r="V322" s="443"/>
      <c r="W322" s="443"/>
      <c r="X322" s="443"/>
      <c r="Y322" s="444"/>
    </row>
    <row r="323" spans="1:25">
      <c r="A323" s="145">
        <v>51</v>
      </c>
      <c r="N323" s="149"/>
      <c r="O323" s="344"/>
      <c r="P323" s="165" t="s">
        <v>267</v>
      </c>
      <c r="Q323" s="609">
        <f>$Q$291</f>
        <v>0</v>
      </c>
      <c r="R323" s="239"/>
      <c r="S323" s="239"/>
      <c r="T323" s="239"/>
      <c r="U323" s="239"/>
      <c r="V323" s="239"/>
      <c r="W323" s="239"/>
      <c r="X323" s="239"/>
      <c r="Y323" s="324"/>
    </row>
    <row r="324" spans="1:25">
      <c r="A324" s="145">
        <v>52</v>
      </c>
      <c r="N324" s="149"/>
      <c r="O324" s="344"/>
      <c r="P324" s="239"/>
      <c r="Q324" s="239"/>
      <c r="R324" s="239"/>
      <c r="S324" s="239"/>
      <c r="T324" s="239"/>
      <c r="U324" s="239"/>
      <c r="V324" s="239"/>
      <c r="W324" s="239"/>
      <c r="X324" s="239"/>
      <c r="Y324" s="324"/>
    </row>
    <row r="325" spans="1:25">
      <c r="A325" s="145">
        <v>53</v>
      </c>
      <c r="N325" s="149"/>
      <c r="O325" s="159" t="s">
        <v>297</v>
      </c>
      <c r="P325" s="239"/>
      <c r="Q325" s="239"/>
      <c r="R325" s="239"/>
      <c r="S325" s="239"/>
      <c r="T325" s="239"/>
      <c r="U325" s="239"/>
      <c r="V325" s="239"/>
      <c r="W325" s="239"/>
      <c r="X325" s="239"/>
      <c r="Y325" s="324"/>
    </row>
    <row r="326" spans="1:25">
      <c r="A326" s="145">
        <v>54</v>
      </c>
      <c r="N326" s="149"/>
      <c r="O326" s="344"/>
      <c r="P326" s="165" t="s">
        <v>270</v>
      </c>
      <c r="Q326" s="282"/>
      <c r="R326" s="239"/>
      <c r="S326" s="165" t="s">
        <v>177</v>
      </c>
      <c r="T326" s="282"/>
      <c r="U326" s="239"/>
      <c r="V326" s="239"/>
      <c r="W326" s="239"/>
      <c r="X326" s="239"/>
      <c r="Y326" s="324"/>
    </row>
    <row r="327" spans="1:25">
      <c r="A327" s="145">
        <v>55</v>
      </c>
      <c r="N327" s="149"/>
      <c r="O327" s="344"/>
      <c r="P327" s="239"/>
      <c r="Q327" s="239"/>
      <c r="R327" s="239"/>
      <c r="S327" s="165" t="s">
        <v>268</v>
      </c>
      <c r="T327" s="282"/>
      <c r="U327" s="239"/>
      <c r="V327" s="239"/>
      <c r="W327" s="239"/>
      <c r="X327" s="239"/>
      <c r="Y327" s="324"/>
    </row>
    <row r="328" spans="1:25">
      <c r="A328" s="145">
        <v>56</v>
      </c>
      <c r="N328" s="149"/>
      <c r="O328" s="344"/>
      <c r="P328" s="239"/>
      <c r="Q328" s="149"/>
      <c r="R328" s="149"/>
      <c r="S328" s="613" t="s">
        <v>236</v>
      </c>
      <c r="T328" s="149"/>
      <c r="U328" s="149" t="s">
        <v>273</v>
      </c>
      <c r="V328" s="239"/>
      <c r="W328" s="239"/>
      <c r="X328" s="239"/>
      <c r="Y328" s="324"/>
    </row>
    <row r="329" spans="1:25">
      <c r="A329" s="145">
        <v>57</v>
      </c>
      <c r="N329" s="149"/>
      <c r="O329" s="344"/>
      <c r="P329" s="239"/>
      <c r="Q329" s="613" t="s">
        <v>50</v>
      </c>
      <c r="R329" s="613" t="s">
        <v>241</v>
      </c>
      <c r="S329" s="613" t="s">
        <v>242</v>
      </c>
      <c r="T329" s="613" t="s">
        <v>276</v>
      </c>
      <c r="U329" s="613" t="s">
        <v>277</v>
      </c>
      <c r="V329" s="239"/>
      <c r="W329" s="165" t="s">
        <v>278</v>
      </c>
      <c r="X329" s="284" t="str">
        <f>IF(T326="","",VLOOKUP(T326,Tables!B87:C93,2))</f>
        <v/>
      </c>
      <c r="Y329" s="324"/>
    </row>
    <row r="330" spans="1:25">
      <c r="A330" s="145">
        <v>58</v>
      </c>
      <c r="N330" s="149"/>
      <c r="O330" s="344"/>
      <c r="P330" s="239"/>
      <c r="Q330" s="280"/>
      <c r="R330" s="280"/>
      <c r="S330" s="280"/>
      <c r="T330" s="433" t="str">
        <f>IF(Q330="","",Q330/$T$327)</f>
        <v/>
      </c>
      <c r="U330" s="396" t="str">
        <f>IF(Q330="","",($T$326^2*Tables!D82+Tables!D83)*Q330)</f>
        <v/>
      </c>
      <c r="V330" s="239"/>
      <c r="W330" s="165" t="s">
        <v>281</v>
      </c>
      <c r="X330" s="284" t="str">
        <f>IF(U334="","",Q334*($T$326^2*Tables!D82+Tables!D83))</f>
        <v/>
      </c>
      <c r="Y330" s="324"/>
    </row>
    <row r="331" spans="1:25">
      <c r="A331" s="145">
        <v>59</v>
      </c>
      <c r="N331" s="149"/>
      <c r="O331" s="344"/>
      <c r="P331" s="239"/>
      <c r="Q331" s="280"/>
      <c r="R331" s="280"/>
      <c r="S331" s="280"/>
      <c r="T331" s="433" t="str">
        <f>IF(Q331="","",Q331/$T$327)</f>
        <v/>
      </c>
      <c r="U331" s="396" t="str">
        <f>IF(Q331="","",($T$326^2*Tables!D82+Tables!D83)*Q331)</f>
        <v/>
      </c>
      <c r="V331" s="239"/>
      <c r="W331" s="165" t="s">
        <v>283</v>
      </c>
      <c r="X331" s="435" t="str">
        <f>IF(Q326="","",HLOOKUP(Q326,Tables!G105:I106,2,FALSE))</f>
        <v/>
      </c>
      <c r="Y331" s="324"/>
    </row>
    <row r="332" spans="1:25">
      <c r="A332" s="145">
        <v>60</v>
      </c>
      <c r="N332" s="149"/>
      <c r="O332" s="344"/>
      <c r="P332" s="239"/>
      <c r="Q332" s="280"/>
      <c r="R332" s="280"/>
      <c r="S332" s="280"/>
      <c r="T332" s="433" t="str">
        <f>IF(Q332="","",Q332/$T$327)</f>
        <v/>
      </c>
      <c r="U332" s="396" t="str">
        <f>IF(Q332="","",($T$326^2*Tables!D82+Tables!D83)*Q332)</f>
        <v/>
      </c>
      <c r="V332" s="239"/>
      <c r="W332" s="165" t="s">
        <v>284</v>
      </c>
      <c r="X332" s="284" t="str">
        <f>IF($O$34=2,"NA",IF(OR(X330="",X331=""),"",(X331*(X330/8.76))/100))</f>
        <v/>
      </c>
      <c r="Y332" s="324"/>
    </row>
    <row r="333" spans="1:25">
      <c r="A333" s="145">
        <v>61</v>
      </c>
      <c r="N333" s="149"/>
      <c r="O333" s="344"/>
      <c r="P333" s="239"/>
      <c r="Q333" s="280"/>
      <c r="R333" s="280"/>
      <c r="S333" s="280"/>
      <c r="T333" s="433" t="str">
        <f>IF(Q333="","",Q333/$T$327)</f>
        <v/>
      </c>
      <c r="U333" s="396" t="str">
        <f>IF(Q333="","",($T$326^2*Tables!D82+Tables!D83)*Q333)</f>
        <v/>
      </c>
      <c r="V333" s="239"/>
      <c r="W333" s="165" t="s">
        <v>285</v>
      </c>
      <c r="X333" s="439" t="str">
        <f>IF(AB90="","",AB90)</f>
        <v/>
      </c>
      <c r="Y333" s="324"/>
    </row>
    <row r="334" spans="1:25">
      <c r="A334" s="145">
        <v>62</v>
      </c>
      <c r="N334" s="149"/>
      <c r="O334" s="344"/>
      <c r="P334" s="165" t="s">
        <v>249</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287</v>
      </c>
      <c r="X334" s="144" t="str">
        <f>IF(OR(X332="",X332="NA",X333="",X333="NA"),"",(X332-X333)/X333)</f>
        <v/>
      </c>
      <c r="Y334" s="324"/>
    </row>
    <row r="335" spans="1:25">
      <c r="A335" s="145">
        <v>63</v>
      </c>
      <c r="N335" s="149"/>
      <c r="O335" s="344"/>
      <c r="P335" s="165" t="s">
        <v>289</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N336" s="149"/>
      <c r="O336" s="344"/>
      <c r="P336" s="239"/>
      <c r="Q336" s="239"/>
      <c r="R336" s="239"/>
      <c r="S336" s="239"/>
      <c r="T336" s="239"/>
      <c r="U336" s="239"/>
      <c r="V336" s="239"/>
      <c r="W336" s="165" t="s">
        <v>291</v>
      </c>
      <c r="X336" s="144" t="str">
        <f>IF(OR(X332="",X332="NA"),"",(X332-AVERAGE(S330:S333))/AVERAGE(S330:S333))</f>
        <v/>
      </c>
      <c r="Y336" s="324"/>
    </row>
    <row r="337" spans="1:25">
      <c r="A337" s="145">
        <v>65</v>
      </c>
      <c r="N337" s="149"/>
      <c r="O337" s="449" t="s">
        <v>298</v>
      </c>
      <c r="P337" s="239"/>
      <c r="Q337" s="239"/>
      <c r="R337" s="239"/>
      <c r="S337" s="239"/>
      <c r="T337" s="239"/>
      <c r="U337" s="239"/>
      <c r="V337" s="239"/>
      <c r="W337" s="239"/>
      <c r="X337" s="239"/>
      <c r="Y337" s="324"/>
    </row>
    <row r="338" spans="1:25">
      <c r="A338" s="145">
        <v>66</v>
      </c>
      <c r="N338" s="149"/>
      <c r="O338" s="344"/>
      <c r="P338" s="165" t="s">
        <v>270</v>
      </c>
      <c r="Q338" s="282"/>
      <c r="R338" s="239"/>
      <c r="S338" s="165" t="s">
        <v>177</v>
      </c>
      <c r="T338" s="282"/>
      <c r="U338" s="239"/>
      <c r="V338" s="239"/>
      <c r="W338" s="239"/>
      <c r="X338" s="239"/>
      <c r="Y338" s="324"/>
    </row>
    <row r="339" spans="1:25">
      <c r="A339" s="145">
        <v>67</v>
      </c>
      <c r="B339" s="149"/>
      <c r="C339" s="241" t="s">
        <v>3</v>
      </c>
      <c r="D339" s="582" t="str">
        <f>IF($P$7="","",$P$7)</f>
        <v/>
      </c>
      <c r="E339" s="156"/>
      <c r="F339" s="156"/>
      <c r="G339" s="156"/>
      <c r="H339" s="156"/>
      <c r="I339" s="156"/>
      <c r="J339" s="156"/>
      <c r="K339" s="156"/>
      <c r="L339" s="241" t="s">
        <v>4</v>
      </c>
      <c r="M339" s="243" t="str">
        <f>IF($X$7="","",$X$7)</f>
        <v>Eugene Mah</v>
      </c>
      <c r="N339" s="149"/>
      <c r="O339" s="344"/>
      <c r="P339" s="239"/>
      <c r="Q339" s="239"/>
      <c r="R339" s="239"/>
      <c r="S339" s="165" t="s">
        <v>268</v>
      </c>
      <c r="T339" s="282"/>
      <c r="U339" s="239"/>
      <c r="V339" s="239"/>
      <c r="W339" s="239"/>
      <c r="X339" s="239"/>
      <c r="Y339" s="324"/>
    </row>
    <row r="340" spans="1:25">
      <c r="A340" s="145">
        <v>68</v>
      </c>
      <c r="B340" s="149"/>
      <c r="C340" s="241" t="s">
        <v>91</v>
      </c>
      <c r="D340" s="244" t="str">
        <f>IF($R$14="","",$R$14)</f>
        <v/>
      </c>
      <c r="E340" s="156"/>
      <c r="F340" s="156"/>
      <c r="G340" s="156"/>
      <c r="H340" s="156"/>
      <c r="I340" s="156"/>
      <c r="J340" s="156"/>
      <c r="K340" s="156"/>
      <c r="L340" s="241" t="s">
        <v>16</v>
      </c>
      <c r="M340" s="243" t="str">
        <f>IF($R$13="","",$R$13)</f>
        <v/>
      </c>
      <c r="N340" s="149"/>
      <c r="O340" s="344"/>
      <c r="P340" s="239"/>
      <c r="Q340" s="149"/>
      <c r="R340" s="149"/>
      <c r="S340" s="613" t="s">
        <v>236</v>
      </c>
      <c r="T340" s="149"/>
      <c r="U340" s="149" t="s">
        <v>273</v>
      </c>
      <c r="V340" s="239"/>
      <c r="W340" s="239"/>
      <c r="X340" s="239"/>
      <c r="Y340" s="324"/>
    </row>
    <row r="341" spans="1:25" ht="16.2">
      <c r="A341" s="145">
        <v>1</v>
      </c>
      <c r="B341" s="149"/>
      <c r="C341" s="149"/>
      <c r="D341" s="149"/>
      <c r="E341" s="149"/>
      <c r="F341" s="149"/>
      <c r="G341" s="149"/>
      <c r="H341" s="149"/>
      <c r="I341" s="149"/>
      <c r="J341" s="149"/>
      <c r="K341" s="149"/>
      <c r="L341" s="149"/>
      <c r="M341" s="245" t="str">
        <f>$H$2</f>
        <v>Medical University of South Carolina</v>
      </c>
      <c r="N341" s="149"/>
      <c r="O341" s="344"/>
      <c r="P341" s="239"/>
      <c r="Q341" s="613" t="s">
        <v>50</v>
      </c>
      <c r="R341" s="613" t="s">
        <v>241</v>
      </c>
      <c r="S341" s="613" t="s">
        <v>242</v>
      </c>
      <c r="T341" s="613" t="s">
        <v>276</v>
      </c>
      <c r="U341" s="613" t="s">
        <v>277</v>
      </c>
      <c r="V341" s="239"/>
      <c r="W341" s="165" t="s">
        <v>278</v>
      </c>
      <c r="X341" s="284" t="str">
        <f>IF(T338="","",VLOOKUP(T338,Tables!H87:I91,2))</f>
        <v/>
      </c>
      <c r="Y341" s="324"/>
    </row>
    <row r="342" spans="1:25" ht="18" thickBot="1">
      <c r="A342" s="145">
        <v>2</v>
      </c>
      <c r="B342" s="149"/>
      <c r="C342" s="149"/>
      <c r="D342" s="149"/>
      <c r="E342" s="149"/>
      <c r="F342" s="149"/>
      <c r="G342" s="149"/>
      <c r="H342" s="180" t="s">
        <v>51</v>
      </c>
      <c r="I342" s="149"/>
      <c r="J342" s="149"/>
      <c r="K342" s="149"/>
      <c r="L342" s="149"/>
      <c r="M342" s="246" t="str">
        <f>$H$5</f>
        <v>Mammography System Compliance Inspection</v>
      </c>
      <c r="N342" s="149"/>
      <c r="O342" s="344"/>
      <c r="P342" s="239"/>
      <c r="Q342" s="280"/>
      <c r="R342" s="280"/>
      <c r="S342" s="280"/>
      <c r="T342" s="433" t="str">
        <f>IF(Q342="","",Q342/$T$339)</f>
        <v/>
      </c>
      <c r="U342" s="396" t="str">
        <f>IF(Q342="","",($T$338^2*Tables!D82+Tables!D83)*Q342)</f>
        <v/>
      </c>
      <c r="V342" s="239"/>
      <c r="W342" s="165" t="s">
        <v>281</v>
      </c>
      <c r="X342" s="284" t="str">
        <f>IF(U346="","",Q346*($T$338^2*Tables!P78+Tables!P79))</f>
        <v/>
      </c>
      <c r="Y342" s="324"/>
    </row>
    <row r="343" spans="1:25" ht="16.2"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IF(Q343="","",($T$338^2*Tables!D82+Tables!D83)*Q343)</f>
        <v/>
      </c>
      <c r="V343" s="239"/>
      <c r="W343" s="165" t="s">
        <v>283</v>
      </c>
      <c r="X343" s="435" t="str">
        <f>IF(Q338="","",HLOOKUP(Q338,Tables!G105:I106,2,FALSE))</f>
        <v/>
      </c>
      <c r="Y343" s="324"/>
    </row>
    <row r="344" spans="1:25">
      <c r="A344" s="145">
        <v>4</v>
      </c>
      <c r="B344" s="193"/>
      <c r="C344" s="149"/>
      <c r="D344" s="165" t="s">
        <v>267</v>
      </c>
      <c r="E344" s="600" t="str">
        <f>IF(Q291="","",Q291)</f>
        <v/>
      </c>
      <c r="F344" s="239"/>
      <c r="G344" s="165" t="s">
        <v>177</v>
      </c>
      <c r="H344" s="593" t="str">
        <f>IF(T291="","",T291)</f>
        <v/>
      </c>
      <c r="I344" s="149"/>
      <c r="J344" s="149"/>
      <c r="K344" s="149"/>
      <c r="L344" s="149"/>
      <c r="M344" s="195"/>
      <c r="N344" s="149"/>
      <c r="O344" s="344"/>
      <c r="P344" s="239"/>
      <c r="Q344" s="280"/>
      <c r="R344" s="280"/>
      <c r="S344" s="280"/>
      <c r="T344" s="433" t="str">
        <f>IF(Q344="","",Q344/$T$339)</f>
        <v/>
      </c>
      <c r="U344" s="396" t="str">
        <f>IF(Q344="","",($T$338^2*Tables!D82+Tables!D83)*Q344)</f>
        <v/>
      </c>
      <c r="V344" s="239"/>
      <c r="W344" s="165" t="s">
        <v>284</v>
      </c>
      <c r="X344" s="284" t="str">
        <f>IF($O$34=2,"NA",IF(OR(X342="",X343=""),"",(X343*(X342/8.76))/100))</f>
        <v/>
      </c>
      <c r="Y344" s="324"/>
    </row>
    <row r="345" spans="1:25">
      <c r="A345" s="145">
        <v>5</v>
      </c>
      <c r="B345" s="193"/>
      <c r="C345" s="149"/>
      <c r="D345" s="165" t="s">
        <v>270</v>
      </c>
      <c r="E345" s="594" t="str">
        <f>IF(Q292="","",Q292)</f>
        <v/>
      </c>
      <c r="F345" s="239"/>
      <c r="G345" s="165" t="s">
        <v>268</v>
      </c>
      <c r="H345" s="594" t="str">
        <f>IF(T292="","",T292)</f>
        <v/>
      </c>
      <c r="I345" s="149"/>
      <c r="J345" s="149"/>
      <c r="K345" s="149"/>
      <c r="L345" s="149"/>
      <c r="M345" s="195"/>
      <c r="N345" s="149"/>
      <c r="O345" s="344"/>
      <c r="P345" s="239"/>
      <c r="Q345" s="280"/>
      <c r="R345" s="280"/>
      <c r="S345" s="280"/>
      <c r="T345" s="433" t="str">
        <f>IF(Q345="","",Q345/$T$339)</f>
        <v/>
      </c>
      <c r="U345" s="396" t="str">
        <f>IF(Q345="","",($T$338^2*Tables!D82+Tables!D83)*Q345)</f>
        <v/>
      </c>
      <c r="V345" s="239"/>
      <c r="W345" s="165" t="s">
        <v>285</v>
      </c>
      <c r="X345" s="439" t="str">
        <f>IF(AB91="","",AB91)</f>
        <v/>
      </c>
      <c r="Y345" s="324"/>
    </row>
    <row r="346" spans="1:25">
      <c r="A346" s="145">
        <v>6</v>
      </c>
      <c r="B346" s="193"/>
      <c r="C346" s="149"/>
      <c r="D346" s="149"/>
      <c r="E346" s="149"/>
      <c r="F346" s="149"/>
      <c r="G346" s="164" t="s">
        <v>236</v>
      </c>
      <c r="H346" s="149"/>
      <c r="I346" s="149" t="s">
        <v>273</v>
      </c>
      <c r="J346" s="149"/>
      <c r="K346" s="149"/>
      <c r="L346" s="149"/>
      <c r="M346" s="195"/>
      <c r="N346" s="149"/>
      <c r="O346" s="344"/>
      <c r="P346" s="165" t="s">
        <v>249</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287</v>
      </c>
      <c r="X346" s="144" t="str">
        <f>IF(OR(X344="",X344="NA",X345="",X345="NA"),"",(X344-X345)/X345)</f>
        <v/>
      </c>
      <c r="Y346" s="324"/>
    </row>
    <row r="347" spans="1:25" ht="16.2" thickBot="1">
      <c r="A347" s="145">
        <v>7</v>
      </c>
      <c r="B347" s="193"/>
      <c r="C347" s="149"/>
      <c r="D347" s="164"/>
      <c r="E347" s="164" t="s">
        <v>50</v>
      </c>
      <c r="F347" s="164" t="s">
        <v>241</v>
      </c>
      <c r="G347" s="164" t="s">
        <v>242</v>
      </c>
      <c r="H347" s="164" t="s">
        <v>276</v>
      </c>
      <c r="I347" s="164" t="s">
        <v>277</v>
      </c>
      <c r="J347" s="149"/>
      <c r="K347" s="165" t="s">
        <v>278</v>
      </c>
      <c r="L347" s="284" t="str">
        <f>IF(X294="","",X294)</f>
        <v/>
      </c>
      <c r="M347" s="195"/>
      <c r="N347" s="149"/>
      <c r="O347" s="344"/>
      <c r="P347" s="165" t="s">
        <v>289</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IF(Q295="","",Q295)</f>
        <v/>
      </c>
      <c r="F348" s="197" t="str">
        <f>IF(R295="","",R295)</f>
        <v/>
      </c>
      <c r="G348" s="197" t="str">
        <f>IF(S295="","",S295)</f>
        <v/>
      </c>
      <c r="H348" s="430" t="str">
        <f>IF(T295="","",T295)</f>
        <v/>
      </c>
      <c r="I348" s="198" t="str">
        <f>IF(U295="","",U295)</f>
        <v/>
      </c>
      <c r="J348" s="149"/>
      <c r="K348" s="165" t="s">
        <v>281</v>
      </c>
      <c r="L348" s="285" t="str">
        <f>IF(X295="","",X295)</f>
        <v/>
      </c>
      <c r="M348" s="195"/>
      <c r="N348" s="149"/>
      <c r="O348" s="344"/>
      <c r="P348" s="239"/>
      <c r="Q348" s="239"/>
      <c r="R348" s="239"/>
      <c r="S348" s="239"/>
      <c r="T348" s="239"/>
      <c r="U348" s="239"/>
      <c r="V348" s="239"/>
      <c r="W348" s="165" t="s">
        <v>291</v>
      </c>
      <c r="X348" s="144" t="str">
        <f>IF(OR(X344="",X344="NA"),"",(X344-AVERAGE(S342:S345))/AVERAGE(S342:S345))</f>
        <v/>
      </c>
      <c r="Y348" s="324"/>
    </row>
    <row r="349" spans="1:25">
      <c r="A349" s="145">
        <v>9</v>
      </c>
      <c r="B349" s="193"/>
      <c r="C349" s="149"/>
      <c r="D349" s="149"/>
      <c r="E349" s="432" t="str">
        <f>IF(Q296="","",Q296)</f>
        <v/>
      </c>
      <c r="F349" s="206" t="str">
        <f>IF(R296="","",R296)</f>
        <v/>
      </c>
      <c r="G349" s="206" t="str">
        <f>IF(S296="","",S296)</f>
        <v/>
      </c>
      <c r="H349" s="433" t="str">
        <f>IF(T296="","",T296)</f>
        <v/>
      </c>
      <c r="I349" s="208" t="str">
        <f>IF(U296="","",U296)</f>
        <v/>
      </c>
      <c r="J349" s="149"/>
      <c r="K349" s="165" t="s">
        <v>283</v>
      </c>
      <c r="L349" s="434" t="str">
        <f>IF(X296="","",X296)</f>
        <v/>
      </c>
      <c r="M349" s="195"/>
      <c r="N349" s="149"/>
      <c r="O349" s="344"/>
      <c r="P349" s="239"/>
      <c r="Q349" s="239"/>
      <c r="R349" s="239"/>
      <c r="S349" s="239"/>
      <c r="T349" s="239"/>
      <c r="U349" s="239"/>
      <c r="V349" s="239"/>
      <c r="W349" s="165" t="s">
        <v>299</v>
      </c>
      <c r="X349" s="284" t="str">
        <f>IF($O$34=2,"NA",IF(OR(X332="",X344=""),"",X332+X344))</f>
        <v/>
      </c>
      <c r="Y349" s="324"/>
    </row>
    <row r="350" spans="1:25" ht="16.2" thickBot="1">
      <c r="A350" s="145">
        <v>10</v>
      </c>
      <c r="B350" s="193"/>
      <c r="C350" s="149"/>
      <c r="D350" s="149"/>
      <c r="E350" s="432" t="str">
        <f>IF(Q297="","",Q297)</f>
        <v/>
      </c>
      <c r="F350" s="206" t="str">
        <f>IF(R297="","",R297)</f>
        <v/>
      </c>
      <c r="G350" s="206" t="str">
        <f>IF(S297="","",S297)</f>
        <v/>
      </c>
      <c r="H350" s="433" t="str">
        <f>IF(T297="","",T297)</f>
        <v/>
      </c>
      <c r="I350" s="208" t="str">
        <f>IF(U297="","",U297)</f>
        <v/>
      </c>
      <c r="J350" s="149"/>
      <c r="K350" s="165" t="s">
        <v>284</v>
      </c>
      <c r="L350" s="285" t="str">
        <f>IF(X297="","",X297)</f>
        <v/>
      </c>
      <c r="M350" s="195"/>
      <c r="N350" s="149"/>
      <c r="O350" s="458"/>
      <c r="P350" s="425"/>
      <c r="Q350" s="425"/>
      <c r="R350" s="425"/>
      <c r="S350" s="425"/>
      <c r="T350" s="425"/>
      <c r="U350" s="425"/>
      <c r="V350" s="425"/>
      <c r="W350" s="441" t="s">
        <v>300</v>
      </c>
      <c r="X350" s="439" t="str">
        <f>IF(AB92="","",AB92)</f>
        <v/>
      </c>
      <c r="Y350" s="459"/>
    </row>
    <row r="351" spans="1:25" ht="16.2" thickBot="1">
      <c r="A351" s="145">
        <v>11</v>
      </c>
      <c r="B351" s="193"/>
      <c r="C351" s="149"/>
      <c r="D351" s="149"/>
      <c r="E351" s="436" t="str">
        <f>IF(Q298="","",Q298)</f>
        <v/>
      </c>
      <c r="F351" s="252" t="str">
        <f>IF(R298="","",R298)</f>
        <v/>
      </c>
      <c r="G351" s="252" t="str">
        <f>IF(S298="","",S298)</f>
        <v/>
      </c>
      <c r="H351" s="437" t="str">
        <f>IF(T298="","",T298)</f>
        <v/>
      </c>
      <c r="I351" s="253" t="str">
        <f>IF(U298="","",U298)</f>
        <v/>
      </c>
      <c r="J351" s="149"/>
      <c r="K351" s="165" t="s">
        <v>285</v>
      </c>
      <c r="L351" s="285" t="str">
        <f>IF(X298="","",X298)</f>
        <v/>
      </c>
      <c r="M351" s="195"/>
      <c r="N351" s="149"/>
      <c r="O351" s="279" t="s">
        <v>301</v>
      </c>
      <c r="P351" s="460"/>
      <c r="Q351" s="460"/>
      <c r="R351" s="151"/>
      <c r="S351" s="151"/>
      <c r="T351" s="460"/>
      <c r="U351" s="460"/>
      <c r="V351" s="151"/>
      <c r="W351" s="151"/>
      <c r="X351" s="151"/>
      <c r="Y351" s="152"/>
    </row>
    <row r="352" spans="1:25">
      <c r="A352" s="145">
        <v>12</v>
      </c>
      <c r="B352" s="193"/>
      <c r="C352" s="149"/>
      <c r="D352" s="165" t="s">
        <v>249</v>
      </c>
      <c r="E352" s="432" t="str">
        <f>IF(Q299="","",Q299)</f>
        <v/>
      </c>
      <c r="F352" s="206" t="str">
        <f>IF(R299="","",R299)</f>
        <v/>
      </c>
      <c r="G352" s="396" t="str">
        <f>IF(S299="","",S299)</f>
        <v/>
      </c>
      <c r="H352" s="433" t="str">
        <f>IF(T299="","",T299)</f>
        <v/>
      </c>
      <c r="I352" s="208" t="str">
        <f>IF(U299="","",U299)</f>
        <v/>
      </c>
      <c r="J352" s="149"/>
      <c r="K352" s="165" t="s">
        <v>287</v>
      </c>
      <c r="L352" s="438" t="str">
        <f>IF(X299="","",X299)</f>
        <v/>
      </c>
      <c r="M352" s="195"/>
      <c r="N352" s="149"/>
      <c r="O352" s="159" t="s">
        <v>302</v>
      </c>
      <c r="P352" s="387" t="s">
        <v>576</v>
      </c>
      <c r="Q352" s="149"/>
      <c r="R352" s="239"/>
      <c r="S352" s="165" t="s">
        <v>303</v>
      </c>
      <c r="T352" s="610"/>
      <c r="U352" s="610"/>
      <c r="V352" s="149"/>
      <c r="W352" s="149"/>
      <c r="X352" s="149"/>
      <c r="Y352" s="161"/>
    </row>
    <row r="353" spans="1:25" ht="16.2" thickBot="1">
      <c r="A353" s="145">
        <v>13</v>
      </c>
      <c r="B353" s="193"/>
      <c r="C353" s="149"/>
      <c r="D353" s="165" t="s">
        <v>289</v>
      </c>
      <c r="E353" s="360" t="str">
        <f>IF(Q300="","",Q300)</f>
        <v/>
      </c>
      <c r="F353" s="361" t="str">
        <f>IF(R300="","",R300)</f>
        <v/>
      </c>
      <c r="G353" s="361" t="str">
        <f>IF(S300="","",S300)</f>
        <v/>
      </c>
      <c r="H353" s="361" t="str">
        <f>IF(T300="","",T300)</f>
        <v/>
      </c>
      <c r="I353" s="363" t="str">
        <f>IF(U300="","",U300)</f>
        <v/>
      </c>
      <c r="J353" s="149"/>
      <c r="K353" s="149"/>
      <c r="L353" s="149"/>
      <c r="M353" s="195"/>
      <c r="N353" s="149"/>
      <c r="O353" s="159" t="s">
        <v>304</v>
      </c>
      <c r="P353" s="461"/>
      <c r="Q353" s="149"/>
      <c r="R353" s="239"/>
      <c r="S353" s="165" t="s">
        <v>305</v>
      </c>
      <c r="T353" s="611"/>
      <c r="U353" s="611"/>
      <c r="V353" s="149"/>
      <c r="W353" s="149"/>
      <c r="X353" s="149"/>
      <c r="Y353" s="161"/>
    </row>
    <row r="354" spans="1:25">
      <c r="A354" s="145">
        <v>14</v>
      </c>
      <c r="B354" s="193"/>
      <c r="C354" s="149"/>
      <c r="D354" s="246" t="s">
        <v>163</v>
      </c>
      <c r="E354" s="210" t="s">
        <v>290</v>
      </c>
      <c r="F354" s="149"/>
      <c r="G354" s="149"/>
      <c r="H354" s="149"/>
      <c r="I354" s="149"/>
      <c r="J354" s="149"/>
      <c r="K354" s="165" t="s">
        <v>291</v>
      </c>
      <c r="L354" s="144" t="str">
        <f>IF(X302="","",X302)</f>
        <v/>
      </c>
      <c r="M354" s="195"/>
      <c r="N354" s="149"/>
      <c r="O354" s="159"/>
      <c r="P354" s="149"/>
      <c r="Q354" s="149"/>
      <c r="R354" s="149"/>
      <c r="S354" s="149"/>
      <c r="T354" s="149"/>
      <c r="U354" s="149"/>
      <c r="V354" s="149"/>
      <c r="W354" s="149"/>
      <c r="X354" s="149"/>
      <c r="Y354" s="161"/>
    </row>
    <row r="355" spans="1:25">
      <c r="A355" s="145">
        <v>15</v>
      </c>
      <c r="B355" s="193"/>
      <c r="C355" s="149"/>
      <c r="D355" s="149"/>
      <c r="E355" s="210" t="s">
        <v>292</v>
      </c>
      <c r="F355" s="149"/>
      <c r="G355" s="149"/>
      <c r="H355" s="149"/>
      <c r="I355" s="149"/>
      <c r="J355" s="149"/>
      <c r="K355" s="165" t="s">
        <v>293</v>
      </c>
      <c r="L355" s="435" t="str">
        <f>IF(X303="","",X303)</f>
        <v/>
      </c>
      <c r="M355" s="195"/>
      <c r="N355" s="149"/>
      <c r="O355" s="159"/>
      <c r="P355" s="149"/>
      <c r="Q355" s="149"/>
      <c r="R355" s="149"/>
      <c r="S355" s="149"/>
      <c r="T355" s="613" t="s">
        <v>306</v>
      </c>
      <c r="U355" s="613"/>
      <c r="V355" s="613"/>
      <c r="W355" s="613"/>
      <c r="X355" s="613"/>
      <c r="Y355" s="161"/>
    </row>
    <row r="356" spans="1:25" ht="16.2" thickBot="1">
      <c r="A356" s="145">
        <v>16</v>
      </c>
      <c r="B356" s="304"/>
      <c r="C356" s="171"/>
      <c r="D356" s="171"/>
      <c r="E356" s="171"/>
      <c r="F356" s="171"/>
      <c r="G356" s="171"/>
      <c r="H356" s="171"/>
      <c r="I356" s="171"/>
      <c r="J356" s="171"/>
      <c r="K356" s="171"/>
      <c r="L356" s="171"/>
      <c r="M356" s="305"/>
      <c r="N356" s="149"/>
      <c r="O356" s="159"/>
      <c r="P356" s="613" t="s">
        <v>29</v>
      </c>
      <c r="Q356" s="613" t="s">
        <v>239</v>
      </c>
      <c r="R356" s="613" t="s">
        <v>240</v>
      </c>
      <c r="S356" s="613" t="s">
        <v>50</v>
      </c>
      <c r="T356" s="613" t="s">
        <v>49</v>
      </c>
      <c r="U356" s="613" t="s">
        <v>307</v>
      </c>
      <c r="V356" s="613" t="s">
        <v>308</v>
      </c>
      <c r="W356" s="613" t="s">
        <v>309</v>
      </c>
      <c r="X356" s="613" t="s">
        <v>310</v>
      </c>
      <c r="Y356" s="161"/>
    </row>
    <row r="357" spans="1:25">
      <c r="A357" s="145">
        <v>17</v>
      </c>
      <c r="B357" s="371"/>
      <c r="C357" s="202" t="str">
        <f>O305</f>
        <v>Mean Glandular Dose – 3D</v>
      </c>
      <c r="D357" s="149"/>
      <c r="E357" s="149"/>
      <c r="F357" s="149"/>
      <c r="G357" s="149"/>
      <c r="H357" s="149"/>
      <c r="I357" s="149"/>
      <c r="J357" s="149"/>
      <c r="K357" s="149"/>
      <c r="L357" s="149"/>
      <c r="M357" s="240"/>
      <c r="N357" s="149"/>
      <c r="O357" s="159"/>
      <c r="P357" s="206" t="str">
        <f>IF(AK10="","",AK10)</f>
        <v/>
      </c>
      <c r="Q357" s="206" t="str">
        <f>IF(AL10="","",AL10)</f>
        <v/>
      </c>
      <c r="R357" s="206">
        <f>IF(AH10="","",AH10)</f>
        <v>24</v>
      </c>
      <c r="S357" s="206">
        <f>IF(AI10="","",AI10)</f>
        <v>50</v>
      </c>
      <c r="T357" s="396" t="str">
        <f>IF(AM10="","",AVERAGE(AM10,AM11))</f>
        <v/>
      </c>
      <c r="U357" s="207" t="str">
        <f>IF(AN10="","",AVERAGE(AN10,AN11))</f>
        <v/>
      </c>
      <c r="V357" s="396" t="str">
        <f>IF(AO10="","",AVERAGE(AO10,AO11))</f>
        <v/>
      </c>
      <c r="W357" s="433" t="str">
        <f t="shared" ref="W357:W363" si="68">IF(V357="","",V357/S357)</f>
        <v/>
      </c>
      <c r="X357" s="396" t="str">
        <f t="shared" ref="X357:X363" si="69">IF(OR(V357="",U357=""),"",V357/(U357/1000))</f>
        <v/>
      </c>
      <c r="Y357" s="161"/>
    </row>
    <row r="358" spans="1:25">
      <c r="A358" s="145">
        <v>18</v>
      </c>
      <c r="B358" s="371"/>
      <c r="C358" s="149"/>
      <c r="D358" s="165" t="s">
        <v>267</v>
      </c>
      <c r="E358" s="600">
        <f>IF(Q306="","",Q306)</f>
        <v>0</v>
      </c>
      <c r="F358" s="239"/>
      <c r="G358" s="165" t="s">
        <v>177</v>
      </c>
      <c r="H358" s="593" t="str">
        <f>IF(T306="","",T306)</f>
        <v/>
      </c>
      <c r="I358" s="149"/>
      <c r="J358" s="149"/>
      <c r="K358" s="149"/>
      <c r="L358" s="149"/>
      <c r="M358" s="240"/>
      <c r="N358" s="149"/>
      <c r="O358" s="159"/>
      <c r="P358" s="206" t="str">
        <f>IF(AK12="","",AK12)</f>
        <v/>
      </c>
      <c r="Q358" s="206" t="str">
        <f>IF(AL12="","",AL12)</f>
        <v/>
      </c>
      <c r="R358" s="206">
        <f>IF(AH12="","",AH12)</f>
        <v>25</v>
      </c>
      <c r="S358" s="206">
        <f>IF(AI12="","",AI12)</f>
        <v>50</v>
      </c>
      <c r="T358" s="396" t="str">
        <f>IF(AM12="","",AVERAGE(AM12,AM13))</f>
        <v/>
      </c>
      <c r="U358" s="207" t="str">
        <f>IF(AN12="","",AVERAGE(AN12,AN13))</f>
        <v/>
      </c>
      <c r="V358" s="396" t="str">
        <f>IF(AO12="","",AVERAGE(AO12,AO13))</f>
        <v/>
      </c>
      <c r="W358" s="433" t="str">
        <f t="shared" si="68"/>
        <v/>
      </c>
      <c r="X358" s="396" t="str">
        <f t="shared" si="69"/>
        <v/>
      </c>
      <c r="Y358" s="161"/>
    </row>
    <row r="359" spans="1:25">
      <c r="A359" s="145">
        <v>19</v>
      </c>
      <c r="B359" s="371"/>
      <c r="C359" s="149"/>
      <c r="D359" s="165" t="s">
        <v>270</v>
      </c>
      <c r="E359" s="594" t="str">
        <f>IF(Q307="","",Q307)</f>
        <v/>
      </c>
      <c r="F359" s="239"/>
      <c r="G359" s="165" t="s">
        <v>268</v>
      </c>
      <c r="H359" s="594" t="str">
        <f>IF(T307="","",T307)</f>
        <v/>
      </c>
      <c r="I359" s="149"/>
      <c r="J359" s="149"/>
      <c r="K359" s="149"/>
      <c r="L359" s="149"/>
      <c r="M359" s="240"/>
      <c r="N359" s="149"/>
      <c r="O359" s="159"/>
      <c r="P359" s="206" t="str">
        <f>IF(AK14="","",AK14)</f>
        <v/>
      </c>
      <c r="Q359" s="206" t="str">
        <f>IF(AL14="","",AL14)</f>
        <v/>
      </c>
      <c r="R359" s="206">
        <f>IF(AH14="","",AH14)</f>
        <v>26</v>
      </c>
      <c r="S359" s="206">
        <f>IF(AI14="","",AI14)</f>
        <v>50</v>
      </c>
      <c r="T359" s="396" t="str">
        <f>IF(AM14="","",AM14)</f>
        <v/>
      </c>
      <c r="U359" s="207" t="str">
        <f>IF(AN14="","",AN14)</f>
        <v/>
      </c>
      <c r="V359" s="396" t="str">
        <f>IF(AO14="","",AO14)</f>
        <v/>
      </c>
      <c r="W359" s="433" t="str">
        <f t="shared" si="68"/>
        <v/>
      </c>
      <c r="X359" s="396" t="str">
        <f t="shared" si="69"/>
        <v/>
      </c>
      <c r="Y359" s="161"/>
    </row>
    <row r="360" spans="1:25">
      <c r="A360" s="145">
        <v>20</v>
      </c>
      <c r="B360" s="371"/>
      <c r="C360" s="149"/>
      <c r="D360" s="149"/>
      <c r="E360" s="149"/>
      <c r="F360" s="149"/>
      <c r="G360" s="164" t="s">
        <v>236</v>
      </c>
      <c r="H360" s="149"/>
      <c r="I360" s="149" t="s">
        <v>273</v>
      </c>
      <c r="J360" s="149"/>
      <c r="K360" s="149"/>
      <c r="L360" s="149"/>
      <c r="M360" s="240"/>
      <c r="N360" s="149"/>
      <c r="O360" s="159"/>
      <c r="P360" s="206" t="str">
        <f>IF(AK16="","",AK16)</f>
        <v/>
      </c>
      <c r="Q360" s="206" t="str">
        <f>IF(AL16="","",AL16)</f>
        <v/>
      </c>
      <c r="R360" s="206">
        <f>IF(AH16="","",AH16)</f>
        <v>28</v>
      </c>
      <c r="S360" s="206">
        <f>IF(AI16="","",AI16)</f>
        <v>50</v>
      </c>
      <c r="T360" s="396" t="str">
        <f>IF(AM16="","",AVERAGE(AM16:AM19))</f>
        <v/>
      </c>
      <c r="U360" s="207" t="str">
        <f>IF(AN16="","",AVERAGE(AN16:AN19))</f>
        <v/>
      </c>
      <c r="V360" s="396" t="str">
        <f>IF(AO16="","",AVERAGE(AO16:AO19))</f>
        <v/>
      </c>
      <c r="W360" s="433" t="str">
        <f t="shared" si="68"/>
        <v/>
      </c>
      <c r="X360" s="396" t="str">
        <f t="shared" si="69"/>
        <v/>
      </c>
      <c r="Y360" s="161"/>
    </row>
    <row r="361" spans="1:25" ht="16.2" thickBot="1">
      <c r="A361" s="145">
        <v>21</v>
      </c>
      <c r="B361" s="371"/>
      <c r="C361" s="149"/>
      <c r="D361" s="164"/>
      <c r="E361" s="164" t="s">
        <v>50</v>
      </c>
      <c r="F361" s="164" t="s">
        <v>241</v>
      </c>
      <c r="G361" s="164" t="s">
        <v>242</v>
      </c>
      <c r="H361" s="164" t="s">
        <v>276</v>
      </c>
      <c r="I361" s="164" t="s">
        <v>277</v>
      </c>
      <c r="J361" s="149"/>
      <c r="K361" s="165" t="s">
        <v>278</v>
      </c>
      <c r="L361" s="284" t="str">
        <f>IF(X309="","",X309)</f>
        <v/>
      </c>
      <c r="M361" s="240"/>
      <c r="N361" s="149"/>
      <c r="O361" s="159"/>
      <c r="P361" s="206" t="str">
        <f>IF(AK23="","",AK23)</f>
        <v/>
      </c>
      <c r="Q361" s="206" t="str">
        <f>IF(AL23="","",AL23)</f>
        <v/>
      </c>
      <c r="R361" s="206">
        <f>IF(AH23="","",AH23)</f>
        <v>30</v>
      </c>
      <c r="S361" s="206">
        <f>IF(AI23="","",AI23)</f>
        <v>50</v>
      </c>
      <c r="T361" s="396" t="str">
        <f>IF(AM23="","",AM23)</f>
        <v/>
      </c>
      <c r="U361" s="207" t="str">
        <f>IF(AN23="","",AN23)</f>
        <v/>
      </c>
      <c r="V361" s="396" t="str">
        <f>IF(AO23="","",AO23)</f>
        <v/>
      </c>
      <c r="W361" s="433" t="str">
        <f t="shared" si="68"/>
        <v/>
      </c>
      <c r="X361" s="396" t="str">
        <f t="shared" si="69"/>
        <v/>
      </c>
      <c r="Y361" s="161"/>
    </row>
    <row r="362" spans="1:25">
      <c r="A362" s="145">
        <v>22</v>
      </c>
      <c r="B362" s="371"/>
      <c r="C362" s="149"/>
      <c r="D362" s="149"/>
      <c r="E362" s="429" t="str">
        <f>IF(Q310="","",Q310)</f>
        <v/>
      </c>
      <c r="F362" s="197" t="str">
        <f>IF(R310="","",R310)</f>
        <v/>
      </c>
      <c r="G362" s="197" t="str">
        <f>IF(S310="","",S310)</f>
        <v/>
      </c>
      <c r="H362" s="430" t="str">
        <f>IF(T310="","",T310)</f>
        <v/>
      </c>
      <c r="I362" s="198" t="str">
        <f>IF(U310="","",U310)</f>
        <v/>
      </c>
      <c r="J362" s="149"/>
      <c r="K362" s="165" t="s">
        <v>281</v>
      </c>
      <c r="L362" s="285" t="str">
        <f>IF(X310="","",X310)</f>
        <v/>
      </c>
      <c r="M362" s="240"/>
      <c r="N362" s="149"/>
      <c r="O362" s="159"/>
      <c r="P362" s="206" t="str">
        <f>IF(AK24="","",AK24)</f>
        <v/>
      </c>
      <c r="Q362" s="206" t="str">
        <f>IF(AL24="","",AL24)</f>
        <v/>
      </c>
      <c r="R362" s="206">
        <f>IF(AH24="","",AH24)</f>
        <v>32</v>
      </c>
      <c r="S362" s="206">
        <f>IF(AI24="","",AI24)</f>
        <v>50</v>
      </c>
      <c r="T362" s="396" t="str">
        <f>IF(AM24="","",AVERAGE(AM24,AM25))</f>
        <v/>
      </c>
      <c r="U362" s="207" t="str">
        <f>IF(AN24="","",AVERAGE(AN24,AN25))</f>
        <v/>
      </c>
      <c r="V362" s="396" t="str">
        <f>IF(AO24="","",AVERAGE(AO24,AO25))</f>
        <v/>
      </c>
      <c r="W362" s="433" t="str">
        <f t="shared" si="68"/>
        <v/>
      </c>
      <c r="X362" s="396" t="str">
        <f t="shared" si="69"/>
        <v/>
      </c>
      <c r="Y362" s="161"/>
    </row>
    <row r="363" spans="1:25">
      <c r="A363" s="145">
        <v>23</v>
      </c>
      <c r="B363" s="371"/>
      <c r="C363" s="149"/>
      <c r="D363" s="149"/>
      <c r="E363" s="432" t="str">
        <f>IF(Q311="","",Q311)</f>
        <v/>
      </c>
      <c r="F363" s="206" t="str">
        <f>IF(R311="","",R311)</f>
        <v/>
      </c>
      <c r="G363" s="206" t="str">
        <f>IF(S311="","",S311)</f>
        <v/>
      </c>
      <c r="H363" s="433" t="str">
        <f>IF(T311="","",T311)</f>
        <v/>
      </c>
      <c r="I363" s="208" t="str">
        <f>IF(U311="","",U311)</f>
        <v/>
      </c>
      <c r="J363" s="149"/>
      <c r="K363" s="165" t="s">
        <v>283</v>
      </c>
      <c r="L363" s="434" t="str">
        <f>IF(X311="","",X311)</f>
        <v/>
      </c>
      <c r="M363" s="240"/>
      <c r="N363" s="149"/>
      <c r="O363" s="159"/>
      <c r="P363" s="206" t="str">
        <f>IF(AK26="","",AK26)</f>
        <v/>
      </c>
      <c r="Q363" s="206" t="str">
        <f>IF(AL26="","",AL26)</f>
        <v/>
      </c>
      <c r="R363" s="206">
        <f>IF(AH26="","",AH26)</f>
        <v>34</v>
      </c>
      <c r="S363" s="206">
        <f>IF(AI26="","",AI26)</f>
        <v>50</v>
      </c>
      <c r="T363" s="396" t="str">
        <f>IF(AM26="","",AVERAGE(AM26,AM27))</f>
        <v/>
      </c>
      <c r="U363" s="207" t="str">
        <f>IF(AN26="","",AVERAGE(AN26,AN27))</f>
        <v/>
      </c>
      <c r="V363" s="396" t="str">
        <f>IF(AO26="","",AVERAGE(AO26,AO27))</f>
        <v/>
      </c>
      <c r="W363" s="433" t="str">
        <f t="shared" si="68"/>
        <v/>
      </c>
      <c r="X363" s="396" t="str">
        <f t="shared" si="69"/>
        <v/>
      </c>
      <c r="Y363" s="161"/>
    </row>
    <row r="364" spans="1:25">
      <c r="A364" s="145">
        <v>24</v>
      </c>
      <c r="B364" s="371"/>
      <c r="C364" s="149"/>
      <c r="D364" s="149"/>
      <c r="E364" s="432" t="str">
        <f>IF(Q312="","",Q312)</f>
        <v/>
      </c>
      <c r="F364" s="206" t="str">
        <f>IF(R312="","",R312)</f>
        <v/>
      </c>
      <c r="G364" s="206" t="str">
        <f>IF(S312="","",S312)</f>
        <v/>
      </c>
      <c r="H364" s="433" t="str">
        <f>IF(T312="","",T312)</f>
        <v/>
      </c>
      <c r="I364" s="208" t="str">
        <f>IF(U312="","",U312)</f>
        <v/>
      </c>
      <c r="J364" s="149"/>
      <c r="K364" s="165" t="s">
        <v>284</v>
      </c>
      <c r="L364" s="285" t="str">
        <f>IF(X312="","",X312)</f>
        <v/>
      </c>
      <c r="M364" s="240"/>
      <c r="N364" s="149"/>
      <c r="O364" s="323"/>
      <c r="P364" s="246" t="s">
        <v>163</v>
      </c>
      <c r="Q364" s="156" t="s">
        <v>316</v>
      </c>
      <c r="R364" s="149"/>
      <c r="S364" s="165"/>
      <c r="T364" s="613"/>
      <c r="U364" s="613"/>
      <c r="V364" s="613"/>
      <c r="W364" s="613"/>
      <c r="X364" s="613"/>
      <c r="Y364" s="161"/>
    </row>
    <row r="365" spans="1:25" ht="16.2" thickBot="1">
      <c r="A365" s="145">
        <v>25</v>
      </c>
      <c r="B365" s="371"/>
      <c r="C365" s="149"/>
      <c r="D365" s="149"/>
      <c r="E365" s="436" t="str">
        <f>IF(Q313="","",Q313)</f>
        <v/>
      </c>
      <c r="F365" s="252" t="str">
        <f>IF(R313="","",R313)</f>
        <v/>
      </c>
      <c r="G365" s="252" t="str">
        <f>IF(S313="","",S313)</f>
        <v/>
      </c>
      <c r="H365" s="437" t="str">
        <f>IF(T313="","",T313)</f>
        <v/>
      </c>
      <c r="I365" s="253" t="str">
        <f>IF(U313="","",U313)</f>
        <v/>
      </c>
      <c r="J365" s="149"/>
      <c r="K365" s="165" t="s">
        <v>285</v>
      </c>
      <c r="L365" s="285" t="str">
        <f>IF(X313="","",X313)</f>
        <v/>
      </c>
      <c r="M365" s="240"/>
      <c r="N365" s="149"/>
      <c r="O365" s="159"/>
      <c r="P365" s="239"/>
      <c r="Q365" s="239"/>
      <c r="R365" s="239"/>
      <c r="S365" s="239"/>
      <c r="T365" s="239"/>
      <c r="U365" s="239"/>
      <c r="V365" s="239"/>
      <c r="W365" s="239"/>
      <c r="X365" s="239"/>
      <c r="Y365" s="161"/>
    </row>
    <row r="366" spans="1:25">
      <c r="A366" s="145">
        <v>26</v>
      </c>
      <c r="B366" s="371"/>
      <c r="C366" s="149"/>
      <c r="D366" s="165" t="s">
        <v>249</v>
      </c>
      <c r="E366" s="432" t="str">
        <f>IF(Q314="","",Q314)</f>
        <v/>
      </c>
      <c r="F366" s="206" t="str">
        <f>IF(R314="","",R314)</f>
        <v/>
      </c>
      <c r="G366" s="396" t="str">
        <f>IF(S314="","",S314)</f>
        <v/>
      </c>
      <c r="H366" s="433" t="str">
        <f>IF(T314="","",T314)</f>
        <v/>
      </c>
      <c r="I366" s="208" t="str">
        <f>IF(U314="","",U314)</f>
        <v/>
      </c>
      <c r="J366" s="149"/>
      <c r="K366" s="165" t="s">
        <v>287</v>
      </c>
      <c r="L366" s="438" t="str">
        <f>IF(X314="","",X314)</f>
        <v/>
      </c>
      <c r="M366" s="240"/>
      <c r="N366" s="149"/>
      <c r="O366" s="159"/>
      <c r="P366" s="149"/>
      <c r="Q366" s="149"/>
      <c r="R366" s="149"/>
      <c r="S366" s="165"/>
      <c r="T366" s="613" t="s">
        <v>306</v>
      </c>
      <c r="U366" s="613"/>
      <c r="V366" s="613"/>
      <c r="W366" s="613"/>
      <c r="X366" s="613"/>
      <c r="Y366" s="161"/>
    </row>
    <row r="367" spans="1:25" ht="16.2" thickBot="1">
      <c r="A367" s="145">
        <v>27</v>
      </c>
      <c r="B367" s="371"/>
      <c r="C367" s="149"/>
      <c r="D367" s="165" t="s">
        <v>289</v>
      </c>
      <c r="E367" s="360" t="str">
        <f>IF(Q315="","",Q315)</f>
        <v/>
      </c>
      <c r="F367" s="361" t="str">
        <f>IF(R315="","",R315)</f>
        <v/>
      </c>
      <c r="G367" s="361" t="str">
        <f>IF(S315="","",S315)</f>
        <v/>
      </c>
      <c r="H367" s="361" t="str">
        <f>IF(T315="","",T315)</f>
        <v/>
      </c>
      <c r="I367" s="363" t="str">
        <f>IF(U315="","",U315)</f>
        <v/>
      </c>
      <c r="J367" s="149"/>
      <c r="K367" s="149"/>
      <c r="L367" s="149"/>
      <c r="M367" s="240"/>
      <c r="N367" s="149"/>
      <c r="O367" s="159"/>
      <c r="P367" s="613" t="s">
        <v>29</v>
      </c>
      <c r="Q367" s="613" t="s">
        <v>239</v>
      </c>
      <c r="R367" s="613" t="s">
        <v>240</v>
      </c>
      <c r="S367" s="613" t="s">
        <v>50</v>
      </c>
      <c r="T367" s="613" t="s">
        <v>49</v>
      </c>
      <c r="U367" s="613" t="s">
        <v>307</v>
      </c>
      <c r="V367" s="613" t="s">
        <v>308</v>
      </c>
      <c r="W367" s="613" t="s">
        <v>309</v>
      </c>
      <c r="X367" s="613" t="s">
        <v>310</v>
      </c>
      <c r="Y367" s="161"/>
    </row>
    <row r="368" spans="1:25">
      <c r="A368" s="145">
        <v>28</v>
      </c>
      <c r="B368" s="371"/>
      <c r="C368" s="149"/>
      <c r="D368" s="246" t="s">
        <v>163</v>
      </c>
      <c r="E368" s="210" t="s">
        <v>290</v>
      </c>
      <c r="F368" s="149"/>
      <c r="G368" s="149"/>
      <c r="H368" s="149"/>
      <c r="I368" s="149"/>
      <c r="J368" s="149"/>
      <c r="K368" s="165" t="s">
        <v>291</v>
      </c>
      <c r="L368" s="144" t="str">
        <f>IF(X317="","",X317)</f>
        <v/>
      </c>
      <c r="M368" s="240"/>
      <c r="N368" s="149"/>
      <c r="O368" s="159"/>
      <c r="P368" s="206" t="str">
        <f>IF(AK30="","",AK30)</f>
        <v/>
      </c>
      <c r="Q368" s="206" t="str">
        <f>IF(AL30="","",AL30)</f>
        <v/>
      </c>
      <c r="R368" s="206">
        <f>IF(AH30="","",AH30)</f>
        <v>28</v>
      </c>
      <c r="S368" s="206">
        <f>IF(AI30="","",AI30)</f>
        <v>50</v>
      </c>
      <c r="T368" s="396" t="str">
        <f>IF(AM30="","",AVERAGE(AM30,AM31))</f>
        <v/>
      </c>
      <c r="U368" s="207" t="str">
        <f>IF(AN30="","",AVERAGE(AN30,AN31))</f>
        <v/>
      </c>
      <c r="V368" s="396" t="str">
        <f>IF(AO30="","",AVERAGE(AO30,AO31))</f>
        <v/>
      </c>
      <c r="W368" s="433" t="str">
        <f t="shared" ref="W368:W373" si="70">IF(V368="","",V368/S368)</f>
        <v/>
      </c>
      <c r="X368" s="396" t="str">
        <f t="shared" ref="X368:X373" si="71">IF(OR(V368="",U368=""),"",V368/(U368/1000))</f>
        <v/>
      </c>
      <c r="Y368" s="161"/>
    </row>
    <row r="369" spans="1:25">
      <c r="A369" s="145">
        <v>29</v>
      </c>
      <c r="B369" s="371"/>
      <c r="C369" s="149"/>
      <c r="D369" s="149"/>
      <c r="E369" s="210" t="s">
        <v>292</v>
      </c>
      <c r="F369" s="149"/>
      <c r="G369" s="149"/>
      <c r="H369" s="149"/>
      <c r="I369" s="149"/>
      <c r="J369" s="149"/>
      <c r="K369" s="165" t="s">
        <v>293</v>
      </c>
      <c r="L369" s="435" t="str">
        <f>IF(X318="","",X318)</f>
        <v/>
      </c>
      <c r="M369" s="240"/>
      <c r="N369" s="149"/>
      <c r="O369" s="159"/>
      <c r="P369" s="206" t="str">
        <f>IF(AK32="","",AK32)</f>
        <v/>
      </c>
      <c r="Q369" s="206" t="str">
        <f>IF(AL32="","",AL32)</f>
        <v/>
      </c>
      <c r="R369" s="206">
        <f>IF(AH32="","",AH32)</f>
        <v>30</v>
      </c>
      <c r="S369" s="206">
        <f>IF(AI32="","",AI32)</f>
        <v>50</v>
      </c>
      <c r="T369" s="396" t="str">
        <f>IF(AM32="","",AVERAGE(AM32,AM33))</f>
        <v/>
      </c>
      <c r="U369" s="207" t="str">
        <f>IF(AN32="","",AVERAGE(AN32,AN33))</f>
        <v/>
      </c>
      <c r="V369" s="396" t="str">
        <f>IF(AO32="","",AVERAGE(AO32,AO33))</f>
        <v/>
      </c>
      <c r="W369" s="433" t="str">
        <f t="shared" si="70"/>
        <v/>
      </c>
      <c r="X369" s="396" t="str">
        <f t="shared" si="71"/>
        <v/>
      </c>
      <c r="Y369" s="161"/>
    </row>
    <row r="370" spans="1:25" ht="16.2" thickBot="1">
      <c r="A370" s="145">
        <v>30</v>
      </c>
      <c r="B370" s="424"/>
      <c r="C370" s="425"/>
      <c r="D370" s="425"/>
      <c r="E370" s="425"/>
      <c r="F370" s="425"/>
      <c r="G370" s="425"/>
      <c r="H370" s="425"/>
      <c r="I370" s="425"/>
      <c r="J370" s="425"/>
      <c r="K370" s="425"/>
      <c r="L370" s="425"/>
      <c r="M370" s="426"/>
      <c r="N370" s="149"/>
      <c r="O370" s="159"/>
      <c r="P370" s="206" t="str">
        <f>IF(AK34="","",AK34)</f>
        <v/>
      </c>
      <c r="Q370" s="206" t="str">
        <f>IF(AL34="","",AL34)</f>
        <v/>
      </c>
      <c r="R370" s="206">
        <f>IF(AH34="","",AH34)</f>
        <v>32</v>
      </c>
      <c r="S370" s="206">
        <f>IF(AI34="","",AI34)</f>
        <v>50</v>
      </c>
      <c r="T370" s="396" t="str">
        <f>IF(AM34="","",AVERAGE(AM34,AM35))</f>
        <v/>
      </c>
      <c r="U370" s="207" t="str">
        <f>IF(AN34="","",AVERAGE(AN34,AN35))</f>
        <v/>
      </c>
      <c r="V370" s="396" t="str">
        <f>IF(AO34="","",AVERAGE(AO34,AO35))</f>
        <v/>
      </c>
      <c r="W370" s="433" t="str">
        <f t="shared" si="70"/>
        <v/>
      </c>
      <c r="X370" s="396" t="str">
        <f t="shared" si="71"/>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159"/>
      <c r="P371" s="206" t="str">
        <f>IF(AK36="","",AK36)</f>
        <v/>
      </c>
      <c r="Q371" s="206" t="str">
        <f>IF(AL36="","",AL36)</f>
        <v/>
      </c>
      <c r="R371" s="206">
        <f>IF(AH36="","",AH36)</f>
        <v>34</v>
      </c>
      <c r="S371" s="206">
        <f>IF(AI36="","",AI36)</f>
        <v>50</v>
      </c>
      <c r="T371" s="396" t="str">
        <f>IF(AM36="","",AVERAGE(AM36,AM37))</f>
        <v/>
      </c>
      <c r="U371" s="207" t="str">
        <f>IF(AN36="","",AVERAGE(AN36,AN37))</f>
        <v/>
      </c>
      <c r="V371" s="396" t="str">
        <f>IF(AO36="","",AVERAGE(AO36,AO37))</f>
        <v/>
      </c>
      <c r="W371" s="433" t="str">
        <f t="shared" si="70"/>
        <v/>
      </c>
      <c r="X371" s="396" t="str">
        <f t="shared" si="71"/>
        <v/>
      </c>
      <c r="Y371" s="161"/>
    </row>
    <row r="372" spans="1:25" ht="16.2" thickBot="1">
      <c r="A372" s="145">
        <v>32</v>
      </c>
      <c r="B372" s="371"/>
      <c r="C372" s="239"/>
      <c r="D372" s="165" t="s">
        <v>267</v>
      </c>
      <c r="E372" s="428">
        <f>IF(Q323="","",Q323)</f>
        <v>0</v>
      </c>
      <c r="F372" s="239"/>
      <c r="G372" s="239"/>
      <c r="H372" s="239"/>
      <c r="I372" s="239"/>
      <c r="J372" s="239"/>
      <c r="K372" s="239"/>
      <c r="L372" s="239"/>
      <c r="M372" s="240"/>
      <c r="N372" s="149"/>
      <c r="O372" s="159"/>
      <c r="P372" s="206" t="str">
        <f>IF(AK38="","",AK38)</f>
        <v/>
      </c>
      <c r="Q372" s="206" t="str">
        <f>IF(AL38="","",AL38)</f>
        <v/>
      </c>
      <c r="R372" s="206">
        <f>IF(AH38="","",AH38)</f>
        <v>36</v>
      </c>
      <c r="S372" s="206">
        <f>IF(AI38="","",AI38)</f>
        <v>50</v>
      </c>
      <c r="T372" s="396" t="str">
        <f>IF(AM38="","",AM38)</f>
        <v/>
      </c>
      <c r="U372" s="207" t="str">
        <f>IF(AN38="","",AN38)</f>
        <v/>
      </c>
      <c r="V372" s="396" t="str">
        <f>IF(AO38="","",AO38)</f>
        <v/>
      </c>
      <c r="W372" s="433" t="str">
        <f t="shared" si="70"/>
        <v/>
      </c>
      <c r="X372" s="396" t="str">
        <f t="shared" si="71"/>
        <v/>
      </c>
      <c r="Y372" s="161"/>
    </row>
    <row r="373" spans="1:25">
      <c r="A373" s="145">
        <v>33</v>
      </c>
      <c r="B373" s="371"/>
      <c r="C373" s="239"/>
      <c r="D373" s="239"/>
      <c r="E373" s="707" t="str">
        <f>O325&amp;" "&amp;P326&amp;" "&amp;Q326</f>
        <v xml:space="preserve">Combo Mode 2D Target/Filter: </v>
      </c>
      <c r="F373" s="707"/>
      <c r="G373" s="707"/>
      <c r="H373" s="707"/>
      <c r="I373" s="707"/>
      <c r="J373" s="239"/>
      <c r="K373" s="239"/>
      <c r="L373" s="239"/>
      <c r="M373" s="240"/>
      <c r="N373" s="149"/>
      <c r="O373" s="159"/>
      <c r="P373" s="206" t="str">
        <f>IF(AK39="","",AK39)</f>
        <v/>
      </c>
      <c r="Q373" s="206" t="str">
        <f>IF(AL39="","",AL39)</f>
        <v/>
      </c>
      <c r="R373" s="206">
        <f>IF(AH39="","",AH39)</f>
        <v>38</v>
      </c>
      <c r="S373" s="206">
        <f>IF(AI39="","",AI39)</f>
        <v>50</v>
      </c>
      <c r="T373" s="396" t="str">
        <f>IF(AM39="","",AM39)</f>
        <v/>
      </c>
      <c r="U373" s="207" t="str">
        <f>IF(AN39="","",AN39)</f>
        <v/>
      </c>
      <c r="V373" s="396" t="str">
        <f>IF(AO39="","",AO39)</f>
        <v/>
      </c>
      <c r="W373" s="433" t="str">
        <f t="shared" si="70"/>
        <v/>
      </c>
      <c r="X373" s="396" t="str">
        <f t="shared" si="71"/>
        <v/>
      </c>
      <c r="Y373" s="161"/>
    </row>
    <row r="374" spans="1:25">
      <c r="A374" s="145">
        <v>34</v>
      </c>
      <c r="B374" s="371"/>
      <c r="C374" s="239"/>
      <c r="D374" s="149"/>
      <c r="E374" s="159"/>
      <c r="F374" s="149"/>
      <c r="G374" s="164" t="s">
        <v>236</v>
      </c>
      <c r="H374" s="149"/>
      <c r="I374" s="161" t="s">
        <v>273</v>
      </c>
      <c r="J374" s="239"/>
      <c r="K374" s="165" t="s">
        <v>177</v>
      </c>
      <c r="L374" s="284" t="str">
        <f>IF(T326="","",T326)</f>
        <v/>
      </c>
      <c r="M374" s="240"/>
      <c r="N374" s="149"/>
      <c r="O374" s="159"/>
      <c r="P374" s="246" t="s">
        <v>163</v>
      </c>
      <c r="Q374" s="156" t="s">
        <v>316</v>
      </c>
      <c r="R374" s="149"/>
      <c r="S374" s="149"/>
      <c r="T374" s="149"/>
      <c r="U374" s="149"/>
      <c r="V374" s="149"/>
      <c r="W374" s="149"/>
      <c r="X374" s="149"/>
      <c r="Y374" s="161"/>
    </row>
    <row r="375" spans="1:25" ht="16.2" thickBot="1">
      <c r="A375" s="145">
        <v>35</v>
      </c>
      <c r="B375" s="371"/>
      <c r="C375" s="239"/>
      <c r="D375" s="164"/>
      <c r="E375" s="415" t="s">
        <v>50</v>
      </c>
      <c r="F375" s="164" t="s">
        <v>241</v>
      </c>
      <c r="G375" s="164" t="s">
        <v>242</v>
      </c>
      <c r="H375" s="164" t="s">
        <v>276</v>
      </c>
      <c r="I375" s="416" t="s">
        <v>277</v>
      </c>
      <c r="J375" s="239"/>
      <c r="K375" s="165" t="s">
        <v>278</v>
      </c>
      <c r="L375" s="284" t="str">
        <f>IF(X329="","",X329)</f>
        <v/>
      </c>
      <c r="M375" s="240"/>
      <c r="N375" s="149"/>
      <c r="O375" s="159"/>
      <c r="P375" s="239"/>
      <c r="Q375" s="239"/>
      <c r="R375" s="239"/>
      <c r="S375" s="239"/>
      <c r="T375" s="239"/>
      <c r="U375" s="239"/>
      <c r="V375" s="239"/>
      <c r="W375" s="239"/>
      <c r="X375" s="239"/>
      <c r="Y375" s="161"/>
    </row>
    <row r="376" spans="1:25">
      <c r="A376" s="145">
        <v>36</v>
      </c>
      <c r="B376" s="371"/>
      <c r="C376" s="239"/>
      <c r="D376" s="149"/>
      <c r="E376" s="429" t="str">
        <f>IF(Q330="","",Q330)</f>
        <v/>
      </c>
      <c r="F376" s="197" t="str">
        <f>IF(R330="","",R330)</f>
        <v/>
      </c>
      <c r="G376" s="197" t="str">
        <f>IF(S330="","",S330)</f>
        <v/>
      </c>
      <c r="H376" s="430" t="str">
        <f>IF(T330="","",T330)</f>
        <v/>
      </c>
      <c r="I376" s="198" t="str">
        <f>IF(U330="","",U330)</f>
        <v/>
      </c>
      <c r="J376" s="239"/>
      <c r="K376" s="165" t="s">
        <v>281</v>
      </c>
      <c r="L376" s="284" t="str">
        <f>IF(X330="","",X330)</f>
        <v/>
      </c>
      <c r="M376" s="240"/>
      <c r="N376" s="149"/>
      <c r="O376" s="159"/>
      <c r="P376" s="149"/>
      <c r="Q376" s="149"/>
      <c r="R376" s="149"/>
      <c r="S376" s="165"/>
      <c r="T376" s="613" t="s">
        <v>306</v>
      </c>
      <c r="U376" s="613"/>
      <c r="V376" s="613"/>
      <c r="W376" s="613"/>
      <c r="X376" s="613"/>
      <c r="Y376" s="161"/>
    </row>
    <row r="377" spans="1:25">
      <c r="A377" s="145">
        <v>37</v>
      </c>
      <c r="B377" s="371"/>
      <c r="C377" s="239"/>
      <c r="D377" s="149"/>
      <c r="E377" s="432" t="str">
        <f>IF(Q331="","",Q331)</f>
        <v/>
      </c>
      <c r="F377" s="206" t="str">
        <f>IF(R331="","",R331)</f>
        <v/>
      </c>
      <c r="G377" s="206" t="str">
        <f>IF(S331="","",S331)</f>
        <v/>
      </c>
      <c r="H377" s="433" t="str">
        <f>IF(T331="","",T331)</f>
        <v/>
      </c>
      <c r="I377" s="208" t="str">
        <f>IF(U331="","",U331)</f>
        <v/>
      </c>
      <c r="J377" s="239"/>
      <c r="K377" s="165" t="s">
        <v>283</v>
      </c>
      <c r="L377" s="284" t="str">
        <f>IF(X331="","",X331)</f>
        <v/>
      </c>
      <c r="M377" s="240"/>
      <c r="N377" s="149"/>
      <c r="O377" s="159"/>
      <c r="P377" s="613" t="s">
        <v>29</v>
      </c>
      <c r="Q377" s="613" t="s">
        <v>239</v>
      </c>
      <c r="R377" s="613" t="s">
        <v>240</v>
      </c>
      <c r="S377" s="613" t="s">
        <v>50</v>
      </c>
      <c r="T377" s="613" t="s">
        <v>49</v>
      </c>
      <c r="U377" s="613" t="s">
        <v>307</v>
      </c>
      <c r="V377" s="613" t="s">
        <v>308</v>
      </c>
      <c r="W377" s="613" t="s">
        <v>309</v>
      </c>
      <c r="X377" s="613" t="s">
        <v>310</v>
      </c>
      <c r="Y377" s="161"/>
    </row>
    <row r="378" spans="1:25">
      <c r="A378" s="145">
        <v>38</v>
      </c>
      <c r="B378" s="371"/>
      <c r="C378" s="239"/>
      <c r="D378" s="149"/>
      <c r="E378" s="432" t="str">
        <f>IF(Q332="","",Q332)</f>
        <v/>
      </c>
      <c r="F378" s="206" t="str">
        <f>IF(R332="","",R332)</f>
        <v/>
      </c>
      <c r="G378" s="206" t="str">
        <f>IF(S332="","",S332)</f>
        <v/>
      </c>
      <c r="H378" s="433" t="str">
        <f>IF(T332="","",T332)</f>
        <v/>
      </c>
      <c r="I378" s="208" t="str">
        <f>IF(U332="","",U332)</f>
        <v/>
      </c>
      <c r="J378" s="239"/>
      <c r="K378" s="165" t="s">
        <v>284</v>
      </c>
      <c r="L378" s="284" t="str">
        <f>IF(X332="","",X332)</f>
        <v/>
      </c>
      <c r="M378" s="240"/>
      <c r="N378" s="149"/>
      <c r="O378" s="159"/>
      <c r="P378" s="206" t="str">
        <f>IF(AK40="","",AK40)</f>
        <v/>
      </c>
      <c r="Q378" s="206" t="str">
        <f>IF(AL40="","",AL40)</f>
        <v/>
      </c>
      <c r="R378" s="206">
        <f>IF(AH40="","",AH40)</f>
        <v>28</v>
      </c>
      <c r="S378" s="206">
        <f>IF(AI40="","",AI40)</f>
        <v>50</v>
      </c>
      <c r="T378" s="396" t="str">
        <f>IF(AM40="","",AVERAGE(AM40:AM41))</f>
        <v/>
      </c>
      <c r="U378" s="207" t="str">
        <f>IF(AN40="","",AVERAGE(AN40:AN41))</f>
        <v/>
      </c>
      <c r="V378" s="396" t="str">
        <f>IF(AO40="","",AVERAGE(AO40:AO41))</f>
        <v/>
      </c>
      <c r="W378" s="433" t="str">
        <f>IF(V378="","",V378/S378)</f>
        <v/>
      </c>
      <c r="X378" s="396" t="str">
        <f>IF(OR(V378="",U378=""),"",V378/(U378/1000))</f>
        <v/>
      </c>
      <c r="Y378" s="161"/>
    </row>
    <row r="379" spans="1:25" ht="16.2" thickBot="1">
      <c r="A379" s="145">
        <v>39</v>
      </c>
      <c r="B379" s="371"/>
      <c r="C379" s="239"/>
      <c r="D379" s="149"/>
      <c r="E379" s="436" t="str">
        <f>IF(Q333="","",Q333)</f>
        <v/>
      </c>
      <c r="F379" s="252" t="str">
        <f>IF(R333="","",R333)</f>
        <v/>
      </c>
      <c r="G379" s="252" t="str">
        <f>IF(S333="","",S333)</f>
        <v/>
      </c>
      <c r="H379" s="437" t="str">
        <f>IF(T333="","",T333)</f>
        <v/>
      </c>
      <c r="I379" s="253" t="str">
        <f>IF(U333="","",U333)</f>
        <v/>
      </c>
      <c r="J379" s="239"/>
      <c r="K379" s="316" t="s">
        <v>285</v>
      </c>
      <c r="L379" s="284" t="str">
        <f>IF(X333="","",X333)</f>
        <v/>
      </c>
      <c r="M379" s="240"/>
      <c r="N379" s="149"/>
      <c r="O379" s="159"/>
      <c r="P379" s="206" t="str">
        <f>IF(AK42="","",AK42)</f>
        <v/>
      </c>
      <c r="Q379" s="206" t="str">
        <f>IF(AL42="","",AL42)</f>
        <v/>
      </c>
      <c r="R379" s="206">
        <f>IF(AH42="","",AH42)</f>
        <v>30</v>
      </c>
      <c r="S379" s="206">
        <f>IF(AI42="","",AI42)</f>
        <v>50</v>
      </c>
      <c r="T379" s="396" t="str">
        <f>IF(AM42="","",AVERAGE(AM42:AM43))</f>
        <v/>
      </c>
      <c r="U379" s="207" t="str">
        <f>IF(AN42="","",AVERAGE(AN42:AN43))</f>
        <v/>
      </c>
      <c r="V379" s="396" t="str">
        <f>IF(AO42="","",AVERAGE(AO42:AO43))</f>
        <v/>
      </c>
      <c r="W379" s="433" t="str">
        <f>IF(V379="","",V379/S379)</f>
        <v/>
      </c>
      <c r="X379" s="396" t="str">
        <f>IF(OR(V379="",U379=""),"",V379/(U379/1000))</f>
        <v/>
      </c>
      <c r="Y379" s="161"/>
    </row>
    <row r="380" spans="1:25">
      <c r="A380" s="145">
        <v>40</v>
      </c>
      <c r="B380" s="371"/>
      <c r="C380" s="239"/>
      <c r="D380" s="165" t="s">
        <v>249</v>
      </c>
      <c r="E380" s="432" t="str">
        <f>IF(Q334="","",Q334)</f>
        <v/>
      </c>
      <c r="F380" s="206" t="str">
        <f>IF(R334="","",R334)</f>
        <v/>
      </c>
      <c r="G380" s="396" t="str">
        <f>IF(S334="","",S334)</f>
        <v/>
      </c>
      <c r="H380" s="433" t="str">
        <f>IF(T334="","",T334)</f>
        <v/>
      </c>
      <c r="I380" s="208" t="str">
        <f>IF(U334="","",U334)</f>
        <v/>
      </c>
      <c r="J380" s="239"/>
      <c r="K380" s="165" t="s">
        <v>287</v>
      </c>
      <c r="L380" s="438" t="str">
        <f>IF(X334="","",X334)</f>
        <v/>
      </c>
      <c r="M380" s="240"/>
      <c r="N380" s="149"/>
      <c r="O380" s="159"/>
      <c r="P380" s="206" t="str">
        <f>IF(AK44="","",AK44)</f>
        <v/>
      </c>
      <c r="Q380" s="206" t="str">
        <f>IF(AL44="","",AL44)</f>
        <v/>
      </c>
      <c r="R380" s="206">
        <f>IF(AH44="","",AH44)</f>
        <v>32</v>
      </c>
      <c r="S380" s="206">
        <f>IF(AI44="","",AI44)</f>
        <v>50</v>
      </c>
      <c r="T380" s="396" t="str">
        <f>IF(AM44="","",AVERAGE(AM44:AM45))</f>
        <v/>
      </c>
      <c r="U380" s="207" t="str">
        <f>IF(AN44="","",AVERAGE(AN44:AN45))</f>
        <v/>
      </c>
      <c r="V380" s="396" t="str">
        <f>IF(AO44="","",AVERAGE(AO44:AO45))</f>
        <v/>
      </c>
      <c r="W380" s="433" t="str">
        <f>IF(V380="","",V380/S380)</f>
        <v/>
      </c>
      <c r="X380" s="396" t="str">
        <f>IF(OR(V380="",U380=""),"",V380/(U380/1000))</f>
        <v/>
      </c>
      <c r="Y380" s="161"/>
    </row>
    <row r="381" spans="1:25" ht="16.2" thickBot="1">
      <c r="A381" s="145">
        <v>41</v>
      </c>
      <c r="B381" s="371"/>
      <c r="C381" s="239"/>
      <c r="D381" s="165" t="s">
        <v>289</v>
      </c>
      <c r="E381" s="360" t="str">
        <f>IF(Q335="","",Q335)</f>
        <v/>
      </c>
      <c r="F381" s="361" t="str">
        <f>IF(R335="","",R335)</f>
        <v/>
      </c>
      <c r="G381" s="361" t="str">
        <f>IF(S335="","",S335)</f>
        <v/>
      </c>
      <c r="H381" s="361" t="str">
        <f>IF(T335="","",T335)</f>
        <v/>
      </c>
      <c r="I381" s="363" t="str">
        <f>IF(U335="","",U335)</f>
        <v/>
      </c>
      <c r="J381" s="239"/>
      <c r="K381" s="239"/>
      <c r="L381" s="239"/>
      <c r="M381" s="240"/>
      <c r="N381" s="149"/>
      <c r="O381" s="159"/>
      <c r="P381" s="206" t="str">
        <f>IF(AK46="","",AK46)</f>
        <v/>
      </c>
      <c r="Q381" s="206" t="str">
        <f>IF(AL46="","",AL46)</f>
        <v/>
      </c>
      <c r="R381" s="206">
        <f>IF(AH46="","",AH46)</f>
        <v>34</v>
      </c>
      <c r="S381" s="206">
        <f>IF(AI46="","",AI46)</f>
        <v>50</v>
      </c>
      <c r="T381" s="396" t="str">
        <f>IF(AM46="","",AVERAGE(AM46:AM47))</f>
        <v/>
      </c>
      <c r="U381" s="207" t="str">
        <f>IF(AN46="","",AVERAGE(AN46:AN47))</f>
        <v/>
      </c>
      <c r="V381" s="396" t="str">
        <f>IF(AO46="","",AVERAGE(AO46:AO47))</f>
        <v/>
      </c>
      <c r="W381" s="433" t="str">
        <f>IF(V381="","",V381/S381)</f>
        <v/>
      </c>
      <c r="X381" s="396" t="str">
        <f>IF(OR(V381="",U381=""),"",V381/(U381/1000))</f>
        <v/>
      </c>
      <c r="Y381" s="161"/>
    </row>
    <row r="382" spans="1:25">
      <c r="A382" s="145">
        <v>42</v>
      </c>
      <c r="B382" s="371"/>
      <c r="C382" s="239"/>
      <c r="D382" s="239"/>
      <c r="E382" s="239"/>
      <c r="F382" s="239"/>
      <c r="G382" s="239"/>
      <c r="H382" s="239"/>
      <c r="I382" s="239"/>
      <c r="J382" s="239"/>
      <c r="K382" s="165" t="s">
        <v>291</v>
      </c>
      <c r="L382" s="438" t="str">
        <f>IF(X336="","",X336)</f>
        <v/>
      </c>
      <c r="M382" s="240"/>
      <c r="N382" s="149"/>
      <c r="O382" s="159"/>
      <c r="P382" s="206" t="str">
        <f>IF(AK48="","",AK48)</f>
        <v/>
      </c>
      <c r="Q382" s="206" t="str">
        <f>IF(AL48="","",AL48)</f>
        <v/>
      </c>
      <c r="R382" s="206">
        <f>IF(AH48="","",AH48)</f>
        <v>38</v>
      </c>
      <c r="S382" s="206">
        <f>IF(AI48="","",AI48)</f>
        <v>50</v>
      </c>
      <c r="T382" s="396" t="str">
        <f>IF(AM48="","",AVERAGE(AM48:AM49))</f>
        <v/>
      </c>
      <c r="U382" s="207" t="str">
        <f>IF(AN48="","",AVERAGE(AN48:AN49))</f>
        <v/>
      </c>
      <c r="V382" s="396" t="str">
        <f>IF(AO48="","",AVERAGE(AO48:AO49))</f>
        <v/>
      </c>
      <c r="W382" s="433" t="str">
        <f>IF(V382="","",V382/S382)</f>
        <v/>
      </c>
      <c r="X382" s="396" t="str">
        <f>IF(OR(V382="",U382=""),"",V382/(U382/1000))</f>
        <v/>
      </c>
      <c r="Y382" s="161"/>
    </row>
    <row r="383" spans="1:25" ht="16.2" thickBot="1">
      <c r="A383" s="145">
        <v>43</v>
      </c>
      <c r="B383" s="371"/>
      <c r="C383" s="239"/>
      <c r="D383" s="239"/>
      <c r="E383" s="239"/>
      <c r="F383" s="239"/>
      <c r="G383" s="239"/>
      <c r="H383" s="239"/>
      <c r="I383" s="239"/>
      <c r="J383" s="239"/>
      <c r="K383" s="239"/>
      <c r="L383" s="239"/>
      <c r="M383" s="240"/>
      <c r="N383" s="149"/>
      <c r="O383" s="159"/>
      <c r="P383" s="246" t="s">
        <v>163</v>
      </c>
      <c r="Q383" s="156" t="s">
        <v>316</v>
      </c>
      <c r="R383" s="473"/>
      <c r="S383" s="473"/>
      <c r="T383" s="474"/>
      <c r="U383" s="475"/>
      <c r="V383" s="474"/>
      <c r="W383" s="476"/>
      <c r="X383" s="474"/>
      <c r="Y383" s="161"/>
    </row>
    <row r="384" spans="1:25" ht="16.2" thickBot="1">
      <c r="A384" s="145">
        <v>44</v>
      </c>
      <c r="B384" s="371"/>
      <c r="C384" s="239"/>
      <c r="D384" s="239"/>
      <c r="E384" s="708" t="str">
        <f>O337&amp;" "&amp;P338&amp;" "&amp;Q338</f>
        <v xml:space="preserve">Combo Mode 3D Target/Filter: </v>
      </c>
      <c r="F384" s="708"/>
      <c r="G384" s="708"/>
      <c r="H384" s="708"/>
      <c r="I384" s="708"/>
      <c r="J384" s="239"/>
      <c r="K384" s="239"/>
      <c r="L384" s="239"/>
      <c r="M384" s="240"/>
      <c r="N384" s="149"/>
      <c r="O384" s="170"/>
      <c r="P384" s="171"/>
      <c r="Q384" s="171"/>
      <c r="R384" s="171"/>
      <c r="S384" s="171"/>
      <c r="T384" s="171"/>
      <c r="U384" s="171"/>
      <c r="V384" s="171"/>
      <c r="W384" s="171"/>
      <c r="X384" s="171"/>
      <c r="Y384" s="172"/>
    </row>
    <row r="385" spans="1:25">
      <c r="A385" s="145">
        <v>45</v>
      </c>
      <c r="B385" s="371"/>
      <c r="C385" s="239"/>
      <c r="D385" s="239"/>
      <c r="E385" s="159"/>
      <c r="F385" s="149"/>
      <c r="G385" s="164" t="s">
        <v>236</v>
      </c>
      <c r="H385" s="149"/>
      <c r="I385" s="195" t="s">
        <v>273</v>
      </c>
      <c r="J385" s="239"/>
      <c r="K385" s="165" t="s">
        <v>177</v>
      </c>
      <c r="L385" s="284" t="str">
        <f>IF(T338="","",T338)</f>
        <v/>
      </c>
      <c r="M385" s="240"/>
      <c r="N385" s="149"/>
      <c r="O385" s="279" t="s">
        <v>323</v>
      </c>
      <c r="P385" s="151"/>
      <c r="Q385" s="151"/>
      <c r="R385" s="151"/>
      <c r="S385" s="151"/>
      <c r="T385" s="151"/>
      <c r="U385" s="151"/>
      <c r="V385" s="151"/>
      <c r="W385" s="151"/>
      <c r="X385" s="151"/>
      <c r="Y385" s="152"/>
    </row>
    <row r="386" spans="1:25" ht="16.2" thickBot="1">
      <c r="A386" s="145">
        <v>46</v>
      </c>
      <c r="B386" s="371"/>
      <c r="C386" s="194"/>
      <c r="D386" s="239"/>
      <c r="E386" s="415" t="s">
        <v>50</v>
      </c>
      <c r="F386" s="164" t="s">
        <v>241</v>
      </c>
      <c r="G386" s="164" t="s">
        <v>242</v>
      </c>
      <c r="H386" s="164" t="s">
        <v>276</v>
      </c>
      <c r="I386" s="445" t="s">
        <v>277</v>
      </c>
      <c r="J386" s="239"/>
      <c r="K386" s="165" t="s">
        <v>278</v>
      </c>
      <c r="L386" s="284" t="str">
        <f>IF(X341="","",X341)</f>
        <v/>
      </c>
      <c r="M386" s="240"/>
      <c r="N386" s="149"/>
      <c r="O386" s="159"/>
      <c r="P386" s="149"/>
      <c r="Q386" s="149"/>
      <c r="R386" s="149"/>
      <c r="S386" s="165"/>
      <c r="T386" s="149"/>
      <c r="U386" s="149"/>
      <c r="V386" s="149"/>
      <c r="W386" s="149"/>
      <c r="X386" s="149"/>
      <c r="Y386" s="161"/>
    </row>
    <row r="387" spans="1:25">
      <c r="A387" s="145">
        <v>47</v>
      </c>
      <c r="B387" s="371"/>
      <c r="C387" s="239"/>
      <c r="D387" s="239"/>
      <c r="E387" s="429" t="str">
        <f>IF(Q342="","",Q342)</f>
        <v/>
      </c>
      <c r="F387" s="197" t="str">
        <f>IF(R342="","",R342)</f>
        <v/>
      </c>
      <c r="G387" s="197" t="str">
        <f>IF(S342="","",S342)</f>
        <v/>
      </c>
      <c r="H387" s="430" t="str">
        <f>IF(T342="","",T342)</f>
        <v/>
      </c>
      <c r="I387" s="446" t="str">
        <f>IF(U342="","",U342)</f>
        <v/>
      </c>
      <c r="J387" s="239"/>
      <c r="K387" s="165" t="s">
        <v>281</v>
      </c>
      <c r="L387" s="284" t="str">
        <f>IF(X342="","",X342)</f>
        <v/>
      </c>
      <c r="M387" s="240"/>
      <c r="N387" s="149"/>
      <c r="O387" s="159"/>
      <c r="P387" s="149"/>
      <c r="Q387" s="149"/>
      <c r="R387" s="149"/>
      <c r="S387" s="165"/>
      <c r="T387" s="613" t="s">
        <v>306</v>
      </c>
      <c r="U387" s="613"/>
      <c r="V387" s="613"/>
      <c r="W387" s="613"/>
      <c r="X387" s="613"/>
      <c r="Y387" s="161"/>
    </row>
    <row r="388" spans="1:25">
      <c r="A388" s="145">
        <v>48</v>
      </c>
      <c r="B388" s="371"/>
      <c r="C388" s="239"/>
      <c r="D388" s="239"/>
      <c r="E388" s="432" t="str">
        <f>IF(Q343="","",Q343)</f>
        <v/>
      </c>
      <c r="F388" s="206" t="str">
        <f>IF(R343="","",R343)</f>
        <v/>
      </c>
      <c r="G388" s="206" t="str">
        <f>IF(S343="","",S343)</f>
        <v/>
      </c>
      <c r="H388" s="433" t="str">
        <f>IF(T343="","",T343)</f>
        <v/>
      </c>
      <c r="I388" s="447" t="str">
        <f>IF(U343="","",U343)</f>
        <v/>
      </c>
      <c r="J388" s="239"/>
      <c r="K388" s="165" t="s">
        <v>283</v>
      </c>
      <c r="L388" s="284" t="str">
        <f>IF(X343="","",X343)</f>
        <v/>
      </c>
      <c r="M388" s="240"/>
      <c r="N388" s="149"/>
      <c r="O388" s="159"/>
      <c r="P388" s="613" t="s">
        <v>29</v>
      </c>
      <c r="Q388" s="613" t="s">
        <v>239</v>
      </c>
      <c r="R388" s="613" t="s">
        <v>240</v>
      </c>
      <c r="S388" s="613" t="s">
        <v>50</v>
      </c>
      <c r="T388" s="613" t="s">
        <v>49</v>
      </c>
      <c r="U388" s="613" t="s">
        <v>307</v>
      </c>
      <c r="V388" s="613" t="s">
        <v>308</v>
      </c>
      <c r="W388" s="613" t="s">
        <v>309</v>
      </c>
      <c r="X388" s="613" t="s">
        <v>310</v>
      </c>
      <c r="Y388" s="161"/>
    </row>
    <row r="389" spans="1:25">
      <c r="A389" s="145">
        <v>49</v>
      </c>
      <c r="B389" s="371"/>
      <c r="C389" s="239"/>
      <c r="D389" s="239"/>
      <c r="E389" s="432" t="str">
        <f>IF(Q344="","",Q344)</f>
        <v/>
      </c>
      <c r="F389" s="206" t="str">
        <f>IF(R344="","",R344)</f>
        <v/>
      </c>
      <c r="G389" s="206" t="str">
        <f>IF(S344="","",S344)</f>
        <v/>
      </c>
      <c r="H389" s="433" t="str">
        <f>IF(T344="","",T344)</f>
        <v/>
      </c>
      <c r="I389" s="447" t="str">
        <f>IF(U344="","",U344)</f>
        <v/>
      </c>
      <c r="J389" s="239"/>
      <c r="K389" s="165" t="s">
        <v>284</v>
      </c>
      <c r="L389" s="284" t="str">
        <f>IF(X344="","",X344)</f>
        <v/>
      </c>
      <c r="M389" s="240"/>
      <c r="N389" s="149"/>
      <c r="O389" s="159"/>
      <c r="P389" s="206" t="str">
        <f>IF($AK$16="","",$AK$16)</f>
        <v/>
      </c>
      <c r="Q389" s="206" t="str">
        <f>IF($AL$16="","",$AL$16)</f>
        <v/>
      </c>
      <c r="R389" s="206">
        <f>IF(AH16="","",AH16)</f>
        <v>28</v>
      </c>
      <c r="S389" s="206">
        <f>IF(AI16="","",AI16)</f>
        <v>50</v>
      </c>
      <c r="T389" s="396" t="str">
        <f>IF(AM16="","",AM16)</f>
        <v/>
      </c>
      <c r="U389" s="207" t="str">
        <f>IF(AN16="","",AN16)</f>
        <v/>
      </c>
      <c r="V389" s="396" t="str">
        <f>IF(AO16="","",AO16)</f>
        <v/>
      </c>
      <c r="W389" s="433" t="str">
        <f>IF(V389="","",V389/S389)</f>
        <v/>
      </c>
      <c r="X389" s="396" t="str">
        <f>IF(OR(V389="",U389=""),"",V389/(U389/1000))</f>
        <v/>
      </c>
      <c r="Y389" s="161"/>
    </row>
    <row r="390" spans="1:25" ht="16.2" thickBot="1">
      <c r="A390" s="145">
        <v>50</v>
      </c>
      <c r="B390" s="371"/>
      <c r="C390" s="239"/>
      <c r="D390" s="239"/>
      <c r="E390" s="436" t="str">
        <f>IF(Q345="","",Q345)</f>
        <v/>
      </c>
      <c r="F390" s="252" t="str">
        <f>IF(R345="","",R345)</f>
        <v/>
      </c>
      <c r="G390" s="252" t="str">
        <f>IF(S345="","",S345)</f>
        <v/>
      </c>
      <c r="H390" s="437" t="str">
        <f>IF(T345="","",T345)</f>
        <v/>
      </c>
      <c r="I390" s="448" t="str">
        <f>IF(U345="","",U345)</f>
        <v/>
      </c>
      <c r="J390" s="239"/>
      <c r="K390" s="316" t="s">
        <v>285</v>
      </c>
      <c r="L390" s="284" t="str">
        <f>IF(X345="","",X345)</f>
        <v/>
      </c>
      <c r="M390" s="240"/>
      <c r="N390" s="149"/>
      <c r="O390" s="159"/>
      <c r="P390" s="206" t="str">
        <f>IF($AK$16="","",$AK$16)</f>
        <v/>
      </c>
      <c r="Q390" s="206" t="str">
        <f>IF($AL$16="","",$AL$16)</f>
        <v/>
      </c>
      <c r="R390" s="206">
        <f>IF(AH17="","",AH17)</f>
        <v>28</v>
      </c>
      <c r="S390" s="206">
        <f>IF(AI17="","",AI17)</f>
        <v>50</v>
      </c>
      <c r="T390" s="396" t="str">
        <f>IF(AM17="","",AM17)</f>
        <v/>
      </c>
      <c r="U390" s="207" t="str">
        <f>IF(AN17="","",AN17)</f>
        <v/>
      </c>
      <c r="V390" s="396" t="str">
        <f>IF(AO17="","",AO17)</f>
        <v/>
      </c>
      <c r="W390" s="433" t="str">
        <f>IF(V390="","",V390/S390)</f>
        <v/>
      </c>
      <c r="X390" s="396" t="str">
        <f>IF(OR(V390="",U390=""),"",V390/(U390/1000))</f>
        <v/>
      </c>
      <c r="Y390" s="161"/>
    </row>
    <row r="391" spans="1:25">
      <c r="A391" s="145">
        <v>51</v>
      </c>
      <c r="B391" s="371"/>
      <c r="C391" s="239"/>
      <c r="D391" s="165" t="s">
        <v>249</v>
      </c>
      <c r="E391" s="432" t="str">
        <f>IF(Q346="","",Q346)</f>
        <v/>
      </c>
      <c r="F391" s="206" t="str">
        <f>IF(R346="","",R346)</f>
        <v/>
      </c>
      <c r="G391" s="396" t="str">
        <f>IF(S346="","",S346)</f>
        <v/>
      </c>
      <c r="H391" s="433" t="str">
        <f>IF(T346="","",T346)</f>
        <v/>
      </c>
      <c r="I391" s="447" t="str">
        <f>IF(U346="","",U346)</f>
        <v/>
      </c>
      <c r="J391" s="239"/>
      <c r="K391" s="165" t="s">
        <v>287</v>
      </c>
      <c r="L391" s="438" t="str">
        <f>IF(X346="","",X346)</f>
        <v/>
      </c>
      <c r="M391" s="240"/>
      <c r="N391" s="149"/>
      <c r="O391" s="159"/>
      <c r="P391" s="206" t="str">
        <f>IF($AK$16="","",$AK$16)</f>
        <v/>
      </c>
      <c r="Q391" s="206" t="str">
        <f>IF($AL$16="","",$AL$16)</f>
        <v/>
      </c>
      <c r="R391" s="206">
        <f>IF(AH18="","",AH18)</f>
        <v>28</v>
      </c>
      <c r="S391" s="206">
        <f>IF(AI18="","",AI18)</f>
        <v>50</v>
      </c>
      <c r="T391" s="396" t="str">
        <f>IF(AM18="","",AM18)</f>
        <v/>
      </c>
      <c r="U391" s="207" t="str">
        <f>IF(AN18="","",AN18)</f>
        <v/>
      </c>
      <c r="V391" s="396" t="str">
        <f>IF(AO18="","",AO18)</f>
        <v/>
      </c>
      <c r="W391" s="433" t="str">
        <f>IF(V391="","",V391/S391)</f>
        <v/>
      </c>
      <c r="X391" s="396" t="str">
        <f>IF(OR(V391="",U391=""),"",V391/(U391/1000))</f>
        <v/>
      </c>
      <c r="Y391" s="161"/>
    </row>
    <row r="392" spans="1:25" ht="16.2" thickBot="1">
      <c r="A392" s="145">
        <v>52</v>
      </c>
      <c r="B392" s="371"/>
      <c r="C392" s="239"/>
      <c r="D392" s="165" t="s">
        <v>289</v>
      </c>
      <c r="E392" s="360" t="str">
        <f>IF(Q347="","",Q347)</f>
        <v/>
      </c>
      <c r="F392" s="361" t="str">
        <f>IF(R347="","",R347)</f>
        <v/>
      </c>
      <c r="G392" s="361" t="str">
        <f>IF(S347="","",S347)</f>
        <v/>
      </c>
      <c r="H392" s="361" t="str">
        <f>IF(T347="","",T347)</f>
        <v/>
      </c>
      <c r="I392" s="450" t="str">
        <f>IF(U347="","",U347)</f>
        <v/>
      </c>
      <c r="J392" s="239"/>
      <c r="K392" s="239"/>
      <c r="L392" s="239"/>
      <c r="M392" s="240"/>
      <c r="N392" s="149"/>
      <c r="O392" s="159"/>
      <c r="P392" s="206" t="str">
        <f>IF($AK$16="","",$AK$16)</f>
        <v/>
      </c>
      <c r="Q392" s="206" t="str">
        <f>IF($AL$16="","",$AL$16)</f>
        <v/>
      </c>
      <c r="R392" s="206">
        <f>IF(AH19="","",AH19)</f>
        <v>28</v>
      </c>
      <c r="S392" s="206">
        <f>IF(AI19="","",AI19)</f>
        <v>50</v>
      </c>
      <c r="T392" s="478" t="str">
        <f>IF(AM19="","",AM19)</f>
        <v/>
      </c>
      <c r="U392" s="479" t="str">
        <f>IF(AN19="","",AN19)</f>
        <v/>
      </c>
      <c r="V392" s="478" t="str">
        <f>IF(AO19="","",AO19)</f>
        <v/>
      </c>
      <c r="W392" s="480" t="str">
        <f>IF(V392="","",V392/S392)</f>
        <v/>
      </c>
      <c r="X392" s="478" t="str">
        <f>IF(OR(V392="",U392=""),"",V392/(U392/1000))</f>
        <v/>
      </c>
      <c r="Y392" s="161"/>
    </row>
    <row r="393" spans="1:25">
      <c r="A393" s="145">
        <v>53</v>
      </c>
      <c r="B393" s="371"/>
      <c r="C393" s="239"/>
      <c r="D393" s="246" t="s">
        <v>163</v>
      </c>
      <c r="E393" s="156" t="s">
        <v>290</v>
      </c>
      <c r="F393" s="239"/>
      <c r="G393" s="239"/>
      <c r="H393" s="239"/>
      <c r="I393" s="239"/>
      <c r="J393" s="239"/>
      <c r="K393" s="165" t="s">
        <v>291</v>
      </c>
      <c r="L393" s="438" t="str">
        <f>IF(X348="","",X348)</f>
        <v/>
      </c>
      <c r="M393" s="240"/>
      <c r="N393" s="149"/>
      <c r="O393" s="159"/>
      <c r="P393" s="149"/>
      <c r="Q393" s="149"/>
      <c r="R393" s="149"/>
      <c r="S393" s="165" t="s">
        <v>169</v>
      </c>
      <c r="T393" s="396" t="str">
        <f>IF(OR(T389="",T390="",T391="",T392=""),"",AVERAGE(T389:T392))</f>
        <v/>
      </c>
      <c r="U393" s="207" t="str">
        <f>IF(OR(U389="",U390="",U391="",U392=""),"",AVERAGE(U389:U392))</f>
        <v/>
      </c>
      <c r="V393" s="396" t="str">
        <f>IF(OR(V389="",V390="",V391="",V392=""),"",AVERAGE(V389:V392))</f>
        <v/>
      </c>
      <c r="W393" s="433" t="str">
        <f>IF(OR(W389="",W390="",W391="",W392=""),"",AVERAGE(W389:W392))</f>
        <v/>
      </c>
      <c r="X393" s="396" t="str">
        <f>IF(OR(X389="",X390="",X391="",X392=""),"",AVERAGE(X389:X392))</f>
        <v/>
      </c>
      <c r="Y393" s="161"/>
    </row>
    <row r="394" spans="1:25">
      <c r="A394" s="145">
        <v>54</v>
      </c>
      <c r="B394" s="371"/>
      <c r="C394" s="239"/>
      <c r="D394" s="149"/>
      <c r="E394" s="156" t="s">
        <v>292</v>
      </c>
      <c r="F394" s="239"/>
      <c r="G394" s="239"/>
      <c r="H394" s="239"/>
      <c r="I394" s="239"/>
      <c r="J394" s="239"/>
      <c r="K394" s="239"/>
      <c r="L394" s="239"/>
      <c r="M394" s="240"/>
      <c r="N394" s="149"/>
      <c r="O394" s="281"/>
      <c r="P394" s="149"/>
      <c r="Q394" s="149"/>
      <c r="R394" s="149"/>
      <c r="S394" s="165" t="s">
        <v>326</v>
      </c>
      <c r="T394" s="396" t="str">
        <f>IF(OR(T389="",T390="",T391="",T392=""),"",STDEV(T389:T392))</f>
        <v/>
      </c>
      <c r="U394" s="396" t="str">
        <f>IF(OR(U389="",U390="",U391="",U392=""),"",STDEV(U389:U392))</f>
        <v/>
      </c>
      <c r="V394" s="396" t="str">
        <f>IF(OR(V389="",V390="",V391="",V392=""),"",STDEV(V389:V392))</f>
        <v/>
      </c>
      <c r="W394" s="396" t="str">
        <f>IF(OR(W389="",W390="",W391="",W392=""),"",STDEV(W389:W392))</f>
        <v/>
      </c>
      <c r="X394" s="396" t="str">
        <f>IF(OR(X389="",X390="",X391="",X392=""),"",STDEV(X389:X392))</f>
        <v/>
      </c>
      <c r="Y394" s="161"/>
    </row>
    <row r="395" spans="1:25">
      <c r="A395" s="145">
        <v>55</v>
      </c>
      <c r="B395" s="371"/>
      <c r="C395" s="239"/>
      <c r="D395" s="239"/>
      <c r="E395" s="239"/>
      <c r="F395" s="239"/>
      <c r="G395" s="239"/>
      <c r="H395" s="239"/>
      <c r="I395" s="239"/>
      <c r="J395" s="239"/>
      <c r="K395" s="451" t="s">
        <v>311</v>
      </c>
      <c r="L395" s="591" t="str">
        <f>IF(X349="","",X349)</f>
        <v/>
      </c>
      <c r="M395" s="240"/>
      <c r="N395" s="149"/>
      <c r="O395" s="159"/>
      <c r="P395" s="149"/>
      <c r="Q395" s="149"/>
      <c r="R395" s="149"/>
      <c r="S395" s="165" t="s">
        <v>289</v>
      </c>
      <c r="T395" s="346" t="str">
        <f>IF(OR(T393="",T394=""),"",T394/T393)</f>
        <v/>
      </c>
      <c r="U395" s="346" t="str">
        <f>IF(OR(U393="",U394=""),"",U394/U393)</f>
        <v/>
      </c>
      <c r="V395" s="346" t="str">
        <f>IF(OR(V393="",V394=""),"",V394/V393)</f>
        <v/>
      </c>
      <c r="W395" s="346" t="str">
        <f>IF(OR(W393="",W394=""),"",W394/W393)</f>
        <v/>
      </c>
      <c r="X395" s="346" t="str">
        <f>IF(OR(X393="",X394=""),"",X394/X393)</f>
        <v/>
      </c>
      <c r="Y395" s="161"/>
    </row>
    <row r="396" spans="1:25">
      <c r="A396" s="145">
        <v>56</v>
      </c>
      <c r="B396" s="371"/>
      <c r="C396" s="239"/>
      <c r="D396" s="239"/>
      <c r="E396" s="239"/>
      <c r="F396" s="239"/>
      <c r="G396" s="239"/>
      <c r="H396" s="239"/>
      <c r="I396" s="239"/>
      <c r="J396" s="239"/>
      <c r="K396" s="451" t="s">
        <v>300</v>
      </c>
      <c r="L396" s="591" t="str">
        <f>IF(X350="","",X350)</f>
        <v/>
      </c>
      <c r="M396" s="240"/>
      <c r="N396" s="149"/>
      <c r="O396" s="159"/>
      <c r="P396" s="149"/>
      <c r="Q396" s="149"/>
      <c r="R396" s="149"/>
      <c r="S396" s="165" t="s">
        <v>244</v>
      </c>
      <c r="T396" s="473"/>
      <c r="U396" s="473"/>
      <c r="V396" s="481"/>
      <c r="W396" s="482" t="str">
        <f>IF(AB87="","",AB87)</f>
        <v/>
      </c>
      <c r="X396" s="483" t="str">
        <f>IF(AB88="","",AB88)</f>
        <v/>
      </c>
      <c r="Y396" s="161"/>
    </row>
    <row r="397" spans="1:25">
      <c r="A397" s="145">
        <v>57</v>
      </c>
      <c r="B397" s="371"/>
      <c r="C397" s="239"/>
      <c r="D397" s="239"/>
      <c r="E397" s="239"/>
      <c r="F397" s="239"/>
      <c r="G397" s="239"/>
      <c r="H397" s="239"/>
      <c r="I397" s="239"/>
      <c r="J397" s="239"/>
      <c r="K397" s="239"/>
      <c r="L397" s="239"/>
      <c r="M397" s="240"/>
      <c r="N397" s="149"/>
      <c r="O397" s="159"/>
      <c r="P397" s="246" t="s">
        <v>163</v>
      </c>
      <c r="Q397" s="156" t="s">
        <v>328</v>
      </c>
      <c r="R397" s="149"/>
      <c r="S397" s="149"/>
      <c r="T397" s="149"/>
      <c r="U397" s="149"/>
      <c r="V397" s="149"/>
      <c r="W397" s="149"/>
      <c r="X397" s="149"/>
      <c r="Y397" s="161"/>
    </row>
    <row r="398" spans="1:25" ht="16.2" thickBot="1">
      <c r="A398" s="145">
        <v>58</v>
      </c>
      <c r="B398" s="304"/>
      <c r="C398" s="171"/>
      <c r="D398" s="171"/>
      <c r="E398" s="171"/>
      <c r="F398" s="171"/>
      <c r="G398" s="171"/>
      <c r="H398" s="171"/>
      <c r="I398" s="171"/>
      <c r="J398" s="171"/>
      <c r="K398" s="171"/>
      <c r="L398" s="171"/>
      <c r="M398" s="305"/>
      <c r="N398" s="149"/>
      <c r="O398" s="159"/>
      <c r="P398" s="149"/>
      <c r="Q398" s="156" t="s">
        <v>329</v>
      </c>
      <c r="R398" s="149"/>
      <c r="S398" s="149"/>
      <c r="T398" s="149"/>
      <c r="U398" s="149"/>
      <c r="V398" s="149"/>
      <c r="W398" s="149"/>
      <c r="X398" s="149"/>
      <c r="Y398" s="161"/>
    </row>
    <row r="399" spans="1:25" ht="16.2" thickBot="1">
      <c r="A399" s="145">
        <v>59</v>
      </c>
      <c r="B399" s="452"/>
      <c r="C399" s="453" t="s">
        <v>312</v>
      </c>
      <c r="D399" s="454"/>
      <c r="E399" s="454"/>
      <c r="F399" s="454"/>
      <c r="G399" s="454"/>
      <c r="H399" s="454"/>
      <c r="I399" s="454"/>
      <c r="J399" s="454"/>
      <c r="K399" s="454"/>
      <c r="L399" s="454"/>
      <c r="M399" s="455"/>
      <c r="N399" s="149"/>
      <c r="O399" s="170"/>
      <c r="P399" s="171"/>
      <c r="Q399" s="384" t="s">
        <v>330</v>
      </c>
      <c r="R399" s="171"/>
      <c r="S399" s="171"/>
      <c r="T399" s="171"/>
      <c r="U399" s="171"/>
      <c r="V399" s="171"/>
      <c r="W399" s="171"/>
      <c r="X399" s="171"/>
      <c r="Y399" s="172"/>
    </row>
    <row r="400" spans="1:25" ht="16.2" thickBot="1">
      <c r="A400" s="145">
        <v>60</v>
      </c>
      <c r="B400" s="193"/>
      <c r="C400" s="149"/>
      <c r="D400" s="165" t="s">
        <v>177</v>
      </c>
      <c r="E400" s="292">
        <f>IF(Q468="","",Q468)</f>
        <v>0</v>
      </c>
      <c r="F400" s="149"/>
      <c r="G400" s="149"/>
      <c r="H400" s="149" t="s">
        <v>313</v>
      </c>
      <c r="I400" s="149" t="s">
        <v>314</v>
      </c>
      <c r="J400" s="149" t="s">
        <v>255</v>
      </c>
      <c r="K400" s="149" t="s">
        <v>256</v>
      </c>
      <c r="L400" s="149"/>
      <c r="M400" s="195"/>
      <c r="N400" s="149"/>
      <c r="O400" s="279" t="s">
        <v>331</v>
      </c>
      <c r="P400" s="151"/>
      <c r="Q400" s="151"/>
      <c r="R400" s="151"/>
      <c r="S400" s="151"/>
      <c r="T400" s="151"/>
      <c r="U400" s="151"/>
      <c r="V400" s="151"/>
      <c r="W400" s="151"/>
      <c r="X400" s="151"/>
      <c r="Y400" s="152"/>
    </row>
    <row r="401" spans="1:25" ht="16.2" thickBot="1">
      <c r="A401" s="145">
        <v>61</v>
      </c>
      <c r="B401" s="193"/>
      <c r="C401" s="149"/>
      <c r="D401" s="165" t="s">
        <v>178</v>
      </c>
      <c r="E401" s="292">
        <f>IF(Q469="","",Q469)</f>
        <v>0</v>
      </c>
      <c r="F401" s="149"/>
      <c r="G401" s="165" t="s">
        <v>315</v>
      </c>
      <c r="H401" s="456" t="e">
        <f>IF(T472="","",T472)</f>
        <v>#DIV/0!</v>
      </c>
      <c r="I401" s="207" t="str">
        <f>IF(U472="","",U472)</f>
        <v/>
      </c>
      <c r="J401" s="346" t="e">
        <f>IF(V472="","",V472)</f>
        <v>#DIV/0!</v>
      </c>
      <c r="K401" s="457" t="e">
        <f>IF(W472="","",W472)</f>
        <v>#DIV/0!</v>
      </c>
      <c r="L401" s="149"/>
      <c r="M401" s="195"/>
      <c r="N401" s="149"/>
      <c r="O401" s="159"/>
      <c r="P401" s="149"/>
      <c r="Q401" s="149"/>
      <c r="R401" s="149"/>
      <c r="S401" s="149"/>
      <c r="T401" s="613" t="s">
        <v>306</v>
      </c>
      <c r="U401" s="613"/>
      <c r="V401" s="613"/>
      <c r="W401" s="613"/>
      <c r="X401" s="613"/>
      <c r="Y401" s="161"/>
    </row>
    <row r="402" spans="1:25" ht="16.2" thickBot="1">
      <c r="A402" s="145">
        <v>62</v>
      </c>
      <c r="B402" s="193"/>
      <c r="C402" s="149"/>
      <c r="D402" s="165" t="s">
        <v>29</v>
      </c>
      <c r="E402" s="292" t="str">
        <f>IF(Q470="","",Q470)</f>
        <v/>
      </c>
      <c r="F402" s="149"/>
      <c r="G402" s="165" t="s">
        <v>317</v>
      </c>
      <c r="H402" s="456" t="e">
        <f>IF(T473="","",T473)</f>
        <v>#DIV/0!</v>
      </c>
      <c r="I402" s="207" t="str">
        <f>IF(U473="","",U473)</f>
        <v/>
      </c>
      <c r="J402" s="346" t="e">
        <f>IF(V473="","",V473)</f>
        <v>#DIV/0!</v>
      </c>
      <c r="K402" s="206" t="str">
        <f>IF(W473="","",W473)</f>
        <v>NA</v>
      </c>
      <c r="L402" s="149"/>
      <c r="M402" s="195"/>
      <c r="N402" s="149"/>
      <c r="O402" s="159"/>
      <c r="P402" s="613" t="s">
        <v>29</v>
      </c>
      <c r="Q402" s="613" t="s">
        <v>239</v>
      </c>
      <c r="R402" s="613" t="s">
        <v>240</v>
      </c>
      <c r="S402" s="613" t="s">
        <v>50</v>
      </c>
      <c r="T402" s="613" t="s">
        <v>49</v>
      </c>
      <c r="U402" s="613" t="s">
        <v>307</v>
      </c>
      <c r="V402" s="613" t="s">
        <v>308</v>
      </c>
      <c r="W402" s="613" t="s">
        <v>309</v>
      </c>
      <c r="X402" s="613" t="s">
        <v>310</v>
      </c>
      <c r="Y402" s="161"/>
    </row>
    <row r="403" spans="1:25">
      <c r="A403" s="145">
        <v>63</v>
      </c>
      <c r="B403" s="193"/>
      <c r="C403" s="149"/>
      <c r="D403" s="165" t="s">
        <v>31</v>
      </c>
      <c r="E403" s="292" t="str">
        <f>IF(Q471="","",Q471)</f>
        <v/>
      </c>
      <c r="F403" s="149"/>
      <c r="G403" s="149"/>
      <c r="H403" s="149"/>
      <c r="I403" s="149"/>
      <c r="J403" s="149"/>
      <c r="K403" s="149"/>
      <c r="L403" s="149"/>
      <c r="M403" s="195"/>
      <c r="N403" s="149"/>
      <c r="O403" s="159"/>
      <c r="P403" s="206" t="str">
        <f>IF(AK15="","",AK15)</f>
        <v/>
      </c>
      <c r="Q403" s="206" t="str">
        <f>IF(AL15="","",AL15)</f>
        <v/>
      </c>
      <c r="R403" s="206">
        <f>IF(AH15="","",AH15)</f>
        <v>28</v>
      </c>
      <c r="S403" s="206">
        <f>IF(AI15="","",AI15)</f>
        <v>20</v>
      </c>
      <c r="T403" s="396" t="str">
        <f>IF(AM15="","",AM15)</f>
        <v/>
      </c>
      <c r="U403" s="207" t="str">
        <f>IF(AN15="","",AN15)</f>
        <v/>
      </c>
      <c r="V403" s="396" t="str">
        <f>IF(AO15="","",AO15)</f>
        <v/>
      </c>
      <c r="W403" s="433" t="str">
        <f>IF(V403="","",V403/S403)</f>
        <v/>
      </c>
      <c r="X403" s="396" t="str">
        <f>IF(OR(V403="",U403=""),"",V403/(U403/1000))</f>
        <v/>
      </c>
      <c r="Y403" s="161"/>
    </row>
    <row r="404" spans="1:25">
      <c r="A404" s="145">
        <v>64</v>
      </c>
      <c r="B404" s="193"/>
      <c r="C404" s="149"/>
      <c r="D404" s="246" t="s">
        <v>163</v>
      </c>
      <c r="E404" s="317" t="s">
        <v>318</v>
      </c>
      <c r="F404" s="149"/>
      <c r="G404" s="149"/>
      <c r="H404" s="149"/>
      <c r="I404" s="149"/>
      <c r="J404" s="149"/>
      <c r="K404" s="149"/>
      <c r="L404" s="149"/>
      <c r="M404" s="195"/>
      <c r="N404" s="149"/>
      <c r="O404" s="159"/>
      <c r="P404" s="206" t="str">
        <f>IF(AK16="","",AK16)</f>
        <v/>
      </c>
      <c r="Q404" s="206" t="str">
        <f>IF(AL16="","",AL16)</f>
        <v/>
      </c>
      <c r="R404" s="206">
        <f>IF(AH16="","",AH16)</f>
        <v>28</v>
      </c>
      <c r="S404" s="206">
        <f>IF(AI16="","",AI16)</f>
        <v>50</v>
      </c>
      <c r="T404" s="396" t="str">
        <f>T393</f>
        <v/>
      </c>
      <c r="U404" s="207" t="str">
        <f>U393</f>
        <v/>
      </c>
      <c r="V404" s="396" t="str">
        <f>V393</f>
        <v/>
      </c>
      <c r="W404" s="433" t="str">
        <f>W393</f>
        <v/>
      </c>
      <c r="X404" s="396" t="str">
        <f>X393</f>
        <v/>
      </c>
      <c r="Y404" s="161"/>
    </row>
    <row r="405" spans="1:25">
      <c r="A405" s="145">
        <v>65</v>
      </c>
      <c r="B405" s="193"/>
      <c r="C405" s="149"/>
      <c r="D405" s="149"/>
      <c r="E405" s="156" t="s">
        <v>319</v>
      </c>
      <c r="F405" s="149"/>
      <c r="G405" s="149"/>
      <c r="H405" s="149"/>
      <c r="I405" s="149"/>
      <c r="J405" s="149"/>
      <c r="K405" s="149"/>
      <c r="L405" s="149"/>
      <c r="M405" s="195"/>
      <c r="N405" s="149"/>
      <c r="O405" s="159"/>
      <c r="P405" s="206" t="str">
        <f>IF(AK20="","",AK20)</f>
        <v/>
      </c>
      <c r="Q405" s="206" t="str">
        <f>IF(AL20="","",AL20)</f>
        <v/>
      </c>
      <c r="R405" s="206">
        <f>IF(AH20="","",AH20)</f>
        <v>28</v>
      </c>
      <c r="S405" s="206">
        <f>IF(AI20="","",AI20)</f>
        <v>100</v>
      </c>
      <c r="T405" s="396" t="str">
        <f>IF(AM20="","",AM20)</f>
        <v/>
      </c>
      <c r="U405" s="207" t="str">
        <f>IF(AN20="","",AN20)</f>
        <v/>
      </c>
      <c r="V405" s="396" t="str">
        <f>IF(AO20="","",AO20)</f>
        <v/>
      </c>
      <c r="W405" s="433" t="str">
        <f>IF(V405="","",V405/S405)</f>
        <v/>
      </c>
      <c r="X405" s="396" t="str">
        <f>IF(OR(V405="",U405=""),"",V405/(U405/1000))</f>
        <v/>
      </c>
      <c r="Y405" s="161"/>
    </row>
    <row r="406" spans="1:25" ht="16.2" thickBot="1">
      <c r="A406" s="145">
        <v>66</v>
      </c>
      <c r="B406" s="304"/>
      <c r="C406" s="171"/>
      <c r="D406" s="171"/>
      <c r="E406" s="171"/>
      <c r="F406" s="171"/>
      <c r="G406" s="171"/>
      <c r="H406" s="171"/>
      <c r="I406" s="171"/>
      <c r="J406" s="171"/>
      <c r="K406" s="171"/>
      <c r="L406" s="171"/>
      <c r="M406" s="305"/>
      <c r="N406" s="149"/>
      <c r="O406" s="159"/>
      <c r="P406" s="206" t="str">
        <f>IF(AK21="","",AK21)</f>
        <v/>
      </c>
      <c r="Q406" s="206" t="str">
        <f>IF(AL21="","",AL21)</f>
        <v/>
      </c>
      <c r="R406" s="206">
        <f>IF(AH21="","",AH21)</f>
        <v>28</v>
      </c>
      <c r="S406" s="206">
        <f>IF(AI21="","",AI21)</f>
        <v>300</v>
      </c>
      <c r="T406" s="396" t="str">
        <f>IF(AM21="","",AM21)</f>
        <v/>
      </c>
      <c r="U406" s="207" t="str">
        <f>IF(AN21="","",AN21)</f>
        <v/>
      </c>
      <c r="V406" s="396" t="str">
        <f>IF(AO21="","",AO21)</f>
        <v/>
      </c>
      <c r="W406" s="433" t="str">
        <f>IF(V406="","",V406/S406)</f>
        <v/>
      </c>
      <c r="X406" s="396" t="str">
        <f>IF(OR(V406="",U406=""),"",V406/(U406/1000))</f>
        <v/>
      </c>
      <c r="Y406" s="161"/>
    </row>
    <row r="407" spans="1:25">
      <c r="A407" s="145">
        <v>67</v>
      </c>
      <c r="B407" s="149"/>
      <c r="C407" s="241" t="s">
        <v>3</v>
      </c>
      <c r="D407" s="582" t="str">
        <f>IF($P$7="","",$P$7)</f>
        <v/>
      </c>
      <c r="E407" s="156"/>
      <c r="F407" s="156"/>
      <c r="G407" s="156"/>
      <c r="H407" s="156"/>
      <c r="I407" s="156"/>
      <c r="J407" s="156"/>
      <c r="K407" s="156"/>
      <c r="L407" s="241" t="s">
        <v>4</v>
      </c>
      <c r="M407" s="243" t="str">
        <f>IF($X$7="","",$X$7)</f>
        <v>Eugene Mah</v>
      </c>
      <c r="N407" s="149"/>
      <c r="O407" s="159"/>
      <c r="P407" s="246" t="s">
        <v>163</v>
      </c>
      <c r="Q407" s="156" t="s">
        <v>332</v>
      </c>
      <c r="R407" s="149"/>
      <c r="S407" s="149"/>
      <c r="T407" s="149"/>
      <c r="U407" s="149"/>
      <c r="V407" s="165" t="s">
        <v>333</v>
      </c>
      <c r="W407" s="488" t="str">
        <f>IF(OR(W403="",W404="",W405="",W406=""),"",(MAX(W403:W406)-MIN(W403:W406))/(MAX(W403:W406)+MIN(W403:W406)))</f>
        <v/>
      </c>
      <c r="X407" s="149"/>
      <c r="Y407" s="161"/>
    </row>
    <row r="408" spans="1:25">
      <c r="A408" s="145">
        <v>68</v>
      </c>
      <c r="B408" s="149"/>
      <c r="C408" s="241" t="s">
        <v>91</v>
      </c>
      <c r="D408" s="244" t="str">
        <f>IF($R$14="","",$R$14)</f>
        <v/>
      </c>
      <c r="E408" s="156"/>
      <c r="F408" s="156"/>
      <c r="G408" s="156"/>
      <c r="H408" s="156"/>
      <c r="I408" s="156"/>
      <c r="J408" s="156"/>
      <c r="K408" s="156"/>
      <c r="L408" s="241" t="s">
        <v>16</v>
      </c>
      <c r="M408" s="243" t="str">
        <f>IF($R$13="","",$R$13)</f>
        <v/>
      </c>
      <c r="N408" s="149"/>
      <c r="O408" s="159"/>
      <c r="P408" s="149"/>
      <c r="Q408" s="149"/>
      <c r="R408" s="149"/>
      <c r="S408" s="149"/>
      <c r="T408" s="149"/>
      <c r="U408" s="149"/>
      <c r="V408" s="149"/>
      <c r="W408" s="149"/>
      <c r="X408" s="149"/>
      <c r="Y408" s="161"/>
    </row>
    <row r="409" spans="1:25" ht="16.2">
      <c r="A409" s="145">
        <v>1</v>
      </c>
      <c r="B409" s="149"/>
      <c r="C409" s="149"/>
      <c r="D409" s="149"/>
      <c r="E409" s="149"/>
      <c r="F409" s="149"/>
      <c r="G409" s="149"/>
      <c r="H409" s="149"/>
      <c r="I409" s="149"/>
      <c r="J409" s="149"/>
      <c r="K409" s="149"/>
      <c r="L409" s="149"/>
      <c r="M409" s="245" t="str">
        <f>$H$2</f>
        <v>Medical University of South Carolina</v>
      </c>
      <c r="N409" s="149"/>
      <c r="O409" s="238" t="str">
        <f>IF(U406="","",IF(U406/1000&gt;=3,1,2))</f>
        <v/>
      </c>
      <c r="P409" s="149" t="s">
        <v>334</v>
      </c>
      <c r="Q409" s="149"/>
      <c r="R409" s="149"/>
      <c r="S409" s="149"/>
      <c r="T409" s="149"/>
      <c r="U409" s="149"/>
      <c r="V409" s="149"/>
      <c r="W409" s="149"/>
      <c r="X409" s="149"/>
      <c r="Y409" s="161"/>
    </row>
    <row r="410" spans="1:25" ht="18" thickBot="1">
      <c r="A410" s="145">
        <v>2</v>
      </c>
      <c r="B410" s="149"/>
      <c r="C410" s="149"/>
      <c r="D410" s="149"/>
      <c r="E410" s="149"/>
      <c r="F410" s="149"/>
      <c r="G410" s="149"/>
      <c r="H410" s="180" t="s">
        <v>51</v>
      </c>
      <c r="I410" s="149"/>
      <c r="J410" s="149"/>
      <c r="K410" s="149"/>
      <c r="L410" s="149"/>
      <c r="M410" s="246" t="str">
        <f>$H$5</f>
        <v>Mammography System Compliance Inspection</v>
      </c>
      <c r="N410" s="149"/>
      <c r="O410" s="170"/>
      <c r="P410" s="171"/>
      <c r="Q410" s="171"/>
      <c r="R410" s="171"/>
      <c r="S410" s="171"/>
      <c r="T410" s="171"/>
      <c r="U410" s="171"/>
      <c r="V410" s="171"/>
      <c r="W410" s="171"/>
      <c r="X410" s="171"/>
      <c r="Y410" s="172"/>
    </row>
    <row r="411" spans="1:25" ht="16.2" thickTop="1">
      <c r="A411" s="145">
        <v>3</v>
      </c>
      <c r="B411" s="184"/>
      <c r="C411" s="462" t="s">
        <v>302</v>
      </c>
      <c r="D411" s="601" t="str">
        <f>IF(P352="","",P352)</f>
        <v>Piranha</v>
      </c>
      <c r="E411" s="462"/>
      <c r="F411" s="463"/>
      <c r="G411" s="185"/>
      <c r="H411" s="462" t="s">
        <v>303</v>
      </c>
      <c r="I411" s="709" t="str">
        <f>IF(T352="","",T352)</f>
        <v/>
      </c>
      <c r="J411" s="709"/>
      <c r="K411" s="185"/>
      <c r="L411" s="185"/>
      <c r="M411" s="187"/>
      <c r="N411" s="149"/>
      <c r="O411" s="279" t="s">
        <v>335</v>
      </c>
      <c r="P411" s="151"/>
      <c r="Q411" s="282">
        <v>1</v>
      </c>
      <c r="R411" s="151" t="s">
        <v>336</v>
      </c>
      <c r="S411" s="151"/>
      <c r="T411" s="151"/>
      <c r="U411" s="151"/>
      <c r="V411" s="151"/>
      <c r="W411" s="151"/>
      <c r="X411" s="151"/>
      <c r="Y411" s="152"/>
    </row>
    <row r="412" spans="1:25">
      <c r="A412" s="145">
        <v>4</v>
      </c>
      <c r="B412" s="193"/>
      <c r="C412" s="316" t="s">
        <v>320</v>
      </c>
      <c r="D412" s="311" t="str">
        <f>IF(P353="","",P353)</f>
        <v/>
      </c>
      <c r="E412" s="210"/>
      <c r="F412" s="210"/>
      <c r="G412" s="210"/>
      <c r="H412" s="316" t="s">
        <v>305</v>
      </c>
      <c r="I412" s="701" t="str">
        <f>IF(T353="","",T353)</f>
        <v/>
      </c>
      <c r="J412" s="701"/>
      <c r="K412" s="210"/>
      <c r="L412" s="149"/>
      <c r="M412" s="195"/>
      <c r="N412" s="149"/>
      <c r="O412" s="159"/>
      <c r="P412" s="485" t="s">
        <v>48</v>
      </c>
      <c r="Q412" s="485" t="str">
        <f>$P$357&amp;"/"&amp;$Q$357</f>
        <v>/</v>
      </c>
      <c r="R412" s="485" t="str">
        <f>$P$357&amp;"/"&amp;$Q$357</f>
        <v>/</v>
      </c>
      <c r="S412" s="485" t="str">
        <f>$P$357&amp;"/"&amp;$Q$357</f>
        <v>/</v>
      </c>
      <c r="T412" s="485" t="str">
        <f>$P$357&amp;"/"&amp;$Q$357</f>
        <v>/</v>
      </c>
      <c r="U412" s="485" t="str">
        <f>$P$368&amp;"/"&amp;$Q$368</f>
        <v>/</v>
      </c>
      <c r="V412" s="485" t="str">
        <f>$P$368&amp;"/"&amp;$Q$368</f>
        <v>/</v>
      </c>
      <c r="W412" s="485" t="str">
        <f>$P$368&amp;"/"&amp;$Q$368</f>
        <v>/</v>
      </c>
      <c r="X412" s="485" t="str">
        <f>$P$368&amp;"/"&amp;$Q$368</f>
        <v>/</v>
      </c>
      <c r="Y412" s="161"/>
    </row>
    <row r="413" spans="1:25">
      <c r="A413" s="145">
        <v>5</v>
      </c>
      <c r="B413" s="193"/>
      <c r="C413" s="299" t="s">
        <v>321</v>
      </c>
      <c r="D413" s="194"/>
      <c r="E413" s="194"/>
      <c r="F413" s="194"/>
      <c r="G413" s="194"/>
      <c r="H413" s="194"/>
      <c r="I413" s="454"/>
      <c r="J413" s="454"/>
      <c r="K413" s="194"/>
      <c r="L413" s="149"/>
      <c r="M413" s="195"/>
      <c r="N413" s="149"/>
      <c r="O413" s="159"/>
      <c r="P413" s="228" t="s">
        <v>240</v>
      </c>
      <c r="Q413" s="228">
        <f>AH10</f>
        <v>24</v>
      </c>
      <c r="R413" s="228">
        <f>AH12</f>
        <v>25</v>
      </c>
      <c r="S413" s="228">
        <f>AH15</f>
        <v>28</v>
      </c>
      <c r="T413" s="228">
        <f>AH24</f>
        <v>32</v>
      </c>
      <c r="U413" s="228">
        <f>AH30</f>
        <v>28</v>
      </c>
      <c r="V413" s="228">
        <f>AH32</f>
        <v>30</v>
      </c>
      <c r="W413" s="228">
        <f>AH34</f>
        <v>32</v>
      </c>
      <c r="X413" s="228">
        <f>AH36</f>
        <v>34</v>
      </c>
      <c r="Y413" s="161"/>
    </row>
    <row r="414" spans="1:25" ht="16.2" thickBot="1">
      <c r="A414" s="145">
        <v>6</v>
      </c>
      <c r="B414" s="193"/>
      <c r="C414" s="165" t="s">
        <v>29</v>
      </c>
      <c r="D414" s="593" t="str">
        <f>IF(P357="","",P357)</f>
        <v/>
      </c>
      <c r="E414" s="239"/>
      <c r="F414" s="239"/>
      <c r="G414" s="165" t="s">
        <v>29</v>
      </c>
      <c r="H414" s="593" t="str">
        <f>IF(P368="","",P368)</f>
        <v/>
      </c>
      <c r="I414" s="239"/>
      <c r="J414" s="239"/>
      <c r="K414" s="165" t="s">
        <v>29</v>
      </c>
      <c r="L414" s="593" t="str">
        <f>IF(P379="","",P378)</f>
        <v/>
      </c>
      <c r="M414" s="240"/>
      <c r="N414" s="149"/>
      <c r="O414" s="159"/>
      <c r="P414" s="608" t="s">
        <v>338</v>
      </c>
      <c r="Q414" s="490" t="s">
        <v>339</v>
      </c>
      <c r="R414" s="490"/>
      <c r="S414" s="490"/>
      <c r="T414" s="490"/>
      <c r="U414" s="490"/>
      <c r="V414" s="490"/>
      <c r="W414" s="490"/>
      <c r="X414" s="490"/>
      <c r="Y414" s="161"/>
    </row>
    <row r="415" spans="1:25">
      <c r="A415" s="145">
        <v>7</v>
      </c>
      <c r="B415" s="193"/>
      <c r="C415" s="165" t="s">
        <v>31</v>
      </c>
      <c r="D415" s="594" t="str">
        <f>IF(Q357="","",Q357)</f>
        <v/>
      </c>
      <c r="E415" s="239"/>
      <c r="F415" s="149"/>
      <c r="G415" s="165" t="s">
        <v>31</v>
      </c>
      <c r="H415" s="594" t="str">
        <f>IF(Q368="","",Q368)</f>
        <v/>
      </c>
      <c r="I415" s="239"/>
      <c r="J415" s="239"/>
      <c r="K415" s="165" t="s">
        <v>31</v>
      </c>
      <c r="L415" s="594" t="str">
        <f>IF(Q378="","",Q378)</f>
        <v/>
      </c>
      <c r="M415" s="240"/>
      <c r="N415" s="149"/>
      <c r="O415" s="159"/>
      <c r="P415" s="491">
        <v>0</v>
      </c>
      <c r="Q415" s="492" t="str">
        <f>IF(AO10="","",AO10)</f>
        <v/>
      </c>
      <c r="R415" s="492" t="str">
        <f>IF(AO12="","",AO12)</f>
        <v/>
      </c>
      <c r="S415" s="492" t="str">
        <f>IF(AO17="","",AO17)</f>
        <v/>
      </c>
      <c r="T415" s="492" t="str">
        <f>IF(AO24="","",AO24)</f>
        <v/>
      </c>
      <c r="U415" s="492" t="str">
        <f>IF(AO30="","",AO30)</f>
        <v/>
      </c>
      <c r="V415" s="492" t="str">
        <f>IF(AO32="","",AO32)</f>
        <v/>
      </c>
      <c r="W415" s="492" t="str">
        <f>IF(AO34="","",AO34)</f>
        <v/>
      </c>
      <c r="X415" s="493" t="str">
        <f>IF(AO36="","",AO36)</f>
        <v/>
      </c>
      <c r="Y415" s="161"/>
    </row>
    <row r="416" spans="1:25" ht="16.2" thickBot="1">
      <c r="A416" s="145">
        <v>8</v>
      </c>
      <c r="B416" s="193"/>
      <c r="C416" s="165" t="s">
        <v>178</v>
      </c>
      <c r="D416" s="602">
        <f>IF(S357="","",S357)</f>
        <v>50</v>
      </c>
      <c r="E416" s="149"/>
      <c r="F416" s="149"/>
      <c r="G416" s="165" t="s">
        <v>178</v>
      </c>
      <c r="H416" s="602">
        <f>IF(S368="","",S368)</f>
        <v>50</v>
      </c>
      <c r="I416" s="149"/>
      <c r="J416" s="239"/>
      <c r="K416" s="165" t="s">
        <v>178</v>
      </c>
      <c r="L416" s="602">
        <f>IF(S378="","",S378)</f>
        <v>50</v>
      </c>
      <c r="M416" s="195"/>
      <c r="N416" s="149"/>
      <c r="O416" s="159"/>
      <c r="P416" s="494">
        <v>0</v>
      </c>
      <c r="Q416" s="495" t="str">
        <f>IF(AO11="","",AO11)</f>
        <v/>
      </c>
      <c r="R416" s="495" t="str">
        <f>IF(AO13="","",AO13)</f>
        <v/>
      </c>
      <c r="S416" s="495" t="str">
        <f>IF(AO18="","",AO18)</f>
        <v/>
      </c>
      <c r="T416" s="495" t="str">
        <f>IF(AO25="","",AO25)</f>
        <v/>
      </c>
      <c r="U416" s="495" t="str">
        <f>IF(AO30="","",AO30)</f>
        <v/>
      </c>
      <c r="V416" s="496" t="str">
        <f>IF(AO33="","",AO33)</f>
        <v/>
      </c>
      <c r="W416" s="496" t="str">
        <f>IF(AO35="","",AO35)</f>
        <v/>
      </c>
      <c r="X416" s="497" t="str">
        <f>IF(AO37="","",AO37)</f>
        <v/>
      </c>
      <c r="Y416" s="161"/>
    </row>
    <row r="417" spans="1:25">
      <c r="A417" s="145">
        <v>9</v>
      </c>
      <c r="B417" s="193"/>
      <c r="C417" s="329" t="s">
        <v>157</v>
      </c>
      <c r="D417" s="329" t="s">
        <v>158</v>
      </c>
      <c r="E417" s="329"/>
      <c r="F417" s="149"/>
      <c r="G417" s="329" t="s">
        <v>157</v>
      </c>
      <c r="H417" s="329" t="s">
        <v>158</v>
      </c>
      <c r="I417" s="329"/>
      <c r="J417" s="239"/>
      <c r="K417" s="329" t="s">
        <v>157</v>
      </c>
      <c r="L417" s="329" t="s">
        <v>158</v>
      </c>
      <c r="M417" s="464"/>
      <c r="N417" s="149"/>
      <c r="O417" s="159"/>
      <c r="P417" s="486" t="s">
        <v>340</v>
      </c>
      <c r="Q417" s="498" t="str">
        <f>IF(AQ10="","",AVERAGE(AQ10:AQ11))</f>
        <v/>
      </c>
      <c r="R417" s="498" t="str">
        <f>IF(AQ12="","",AVERAGE(AQ12:AQ13))</f>
        <v/>
      </c>
      <c r="S417" s="498" t="str">
        <f>IF(AQ15="","",AVERAGE(AQ15:AQ19))</f>
        <v/>
      </c>
      <c r="T417" s="498" t="str">
        <f>IF(AQ24="","",AVERAGE(AQ24:AQ25))</f>
        <v/>
      </c>
      <c r="U417" s="498" t="str">
        <f>IF(AQ30="","",AVERAGE(AQ30:AQ31))</f>
        <v/>
      </c>
      <c r="V417" s="498" t="str">
        <f>IF(AQ32="","",AVERAGE(AQ32:AQ33))</f>
        <v/>
      </c>
      <c r="W417" s="498" t="str">
        <f>IF(AQ34="","",AVERAGE(AQ34:AQ35))</f>
        <v/>
      </c>
      <c r="X417" s="499" t="str">
        <f>IF(AQ36="","",AVERAGE(AQ36:AQ37))</f>
        <v/>
      </c>
      <c r="Y417" s="161"/>
    </row>
    <row r="418" spans="1:25" ht="16.2" thickBot="1">
      <c r="A418" s="145">
        <v>10</v>
      </c>
      <c r="B418" s="193"/>
      <c r="C418" s="465" t="s">
        <v>49</v>
      </c>
      <c r="D418" s="465" t="s">
        <v>49</v>
      </c>
      <c r="E418" s="465" t="s">
        <v>322</v>
      </c>
      <c r="F418" s="149"/>
      <c r="G418" s="465" t="s">
        <v>49</v>
      </c>
      <c r="H418" s="465" t="s">
        <v>49</v>
      </c>
      <c r="I418" s="465" t="s">
        <v>322</v>
      </c>
      <c r="J418" s="239"/>
      <c r="K418" s="465" t="s">
        <v>49</v>
      </c>
      <c r="L418" s="465" t="s">
        <v>49</v>
      </c>
      <c r="M418" s="466" t="s">
        <v>322</v>
      </c>
      <c r="N418" s="149"/>
      <c r="O418" s="159"/>
      <c r="P418" s="489" t="s">
        <v>341</v>
      </c>
      <c r="Q418" s="500" t="str">
        <f t="shared" ref="Q418:X418" si="72">IF(OR(Q415="",Q416=""),"",ABS(Q416-Q415)/Q415)</f>
        <v/>
      </c>
      <c r="R418" s="500" t="str">
        <f t="shared" si="72"/>
        <v/>
      </c>
      <c r="S418" s="500" t="str">
        <f t="shared" si="72"/>
        <v/>
      </c>
      <c r="T418" s="500" t="str">
        <f t="shared" si="72"/>
        <v/>
      </c>
      <c r="U418" s="500" t="str">
        <f t="shared" si="72"/>
        <v/>
      </c>
      <c r="V418" s="500" t="str">
        <f t="shared" si="72"/>
        <v/>
      </c>
      <c r="W418" s="500" t="str">
        <f t="shared" si="72"/>
        <v/>
      </c>
      <c r="X418" s="501" t="str">
        <f t="shared" si="72"/>
        <v/>
      </c>
      <c r="Y418" s="161"/>
    </row>
    <row r="419" spans="1:25">
      <c r="A419" s="145">
        <v>11</v>
      </c>
      <c r="B419" s="193"/>
      <c r="C419" s="206">
        <f>IF(R357="","",R357)</f>
        <v>24</v>
      </c>
      <c r="D419" s="396" t="str">
        <f>IF(T357="","",T357)</f>
        <v/>
      </c>
      <c r="E419" s="346" t="str">
        <f t="shared" ref="E419:E425" si="73">IF(OR(C419="",D419=""),"",IF(AND(C419&gt;0,D419&gt;0),(D419-C419)/C419,""))</f>
        <v/>
      </c>
      <c r="F419" s="149"/>
      <c r="G419" s="206">
        <f>IF(R368="","",R368)</f>
        <v>28</v>
      </c>
      <c r="H419" s="396" t="str">
        <f>IF(T368="","",T368)</f>
        <v/>
      </c>
      <c r="I419" s="346" t="str">
        <f t="shared" ref="I419:I424" si="74">IF(OR(G419="",H419=""),"",IF(AND(G419&gt;0,H419&gt;0),(H419-G419)/G419,""))</f>
        <v/>
      </c>
      <c r="J419" s="239"/>
      <c r="K419" s="206">
        <f>IF(R378="","",R378)</f>
        <v>28</v>
      </c>
      <c r="L419" s="396" t="str">
        <f>IF(T378="","",T378)</f>
        <v/>
      </c>
      <c r="M419" s="467" t="str">
        <f>IF(OR(K419="",L419=""),"",IF(AND(K419&gt;0,L419&gt;0),(L419-K419)/K419,""))</f>
        <v/>
      </c>
      <c r="N419" s="149"/>
      <c r="O419" s="159"/>
      <c r="P419" s="486" t="s">
        <v>342</v>
      </c>
      <c r="Q419" s="502">
        <f>IF($Q$411=1,Q413/100+0.03,Q413/100)</f>
        <v>0.27</v>
      </c>
      <c r="R419" s="502">
        <f>IF($Q$411=1,R413/100+0.03,R413/100)</f>
        <v>0.28000000000000003</v>
      </c>
      <c r="S419" s="502">
        <f>IF($Q$411=1,S413/100+0.03,S413/100)</f>
        <v>0.31000000000000005</v>
      </c>
      <c r="T419" s="502">
        <f>IF($Q$411=1,T413/100+0.03,T413/100)</f>
        <v>0.35</v>
      </c>
      <c r="U419" s="502">
        <f>IF($Q$411=1,U413/100+0.03,U413/100)</f>
        <v>0.31000000000000005</v>
      </c>
      <c r="V419" s="502">
        <f>IF($Q$411=1,V413/100+0.03,V413/100)</f>
        <v>0.32999999999999996</v>
      </c>
      <c r="W419" s="502">
        <f>IF($Q$411=1,W413/100+0.03,W413/100)</f>
        <v>0.35</v>
      </c>
      <c r="X419" s="503">
        <f>IF($Q$411=1,X413/100+0.03,X413/100)</f>
        <v>0.37</v>
      </c>
      <c r="Y419" s="161"/>
    </row>
    <row r="420" spans="1:25" ht="16.2" thickBot="1">
      <c r="A420" s="145">
        <v>12</v>
      </c>
      <c r="B420" s="193"/>
      <c r="C420" s="206">
        <f>IF(R358="","",R358)</f>
        <v>25</v>
      </c>
      <c r="D420" s="396" t="str">
        <f>IF(T358="","",T358)</f>
        <v/>
      </c>
      <c r="E420" s="346" t="str">
        <f t="shared" si="73"/>
        <v/>
      </c>
      <c r="F420" s="149"/>
      <c r="G420" s="206">
        <f>IF(R369="","",R369)</f>
        <v>30</v>
      </c>
      <c r="H420" s="396" t="str">
        <f>IF(T369="","",T369)</f>
        <v/>
      </c>
      <c r="I420" s="346" t="str">
        <f t="shared" si="74"/>
        <v/>
      </c>
      <c r="J420" s="239"/>
      <c r="K420" s="206">
        <f>IF(R379="","",R379)</f>
        <v>30</v>
      </c>
      <c r="L420" s="396" t="str">
        <f>IF(T379="","",T379)</f>
        <v/>
      </c>
      <c r="M420" s="467" t="str">
        <f>IF(OR(K420="",L420=""),"",IF(AND(K420&gt;0,L420&gt;0),(L420-K420)/K420,""))</f>
        <v/>
      </c>
      <c r="N420" s="149"/>
      <c r="O420" s="159"/>
      <c r="P420" s="504" t="s">
        <v>343</v>
      </c>
      <c r="Q420" s="505">
        <f>Q413/100+0.12</f>
        <v>0.36</v>
      </c>
      <c r="R420" s="505">
        <f>R413/100+0.12</f>
        <v>0.37</v>
      </c>
      <c r="S420" s="505">
        <f>S413/100+0.12</f>
        <v>0.4</v>
      </c>
      <c r="T420" s="505">
        <f>T413/100+0.12</f>
        <v>0.44</v>
      </c>
      <c r="U420" s="505">
        <f>U413/100+0.19</f>
        <v>0.47000000000000003</v>
      </c>
      <c r="V420" s="505">
        <f>V413/100+0.19</f>
        <v>0.49</v>
      </c>
      <c r="W420" s="505">
        <f>W413/100+0.19</f>
        <v>0.51</v>
      </c>
      <c r="X420" s="506">
        <f>X413/100+0.19</f>
        <v>0.53</v>
      </c>
      <c r="Y420" s="161"/>
    </row>
    <row r="421" spans="1:25" ht="16.2" thickBot="1">
      <c r="A421" s="145">
        <v>13</v>
      </c>
      <c r="B421" s="193"/>
      <c r="C421" s="206">
        <f>IF(R359="","",R359)</f>
        <v>26</v>
      </c>
      <c r="D421" s="396" t="str">
        <f>IF(T359="","",T359)</f>
        <v/>
      </c>
      <c r="E421" s="346" t="str">
        <f t="shared" si="73"/>
        <v/>
      </c>
      <c r="F421" s="149"/>
      <c r="G421" s="206">
        <f>IF(R370="","",R370)</f>
        <v>32</v>
      </c>
      <c r="H421" s="396" t="str">
        <f>IF(T370="","",T370)</f>
        <v/>
      </c>
      <c r="I421" s="346" t="str">
        <f t="shared" si="74"/>
        <v/>
      </c>
      <c r="J421" s="239"/>
      <c r="K421" s="206">
        <f>IF(R380="","",R380)</f>
        <v>32</v>
      </c>
      <c r="L421" s="396" t="str">
        <f>IF(T380="","",T380)</f>
        <v/>
      </c>
      <c r="M421" s="467" t="str">
        <f>IF(OR(K421="",L421=""),"",IF(AND(K421&gt;0,L421&gt;0),(L421-K421)/K421,""))</f>
        <v/>
      </c>
      <c r="N421" s="149"/>
      <c r="O421" s="159"/>
      <c r="P421" s="507"/>
      <c r="Q421" s="508" t="str">
        <f>IF(Q417="","",IF($P$357="Mo",IF(AND(Q417&gt;Q419,Q417&lt;Q420),"Pass","Fail"),IF($P$357="W",IF(Q417&gt;Q419,"Pass","Fail"),"")))</f>
        <v/>
      </c>
      <c r="R421" s="508" t="str">
        <f>IF(R417="","",IF($P$357="Mo",IF(AND(R417&gt;R419,R417&lt;R420),"Pass","Fail"),IF($P$357="W",IF(R417&gt;R419,"Pass","Fail"),"")))</f>
        <v/>
      </c>
      <c r="S421" s="508" t="str">
        <f>IF(S417="","",IF($P$357="Mo",IF(AND(S417&gt;S419,S417&lt;S420),"Pass","Fail"),IF($P$357="W",IF(S417&gt;S419,"Pass","Fail"),"")))</f>
        <v/>
      </c>
      <c r="T421" s="508" t="str">
        <f>IF(T417="","",IF($P$357="Mo",IF(AND(T417&gt;T419,T417&lt;T420),"Pass","Fail"),IF($P$357="W",IF(T417&gt;T419,"Pass","Fail"),"")))</f>
        <v/>
      </c>
      <c r="U421" s="508" t="str">
        <f>IF(U417="","",IF($P$368="Mo",IF(AND(U417&gt;U419,U417&lt;U420),"Pass","Fail"),IF($P$368="W",IF(U417&gt;U419,"Pass","Fail"),"")))</f>
        <v/>
      </c>
      <c r="V421" s="508" t="str">
        <f>IF(V417="","",IF($P$368="Mo",IF(AND(V417&gt;V419,V417&lt;V420),"Pass","Fail"),IF($P$368="W",IF(V417&gt;V419,"Pass","Fail"),"")))</f>
        <v/>
      </c>
      <c r="W421" s="508" t="str">
        <f>IF(W417="","",IF($P$368="Mo",IF(AND(W417&gt;W419,W417&lt;W420),"Pass","Fail"),IF($P$368="W",IF(W417&gt;W419,"Pass","Fail"),"")))</f>
        <v/>
      </c>
      <c r="X421" s="508" t="str">
        <f>IF(X417="","",IF($P$368="Mo",IF(AND(X417&gt;X419,X417&lt;X420),"Pass","Fail"),IF($P$368="W",IF(X417&gt;X419,"Pass","Fail"),"")))</f>
        <v/>
      </c>
      <c r="Y421" s="161"/>
    </row>
    <row r="422" spans="1:25">
      <c r="A422" s="145">
        <v>14</v>
      </c>
      <c r="B422" s="193"/>
      <c r="C422" s="206">
        <f>IF(R360="","",R360)</f>
        <v>28</v>
      </c>
      <c r="D422" s="396" t="str">
        <f>IF(T360="","",T360)</f>
        <v/>
      </c>
      <c r="E422" s="346" t="str">
        <f t="shared" si="73"/>
        <v/>
      </c>
      <c r="F422" s="149"/>
      <c r="G422" s="206">
        <f>IF(R371="","",R371)</f>
        <v>34</v>
      </c>
      <c r="H422" s="396" t="str">
        <f>IF(T371="","",T371)</f>
        <v/>
      </c>
      <c r="I422" s="346" t="str">
        <f t="shared" si="74"/>
        <v/>
      </c>
      <c r="J422" s="239"/>
      <c r="K422" s="206">
        <f>IF(R381="","",R381)</f>
        <v>34</v>
      </c>
      <c r="L422" s="396" t="str">
        <f>IF(T381="","",T381)</f>
        <v/>
      </c>
      <c r="M422" s="467" t="str">
        <f>IF(OR(K422="",L422=""),"",IF(AND(K422&gt;0,L422&gt;0),(L422-K422)/K422,""))</f>
        <v/>
      </c>
      <c r="N422" s="149"/>
      <c r="O422" s="159"/>
      <c r="P422" s="239"/>
      <c r="Q422" s="239"/>
      <c r="R422" s="239"/>
      <c r="S422" s="239"/>
      <c r="T422" s="239"/>
      <c r="U422" s="239"/>
      <c r="V422" s="239"/>
      <c r="W422" s="239"/>
      <c r="X422" s="239"/>
      <c r="Y422" s="161"/>
    </row>
    <row r="423" spans="1:25">
      <c r="A423" s="145">
        <v>15</v>
      </c>
      <c r="B423" s="193"/>
      <c r="C423" s="206">
        <f>IF(R361="","",R361)</f>
        <v>30</v>
      </c>
      <c r="D423" s="396" t="str">
        <f>IF(T361="","",T361)</f>
        <v/>
      </c>
      <c r="E423" s="346" t="str">
        <f t="shared" si="73"/>
        <v/>
      </c>
      <c r="F423" s="149"/>
      <c r="G423" s="206">
        <f>IF(R372="","",R372)</f>
        <v>36</v>
      </c>
      <c r="H423" s="396" t="str">
        <f>IF(T372="","",T372)</f>
        <v/>
      </c>
      <c r="I423" s="346" t="str">
        <f t="shared" si="74"/>
        <v/>
      </c>
      <c r="J423" s="239"/>
      <c r="K423" s="206">
        <f>IF(R382="","",R382)</f>
        <v>38</v>
      </c>
      <c r="L423" s="396" t="str">
        <f>IF(T382="","",T382)</f>
        <v/>
      </c>
      <c r="M423" s="467" t="str">
        <f>IF(OR(K423="",L423=""),"",IF(AND(K423&gt;0,L423&gt;0),(L423-K423)/K423,""))</f>
        <v/>
      </c>
      <c r="N423" s="149"/>
      <c r="O423" s="159"/>
      <c r="P423" s="246" t="s">
        <v>163</v>
      </c>
      <c r="Q423" s="210" t="s">
        <v>345</v>
      </c>
      <c r="R423" s="210"/>
      <c r="S423" s="210"/>
      <c r="T423" s="210"/>
      <c r="U423" s="210"/>
      <c r="V423" s="239"/>
      <c r="W423" s="239"/>
      <c r="X423" s="239"/>
      <c r="Y423" s="161"/>
    </row>
    <row r="424" spans="1:25">
      <c r="A424" s="145">
        <v>16</v>
      </c>
      <c r="B424" s="193"/>
      <c r="C424" s="206">
        <f>IF(R362="","",R362)</f>
        <v>32</v>
      </c>
      <c r="D424" s="396" t="str">
        <f>IF(T362="","",T362)</f>
        <v/>
      </c>
      <c r="E424" s="346" t="str">
        <f t="shared" si="73"/>
        <v/>
      </c>
      <c r="F424" s="149"/>
      <c r="G424" s="206">
        <f>IF(R373="","",R373)</f>
        <v>38</v>
      </c>
      <c r="H424" s="396" t="str">
        <f>IF(T373="","",T373)</f>
        <v/>
      </c>
      <c r="I424" s="346" t="str">
        <f t="shared" si="74"/>
        <v/>
      </c>
      <c r="J424" s="239"/>
      <c r="K424" s="149"/>
      <c r="L424" s="149"/>
      <c r="M424" s="195"/>
      <c r="N424" s="149"/>
      <c r="O424" s="281" t="s">
        <v>346</v>
      </c>
      <c r="P424" s="239"/>
      <c r="Q424" s="239"/>
      <c r="R424" s="239"/>
      <c r="S424" s="239"/>
      <c r="T424" s="239"/>
      <c r="U424" s="239"/>
      <c r="V424" s="239"/>
      <c r="W424" s="239"/>
      <c r="X424" s="239"/>
      <c r="Y424" s="161"/>
    </row>
    <row r="425" spans="1:25" ht="16.2" thickBot="1">
      <c r="A425" s="145">
        <v>17</v>
      </c>
      <c r="B425" s="193"/>
      <c r="C425" s="206">
        <f>IF(R363="","",R363)</f>
        <v>34</v>
      </c>
      <c r="D425" s="396" t="str">
        <f>IF(T363="","",T363)</f>
        <v/>
      </c>
      <c r="E425" s="346" t="str">
        <f t="shared" si="73"/>
        <v/>
      </c>
      <c r="F425" s="149"/>
      <c r="G425" s="149"/>
      <c r="H425" s="149"/>
      <c r="I425" s="149"/>
      <c r="J425" s="239"/>
      <c r="K425" s="239"/>
      <c r="L425" s="239"/>
      <c r="M425" s="240"/>
      <c r="N425" s="149"/>
      <c r="O425" s="159"/>
      <c r="P425" s="485" t="s">
        <v>48</v>
      </c>
      <c r="Q425" s="485" t="str">
        <f>$P$378&amp;"/"&amp;$Q$378</f>
        <v>/</v>
      </c>
      <c r="R425" s="485" t="str">
        <f>$P$378&amp;"/"&amp;$Q$378</f>
        <v>/</v>
      </c>
      <c r="S425" s="485" t="str">
        <f>$P$378&amp;"/"&amp;$Q$378</f>
        <v>/</v>
      </c>
      <c r="T425" s="485" t="str">
        <f>$P$378&amp;"/"&amp;$Q$378</f>
        <v>/</v>
      </c>
      <c r="U425" s="485" t="str">
        <f>$P$378&amp;"/"&amp;$Q$378</f>
        <v>/</v>
      </c>
      <c r="V425" s="239"/>
      <c r="W425" s="239"/>
      <c r="X425" s="239"/>
      <c r="Y425" s="161"/>
    </row>
    <row r="426" spans="1:25" ht="16.2" thickBot="1">
      <c r="A426" s="145">
        <v>18</v>
      </c>
      <c r="B426" s="193"/>
      <c r="C426" s="149"/>
      <c r="D426" s="468" t="s">
        <v>180</v>
      </c>
      <c r="E426" s="469" t="str">
        <f>IF(E421="","",IF(AND(ABS(MAX(E421:E425))&lt;=0.05,ABS(MIN(E421:E425))&lt;=0.05),"YES","NO"))</f>
        <v/>
      </c>
      <c r="F426" s="149"/>
      <c r="G426" s="149"/>
      <c r="H426" s="468" t="s">
        <v>180</v>
      </c>
      <c r="I426" s="469" t="str">
        <f>IF(I419="","",IF(AND(ABS(MAX(I419:I424))&lt;=0.05,ABS(MIN(I419:I424))&lt;=0.05),"YES","NO"))</f>
        <v/>
      </c>
      <c r="J426" s="239"/>
      <c r="K426" s="149"/>
      <c r="L426" s="468" t="s">
        <v>180</v>
      </c>
      <c r="M426" s="470" t="str">
        <f>IF(M419="","",IF(AND(ABS(MAX(M419:M423))&lt;=0.05,ABS(MIN(M419:M423))&lt;=0.05),"YES","NO"))</f>
        <v/>
      </c>
      <c r="N426" s="149"/>
      <c r="O426" s="159"/>
      <c r="P426" s="228" t="s">
        <v>240</v>
      </c>
      <c r="Q426" s="228">
        <f>AH40</f>
        <v>28</v>
      </c>
      <c r="R426" s="228">
        <f>AH42</f>
        <v>30</v>
      </c>
      <c r="S426" s="228">
        <f>AH44</f>
        <v>32</v>
      </c>
      <c r="T426" s="228">
        <f>AH46</f>
        <v>34</v>
      </c>
      <c r="U426" s="228">
        <f>AH49</f>
        <v>38</v>
      </c>
      <c r="V426" s="210"/>
      <c r="W426" s="210"/>
      <c r="X426" s="210"/>
      <c r="Y426" s="509"/>
    </row>
    <row r="427" spans="1:25" ht="16.2" thickBot="1">
      <c r="A427" s="145">
        <v>19</v>
      </c>
      <c r="B427" s="193"/>
      <c r="C427" s="239"/>
      <c r="D427" s="239"/>
      <c r="E427" s="239"/>
      <c r="F427" s="239"/>
      <c r="G427" s="239"/>
      <c r="H427" s="149"/>
      <c r="I427" s="210"/>
      <c r="J427" s="210"/>
      <c r="K427" s="149"/>
      <c r="L427" s="149"/>
      <c r="M427" s="195"/>
      <c r="N427" s="149"/>
      <c r="O427" s="159"/>
      <c r="P427" s="608" t="s">
        <v>338</v>
      </c>
      <c r="Q427" s="490" t="s">
        <v>339</v>
      </c>
      <c r="R427" s="490"/>
      <c r="S427" s="490"/>
      <c r="T427" s="490"/>
      <c r="U427" s="490"/>
      <c r="V427" s="239"/>
      <c r="W427" s="239"/>
      <c r="X427" s="239"/>
      <c r="Y427" s="509"/>
    </row>
    <row r="428" spans="1:25">
      <c r="A428" s="145">
        <v>20</v>
      </c>
      <c r="B428" s="193"/>
      <c r="C428" s="149"/>
      <c r="D428" s="246" t="s">
        <v>163</v>
      </c>
      <c r="E428" s="156" t="s">
        <v>324</v>
      </c>
      <c r="F428" s="149"/>
      <c r="G428" s="149"/>
      <c r="H428" s="149"/>
      <c r="I428" s="149"/>
      <c r="J428" s="149"/>
      <c r="K428" s="149"/>
      <c r="L428" s="149"/>
      <c r="M428" s="195"/>
      <c r="N428" s="149"/>
      <c r="O428" s="159"/>
      <c r="P428" s="491">
        <v>0</v>
      </c>
      <c r="Q428" s="492" t="str">
        <f>IF(AO40="","",AO40)</f>
        <v/>
      </c>
      <c r="R428" s="492" t="str">
        <f>IF(AO42="","",AO42)</f>
        <v/>
      </c>
      <c r="S428" s="492" t="str">
        <f>IF(AO44="","",AO44)</f>
        <v/>
      </c>
      <c r="T428" s="492" t="str">
        <f>IF(AO46="","",AO46)</f>
        <v/>
      </c>
      <c r="U428" s="492" t="str">
        <f>IF(AO48="","",AO48)</f>
        <v/>
      </c>
      <c r="V428" s="510"/>
      <c r="W428" s="608"/>
      <c r="X428" s="608"/>
      <c r="Y428" s="161"/>
    </row>
    <row r="429" spans="1:25" ht="16.2" thickBot="1">
      <c r="A429" s="145">
        <v>21</v>
      </c>
      <c r="B429" s="193"/>
      <c r="C429" s="149"/>
      <c r="D429" s="210"/>
      <c r="E429" s="210"/>
      <c r="F429" s="149"/>
      <c r="G429" s="149"/>
      <c r="H429" s="149"/>
      <c r="I429" s="471"/>
      <c r="J429" s="471"/>
      <c r="K429" s="149"/>
      <c r="L429" s="149"/>
      <c r="M429" s="195"/>
      <c r="N429" s="149"/>
      <c r="O429" s="159"/>
      <c r="P429" s="494">
        <v>0</v>
      </c>
      <c r="Q429" s="495" t="str">
        <f>IF(AO41="","",AO41)</f>
        <v/>
      </c>
      <c r="R429" s="495" t="str">
        <f>IF(AO43="","",AO43)</f>
        <v/>
      </c>
      <c r="S429" s="495" t="str">
        <f>IF(AO45="","",AO45)</f>
        <v/>
      </c>
      <c r="T429" s="495" t="str">
        <f>IF(AO47="","",AO47)</f>
        <v/>
      </c>
      <c r="U429" s="495" t="str">
        <f>IF(AO49="","",AO49)</f>
        <v/>
      </c>
      <c r="V429" s="510"/>
      <c r="W429" s="608"/>
      <c r="X429" s="608"/>
      <c r="Y429" s="161"/>
    </row>
    <row r="430" spans="1:25">
      <c r="A430" s="145">
        <v>22</v>
      </c>
      <c r="B430" s="193"/>
      <c r="C430" s="202" t="s">
        <v>325</v>
      </c>
      <c r="D430" s="149"/>
      <c r="E430" s="149"/>
      <c r="F430" s="149"/>
      <c r="G430" s="149"/>
      <c r="H430" s="149"/>
      <c r="I430" s="202"/>
      <c r="J430" s="202"/>
      <c r="K430" s="149"/>
      <c r="L430" s="149"/>
      <c r="M430" s="195"/>
      <c r="N430" s="149"/>
      <c r="O430" s="159"/>
      <c r="P430" s="486" t="s">
        <v>340</v>
      </c>
      <c r="Q430" s="498" t="str">
        <f>IF(AQ40="","",AVERAGE(AQ40:AQ41))</f>
        <v/>
      </c>
      <c r="R430" s="498" t="str">
        <f>IF(AQ42="","",AVERAGE(AQ42:AQ43))</f>
        <v/>
      </c>
      <c r="S430" s="498" t="str">
        <f>IF(AQ44="","",AVERAGE(AQ44:AQ45))</f>
        <v/>
      </c>
      <c r="T430" s="498" t="str">
        <f>IF(AQ46="","",AVERAGE(AQ46:AQ47))</f>
        <v/>
      </c>
      <c r="U430" s="498" t="str">
        <f>IF(AQ48="","",AVERAGE(AQ48:AQ49))</f>
        <v/>
      </c>
      <c r="V430" s="511"/>
      <c r="W430" s="512"/>
      <c r="X430" s="512"/>
      <c r="Y430" s="161"/>
    </row>
    <row r="431" spans="1:25" ht="16.2" thickBot="1">
      <c r="A431" s="145">
        <v>23</v>
      </c>
      <c r="B431" s="193"/>
      <c r="C431" s="165" t="s">
        <v>29</v>
      </c>
      <c r="D431" s="593" t="str">
        <f>IF(P389="","",P389)</f>
        <v/>
      </c>
      <c r="E431" s="165" t="s">
        <v>31</v>
      </c>
      <c r="F431" s="593" t="str">
        <f>IF(Q389="","",Q389)</f>
        <v/>
      </c>
      <c r="G431" s="149"/>
      <c r="H431" s="149"/>
      <c r="I431" s="472"/>
      <c r="J431" s="472"/>
      <c r="K431" s="149"/>
      <c r="L431" s="149"/>
      <c r="M431" s="195"/>
      <c r="N431" s="149"/>
      <c r="O431" s="159"/>
      <c r="P431" s="489" t="s">
        <v>341</v>
      </c>
      <c r="Q431" s="500" t="str">
        <f>IF(OR(Q428="",Q429=""),"",ABS(Q429-Q428)/Q428)</f>
        <v/>
      </c>
      <c r="R431" s="500" t="str">
        <f>IF(OR(R428="",R429=""),"",ABS(R429-R428)/R428)</f>
        <v/>
      </c>
      <c r="S431" s="500" t="str">
        <f>IF(OR(S428="",S429=""),"",ABS(S429-S428)/S428)</f>
        <v/>
      </c>
      <c r="T431" s="500" t="str">
        <f>IF(OR(T428="",T429=""),"",ABS(T429-T428)/T428)</f>
        <v/>
      </c>
      <c r="U431" s="500" t="str">
        <f>IF(OR(U428="",U429=""),"",ABS(U429-U428)/U428)</f>
        <v/>
      </c>
      <c r="V431" s="513"/>
      <c r="W431" s="514"/>
      <c r="X431" s="514"/>
      <c r="Y431" s="161"/>
    </row>
    <row r="432" spans="1:25">
      <c r="A432" s="145">
        <v>24</v>
      </c>
      <c r="B432" s="193"/>
      <c r="C432" s="165" t="s">
        <v>178</v>
      </c>
      <c r="D432" s="594">
        <f>IF(S389="","",S389)</f>
        <v>50</v>
      </c>
      <c r="E432" s="149"/>
      <c r="F432" s="149"/>
      <c r="G432" s="149"/>
      <c r="H432" s="149"/>
      <c r="I432" s="472"/>
      <c r="J432" s="149"/>
      <c r="K432" s="149"/>
      <c r="L432" s="149"/>
      <c r="M432" s="195"/>
      <c r="N432" s="149"/>
      <c r="O432" s="159"/>
      <c r="P432" s="486" t="s">
        <v>342</v>
      </c>
      <c r="Q432" s="502">
        <f>IF($Q$411=1,Q426/100+0.03,Q426/100)</f>
        <v>0.31000000000000005</v>
      </c>
      <c r="R432" s="502">
        <f>IF($Q$411=1,R426/100+0.03,R426/100)</f>
        <v>0.32999999999999996</v>
      </c>
      <c r="S432" s="502">
        <f>IF($Q$411=1,S426/100+0.03,S426/100)</f>
        <v>0.35</v>
      </c>
      <c r="T432" s="502">
        <f>IF($Q$411=1,T426/100+0.03,T426/100)</f>
        <v>0.37</v>
      </c>
      <c r="U432" s="502">
        <f>IF($Q$411=1,U426/100+0.03,U426/100)</f>
        <v>0.41000000000000003</v>
      </c>
      <c r="V432" s="515"/>
      <c r="W432" s="516"/>
      <c r="X432" s="516"/>
      <c r="Y432" s="161"/>
    </row>
    <row r="433" spans="1:25" ht="16.2" thickBot="1">
      <c r="A433" s="145">
        <v>25</v>
      </c>
      <c r="B433" s="193"/>
      <c r="C433" s="329" t="s">
        <v>157</v>
      </c>
      <c r="D433" s="329" t="s">
        <v>158</v>
      </c>
      <c r="E433" s="164"/>
      <c r="F433" s="164"/>
      <c r="G433" s="164"/>
      <c r="H433" s="149"/>
      <c r="I433" s="149"/>
      <c r="J433" s="149"/>
      <c r="K433" s="149"/>
      <c r="L433" s="149"/>
      <c r="M433" s="195"/>
      <c r="N433" s="149"/>
      <c r="O433" s="159"/>
      <c r="P433" s="504" t="s">
        <v>343</v>
      </c>
      <c r="Q433" s="505">
        <f>Q426/100+0.12</f>
        <v>0.4</v>
      </c>
      <c r="R433" s="505">
        <f>R426/100+0.12</f>
        <v>0.42</v>
      </c>
      <c r="S433" s="505">
        <f>S426/100+0.12</f>
        <v>0.44</v>
      </c>
      <c r="T433" s="505">
        <f>T426/100+0.12</f>
        <v>0.46</v>
      </c>
      <c r="U433" s="505">
        <f>U426/100+0.19</f>
        <v>0.57000000000000006</v>
      </c>
      <c r="V433" s="515"/>
      <c r="W433" s="516"/>
      <c r="X433" s="516"/>
      <c r="Y433" s="161"/>
    </row>
    <row r="434" spans="1:25" ht="16.2" thickBot="1">
      <c r="A434" s="145">
        <v>26</v>
      </c>
      <c r="B434" s="193"/>
      <c r="C434" s="465" t="s">
        <v>49</v>
      </c>
      <c r="D434" s="465" t="s">
        <v>49</v>
      </c>
      <c r="E434" s="465" t="s">
        <v>327</v>
      </c>
      <c r="F434" s="465" t="s">
        <v>309</v>
      </c>
      <c r="G434" s="465" t="s">
        <v>310</v>
      </c>
      <c r="H434" s="149"/>
      <c r="I434" s="149"/>
      <c r="J434" s="149"/>
      <c r="K434" s="149"/>
      <c r="L434" s="149"/>
      <c r="M434" s="195"/>
      <c r="N434" s="149"/>
      <c r="O434" s="159"/>
      <c r="P434" s="507"/>
      <c r="Q434" s="508" t="str">
        <f>IF(Q430="","",IF($P$357="Mo",IF(AND(Q430&gt;Q432,Q430&lt;Q433),"Pass","Fail"),IF($P$357="W",IF(Q430&gt;Q432,"Pass","Fail"),"")))</f>
        <v/>
      </c>
      <c r="R434" s="508" t="str">
        <f>IF(R430="","",IF($P$357="Mo",IF(AND(R430&gt;R432,R430&lt;R433),"Pass","Fail"),IF($P$357="W",IF(R430&gt;R432,"Pass","Fail"),"")))</f>
        <v/>
      </c>
      <c r="S434" s="508" t="str">
        <f>IF(S430="","",IF($P$357="Mo",IF(AND(S430&gt;S432,S430&lt;S433),"Pass","Fail"),IF($P$357="W",IF(S430&gt;S432,"Pass","Fail"),"")))</f>
        <v/>
      </c>
      <c r="T434" s="508" t="str">
        <f>IF(T430="","",IF($P$357="Mo",IF(AND(T430&gt;T432,T430&lt;T433),"Pass","Fail"),IF($P$357="W",IF(T430&gt;T432,"Pass","Fail"),"")))</f>
        <v/>
      </c>
      <c r="U434" s="508" t="str">
        <f>IF(U430="","",IF($P$368="Mo",IF(AND(U430&gt;U432,U430&lt;U433),"Pass","Fail"),IF($P$368="W",IF(U430&gt;U432,"Pass","Fail"),"")))</f>
        <v/>
      </c>
      <c r="V434" s="513"/>
      <c r="W434" s="514"/>
      <c r="X434" s="514"/>
      <c r="Y434" s="161"/>
    </row>
    <row r="435" spans="1:25">
      <c r="A435" s="145">
        <v>27</v>
      </c>
      <c r="B435" s="193"/>
      <c r="C435" s="206">
        <f>IF(R389="","",R389)</f>
        <v>28</v>
      </c>
      <c r="D435" s="396" t="str">
        <f>IF(T389="","",T389)</f>
        <v/>
      </c>
      <c r="E435" s="396" t="str">
        <f>IF(V389="","",V389)</f>
        <v/>
      </c>
      <c r="F435" s="433" t="str">
        <f>IF(W389="","",W389)</f>
        <v/>
      </c>
      <c r="G435" s="396" t="str">
        <f>IF(X389="","",X389)</f>
        <v/>
      </c>
      <c r="H435" s="149"/>
      <c r="I435" s="210"/>
      <c r="J435" s="210"/>
      <c r="K435" s="149"/>
      <c r="L435" s="149"/>
      <c r="M435" s="195"/>
      <c r="N435" s="149"/>
      <c r="O435" s="159"/>
      <c r="P435" s="246" t="s">
        <v>163</v>
      </c>
      <c r="Q435" s="210" t="s">
        <v>347</v>
      </c>
      <c r="R435" s="210"/>
      <c r="S435" s="210"/>
      <c r="T435" s="210"/>
      <c r="U435" s="210"/>
      <c r="V435" s="210"/>
      <c r="W435" s="210"/>
      <c r="X435" s="210"/>
      <c r="Y435" s="509"/>
    </row>
    <row r="436" spans="1:25" ht="16.2" thickBot="1">
      <c r="A436" s="145">
        <v>28</v>
      </c>
      <c r="B436" s="193"/>
      <c r="C436" s="149"/>
      <c r="D436" s="396" t="str">
        <f>IF(T390="","",T390)</f>
        <v/>
      </c>
      <c r="E436" s="396" t="str">
        <f>IF(V390="","",V390)</f>
        <v/>
      </c>
      <c r="F436" s="433" t="str">
        <f>IF(W390="","",W390)</f>
        <v/>
      </c>
      <c r="G436" s="396" t="str">
        <f>IF(X390="","",X390)</f>
        <v/>
      </c>
      <c r="H436" s="149"/>
      <c r="I436" s="210"/>
      <c r="J436" s="210"/>
      <c r="K436" s="149"/>
      <c r="L436" s="149"/>
      <c r="M436" s="195"/>
      <c r="N436" s="149"/>
      <c r="O436" s="170"/>
      <c r="P436" s="239"/>
      <c r="Q436" s="239" t="s">
        <v>348</v>
      </c>
      <c r="R436" s="239"/>
      <c r="S436" s="239"/>
      <c r="T436" s="239"/>
      <c r="U436" s="239"/>
      <c r="V436" s="171"/>
      <c r="W436" s="171"/>
      <c r="X436" s="171"/>
      <c r="Y436" s="172"/>
    </row>
    <row r="437" spans="1:25">
      <c r="A437" s="145">
        <v>29</v>
      </c>
      <c r="B437" s="193"/>
      <c r="C437" s="149"/>
      <c r="D437" s="396" t="str">
        <f>IF(T391="","",T391)</f>
        <v/>
      </c>
      <c r="E437" s="396" t="str">
        <f>IF(V391="","",V391)</f>
        <v/>
      </c>
      <c r="F437" s="433" t="str">
        <f>IF(W391="","",W391)</f>
        <v/>
      </c>
      <c r="G437" s="396" t="str">
        <f>IF(X391="","",X391)</f>
        <v/>
      </c>
      <c r="H437" s="149"/>
      <c r="I437" s="210"/>
      <c r="J437" s="210"/>
      <c r="K437" s="149"/>
      <c r="L437" s="149"/>
      <c r="M437" s="195"/>
      <c r="N437" s="149"/>
      <c r="O437" s="279" t="s">
        <v>260</v>
      </c>
      <c r="P437" s="151"/>
      <c r="Q437" s="151"/>
      <c r="R437" s="151"/>
      <c r="S437" s="151"/>
      <c r="T437" s="151"/>
      <c r="U437" s="151"/>
      <c r="V437" s="151"/>
      <c r="W437" s="151"/>
      <c r="X437" s="151"/>
      <c r="Y437" s="152"/>
    </row>
    <row r="438" spans="1:25">
      <c r="A438" s="145">
        <v>30</v>
      </c>
      <c r="B438" s="193"/>
      <c r="C438" s="149"/>
      <c r="D438" s="396" t="str">
        <f>IF(T392="","",T392)</f>
        <v/>
      </c>
      <c r="E438" s="396" t="str">
        <f>IF(V392="","",V392)</f>
        <v/>
      </c>
      <c r="F438" s="433" t="str">
        <f>IF(W392="","",W392)</f>
        <v/>
      </c>
      <c r="G438" s="396" t="str">
        <f>IF(X392="","",X392)</f>
        <v/>
      </c>
      <c r="H438" s="149"/>
      <c r="I438" s="149"/>
      <c r="J438" s="149"/>
      <c r="K438" s="149"/>
      <c r="L438" s="149"/>
      <c r="M438" s="195"/>
      <c r="N438" s="149"/>
      <c r="O438" s="517" t="s">
        <v>261</v>
      </c>
      <c r="P438" s="165" t="s">
        <v>23</v>
      </c>
      <c r="Q438" s="518"/>
      <c r="R438" s="165" t="s">
        <v>320</v>
      </c>
      <c r="S438" s="282"/>
      <c r="T438" s="149"/>
      <c r="U438" s="165" t="s">
        <v>349</v>
      </c>
      <c r="V438" s="519"/>
      <c r="W438" s="149"/>
      <c r="X438" s="149"/>
      <c r="Y438" s="161"/>
    </row>
    <row r="439" spans="1:25">
      <c r="A439" s="145">
        <v>31</v>
      </c>
      <c r="B439" s="193"/>
      <c r="C439" s="165" t="s">
        <v>169</v>
      </c>
      <c r="D439" s="396" t="str">
        <f>IF(T393="","",T393)</f>
        <v/>
      </c>
      <c r="E439" s="396" t="str">
        <f>IF(V393="","",V393)</f>
        <v/>
      </c>
      <c r="F439" s="433" t="str">
        <f>IF(W393="","",W393)</f>
        <v/>
      </c>
      <c r="G439" s="396" t="str">
        <f>IF(X393="","",X393)</f>
        <v/>
      </c>
      <c r="H439" s="149"/>
      <c r="I439" s="149"/>
      <c r="J439" s="149"/>
      <c r="K439" s="149"/>
      <c r="L439" s="149"/>
      <c r="M439" s="195"/>
      <c r="N439" s="149"/>
      <c r="O439" s="159"/>
      <c r="P439" s="149"/>
      <c r="Q439" s="149"/>
      <c r="R439" s="149"/>
      <c r="S439" s="149"/>
      <c r="T439" s="149"/>
      <c r="U439" s="149"/>
      <c r="V439" s="149"/>
      <c r="W439" s="149"/>
      <c r="X439" s="149"/>
      <c r="Y439" s="161"/>
    </row>
    <row r="440" spans="1:25">
      <c r="A440" s="145">
        <v>32</v>
      </c>
      <c r="B440" s="193"/>
      <c r="C440" s="165" t="s">
        <v>326</v>
      </c>
      <c r="D440" s="396" t="str">
        <f>IF(T394="","",T394)</f>
        <v/>
      </c>
      <c r="E440" s="396" t="str">
        <f>IF(V394="","",V394)</f>
        <v/>
      </c>
      <c r="F440" s="433" t="str">
        <f>IF(W394="","",W394)</f>
        <v/>
      </c>
      <c r="G440" s="396" t="str">
        <f>IF(X394="","",X394)</f>
        <v/>
      </c>
      <c r="H440" s="149"/>
      <c r="I440" s="149"/>
      <c r="J440" s="149"/>
      <c r="K440" s="149"/>
      <c r="L440" s="149"/>
      <c r="M440" s="195"/>
      <c r="N440" s="149"/>
      <c r="O440" s="159"/>
      <c r="P440" s="165"/>
      <c r="Q440" s="149"/>
      <c r="R440" s="149" t="s">
        <v>314</v>
      </c>
      <c r="S440" s="149"/>
      <c r="T440" s="149"/>
      <c r="U440" s="149"/>
      <c r="V440" s="149" t="s">
        <v>314</v>
      </c>
      <c r="W440" s="149"/>
      <c r="X440" s="149"/>
      <c r="Y440" s="161"/>
    </row>
    <row r="441" spans="1:25" ht="16.2" thickBot="1">
      <c r="A441" s="145">
        <v>33</v>
      </c>
      <c r="B441" s="193"/>
      <c r="C441" s="165" t="s">
        <v>289</v>
      </c>
      <c r="D441" s="346" t="str">
        <f>IF(T395="","",T395)</f>
        <v/>
      </c>
      <c r="E441" s="346" t="str">
        <f>IF(V395="","",V395)</f>
        <v/>
      </c>
      <c r="F441" s="346" t="str">
        <f>IF(W395="","",W395)</f>
        <v/>
      </c>
      <c r="G441" s="346" t="str">
        <f>IF(X395="","",X395)</f>
        <v/>
      </c>
      <c r="H441" s="149"/>
      <c r="I441" s="149"/>
      <c r="J441" s="149"/>
      <c r="K441" s="149"/>
      <c r="L441" s="149"/>
      <c r="M441" s="195"/>
      <c r="N441" s="149"/>
      <c r="O441" s="159"/>
      <c r="P441" s="165" t="s">
        <v>177</v>
      </c>
      <c r="Q441" s="206">
        <f>T291</f>
        <v>0</v>
      </c>
      <c r="R441" s="385" t="str">
        <f>IF(AB99="","",AB99)</f>
        <v/>
      </c>
      <c r="S441" s="149"/>
      <c r="T441" s="165" t="s">
        <v>272</v>
      </c>
      <c r="U441" s="280"/>
      <c r="V441" s="385" t="str">
        <f>IF(AB105="","",AB105)</f>
        <v/>
      </c>
      <c r="W441" s="149"/>
      <c r="X441" s="149"/>
      <c r="Y441" s="161"/>
    </row>
    <row r="442" spans="1:25" ht="16.2" thickBot="1">
      <c r="A442" s="145">
        <v>34</v>
      </c>
      <c r="B442" s="193"/>
      <c r="C442" s="165" t="s">
        <v>180</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165" t="s">
        <v>178</v>
      </c>
      <c r="Q442" s="206">
        <f>Q298</f>
        <v>0</v>
      </c>
      <c r="R442" s="385" t="str">
        <f>IF(AB100="","",AB100)</f>
        <v/>
      </c>
      <c r="S442" s="149"/>
      <c r="T442" s="165" t="s">
        <v>275</v>
      </c>
      <c r="U442" s="280"/>
      <c r="V442" s="385" t="str">
        <f>IF(AB106="","",AB106)</f>
        <v/>
      </c>
      <c r="W442" s="149"/>
      <c r="X442" s="149"/>
      <c r="Y442" s="161"/>
    </row>
    <row r="443" spans="1:25" ht="16.2" thickBot="1">
      <c r="A443" s="145">
        <v>35</v>
      </c>
      <c r="B443" s="193"/>
      <c r="C443" s="149"/>
      <c r="D443" s="246" t="s">
        <v>163</v>
      </c>
      <c r="E443" s="156" t="s">
        <v>328</v>
      </c>
      <c r="F443" s="149"/>
      <c r="G443" s="149"/>
      <c r="H443" s="149"/>
      <c r="I443" s="149"/>
      <c r="J443" s="149"/>
      <c r="K443" s="149"/>
      <c r="L443" s="149"/>
      <c r="M443" s="195"/>
      <c r="N443" s="149"/>
      <c r="O443" s="159"/>
      <c r="P443" s="165" t="s">
        <v>271</v>
      </c>
      <c r="Q443" s="280"/>
      <c r="R443" s="385" t="str">
        <f>IF(AB101="","",AB101)</f>
        <v/>
      </c>
      <c r="S443" s="149"/>
      <c r="T443" s="165" t="s">
        <v>280</v>
      </c>
      <c r="U443" s="280"/>
      <c r="V443" s="385" t="str">
        <f>IF(AB107="","",AB107)</f>
        <v/>
      </c>
      <c r="W443" s="149"/>
      <c r="X443" s="149"/>
      <c r="Y443" s="161"/>
    </row>
    <row r="444" spans="1:25" ht="16.2" thickBot="1">
      <c r="A444" s="145">
        <v>36</v>
      </c>
      <c r="B444" s="193"/>
      <c r="C444" s="149"/>
      <c r="D444" s="149"/>
      <c r="E444" s="156" t="s">
        <v>329</v>
      </c>
      <c r="F444" s="149"/>
      <c r="G444" s="149"/>
      <c r="H444" s="149"/>
      <c r="I444" s="149"/>
      <c r="J444" s="149"/>
      <c r="K444" s="149"/>
      <c r="L444" s="149"/>
      <c r="M444" s="195"/>
      <c r="N444" s="149"/>
      <c r="O444" s="159"/>
      <c r="P444" s="165" t="s">
        <v>274</v>
      </c>
      <c r="Q444" s="280"/>
      <c r="R444" s="385" t="str">
        <f>IF(AB102="","",AB102)</f>
        <v/>
      </c>
      <c r="S444" s="149"/>
      <c r="T444" s="165" t="s">
        <v>180</v>
      </c>
      <c r="U444" s="607" t="str">
        <f>IF(OR(U441="",U442="",U443=""),"",IF(AND(U441&gt;=5,U442&gt;=4,U443&gt;=4),"Pass","Fail"))</f>
        <v/>
      </c>
      <c r="V444" s="149"/>
      <c r="W444" s="149"/>
      <c r="X444" s="149"/>
      <c r="Y444" s="161"/>
    </row>
    <row r="445" spans="1:25">
      <c r="A445" s="145">
        <v>37</v>
      </c>
      <c r="B445" s="193"/>
      <c r="C445" s="149"/>
      <c r="D445" s="194"/>
      <c r="E445" s="317" t="s">
        <v>330</v>
      </c>
      <c r="F445" s="149"/>
      <c r="G445" s="149"/>
      <c r="H445" s="149"/>
      <c r="I445" s="149"/>
      <c r="J445" s="149"/>
      <c r="K445" s="149"/>
      <c r="L445" s="149"/>
      <c r="M445" s="195"/>
      <c r="N445" s="149"/>
      <c r="O445" s="159"/>
      <c r="P445" s="165" t="s">
        <v>279</v>
      </c>
      <c r="Q445" s="280"/>
      <c r="R445" s="385" t="str">
        <f>IF(AB103="","",AB103)</f>
        <v/>
      </c>
      <c r="S445" s="149"/>
      <c r="T445" s="239"/>
      <c r="U445" s="239"/>
      <c r="V445" s="149"/>
      <c r="W445" s="149"/>
      <c r="X445" s="149"/>
      <c r="Y445" s="161"/>
    </row>
    <row r="446" spans="1:25">
      <c r="A446" s="145">
        <v>38</v>
      </c>
      <c r="B446" s="193"/>
      <c r="C446" s="210"/>
      <c r="D446" s="210"/>
      <c r="E446" s="210"/>
      <c r="F446" s="210"/>
      <c r="G446" s="210"/>
      <c r="H446" s="149"/>
      <c r="I446" s="149"/>
      <c r="J446" s="149"/>
      <c r="K446" s="149"/>
      <c r="L446" s="149"/>
      <c r="M446" s="195"/>
      <c r="N446" s="149"/>
      <c r="O446" s="159"/>
      <c r="P446" s="165" t="s">
        <v>282</v>
      </c>
      <c r="Q446" s="206" t="str">
        <f>IF(OR(Q444="",Q445=""),"",Q445-Q444)</f>
        <v/>
      </c>
      <c r="R446" s="385" t="str">
        <f>IF(AB104="","",AB104)</f>
        <v/>
      </c>
      <c r="S446" s="149"/>
      <c r="T446" s="149"/>
      <c r="U446" s="149"/>
      <c r="V446" s="149"/>
      <c r="W446" s="149"/>
      <c r="X446" s="149"/>
      <c r="Y446" s="161"/>
    </row>
    <row r="447" spans="1:25">
      <c r="A447" s="145">
        <v>39</v>
      </c>
      <c r="B447" s="193"/>
      <c r="C447" s="202" t="s">
        <v>331</v>
      </c>
      <c r="D447" s="149"/>
      <c r="E447" s="149"/>
      <c r="F447" s="149"/>
      <c r="G447" s="149"/>
      <c r="H447" s="149"/>
      <c r="I447" s="149"/>
      <c r="J447" s="149"/>
      <c r="K447" s="149"/>
      <c r="L447" s="149"/>
      <c r="M447" s="195"/>
      <c r="N447" s="149"/>
      <c r="O447" s="159"/>
      <c r="P447" s="149"/>
      <c r="Q447" s="149"/>
      <c r="R447" s="149"/>
      <c r="S447" s="149"/>
      <c r="T447" s="149"/>
      <c r="U447" s="149"/>
      <c r="V447" s="149"/>
      <c r="W447" s="149"/>
      <c r="X447" s="149"/>
      <c r="Y447" s="161"/>
    </row>
    <row r="448" spans="1:25">
      <c r="A448" s="145">
        <v>40</v>
      </c>
      <c r="B448" s="193"/>
      <c r="C448" s="165" t="s">
        <v>29</v>
      </c>
      <c r="D448" s="593" t="str">
        <f>IF(P403="","",P403)</f>
        <v/>
      </c>
      <c r="E448" s="165" t="s">
        <v>31</v>
      </c>
      <c r="F448" s="593" t="str">
        <f>IF(Q403="","",Q403)</f>
        <v/>
      </c>
      <c r="G448" s="149"/>
      <c r="H448" s="149"/>
      <c r="I448" s="149"/>
      <c r="J448" s="149"/>
      <c r="K448" s="149"/>
      <c r="L448" s="149"/>
      <c r="M448" s="195"/>
      <c r="N448" s="149"/>
      <c r="O448" s="517" t="s">
        <v>350</v>
      </c>
      <c r="P448" s="149"/>
      <c r="Q448" s="149"/>
      <c r="R448" s="149"/>
      <c r="S448" s="149"/>
      <c r="T448" s="149"/>
      <c r="U448" s="149"/>
      <c r="V448" s="149"/>
      <c r="W448" s="149"/>
      <c r="X448" s="149"/>
      <c r="Y448" s="161"/>
    </row>
    <row r="449" spans="1:25">
      <c r="A449" s="145">
        <v>41</v>
      </c>
      <c r="B449" s="193"/>
      <c r="C449" s="149"/>
      <c r="D449" s="339"/>
      <c r="E449" s="149"/>
      <c r="F449" s="149"/>
      <c r="G449" s="149"/>
      <c r="H449" s="149"/>
      <c r="I449" s="149"/>
      <c r="J449" s="149"/>
      <c r="K449" s="149"/>
      <c r="L449" s="149"/>
      <c r="M449" s="195"/>
      <c r="N449" s="149"/>
      <c r="O449" s="159"/>
      <c r="P449" s="149"/>
      <c r="Q449" s="165" t="s">
        <v>269</v>
      </c>
      <c r="R449" s="519"/>
      <c r="S449" s="149"/>
      <c r="T449" s="149"/>
      <c r="U449" s="165" t="s">
        <v>269</v>
      </c>
      <c r="V449" s="519"/>
      <c r="W449" s="149"/>
      <c r="X449" s="149"/>
      <c r="Y449" s="161"/>
    </row>
    <row r="450" spans="1:25" ht="16.2" thickBot="1">
      <c r="A450" s="145">
        <v>42</v>
      </c>
      <c r="B450" s="193"/>
      <c r="C450" s="465" t="s">
        <v>337</v>
      </c>
      <c r="D450" s="465" t="s">
        <v>49</v>
      </c>
      <c r="E450" s="465" t="s">
        <v>327</v>
      </c>
      <c r="F450" s="465" t="s">
        <v>309</v>
      </c>
      <c r="G450" s="465" t="s">
        <v>310</v>
      </c>
      <c r="H450" s="149"/>
      <c r="I450" s="149"/>
      <c r="J450" s="149"/>
      <c r="K450" s="149"/>
      <c r="L450" s="149"/>
      <c r="M450" s="195"/>
      <c r="N450" s="149"/>
      <c r="O450" s="159"/>
      <c r="P450" s="149"/>
      <c r="Q450" s="613" t="s">
        <v>199</v>
      </c>
      <c r="R450" s="613" t="s">
        <v>201</v>
      </c>
      <c r="S450" s="149"/>
      <c r="T450" s="149"/>
      <c r="U450" s="613" t="s">
        <v>199</v>
      </c>
      <c r="V450" s="613" t="s">
        <v>201</v>
      </c>
      <c r="W450" s="149"/>
      <c r="X450" s="149"/>
      <c r="Y450" s="161"/>
    </row>
    <row r="451" spans="1:25">
      <c r="A451" s="145">
        <v>43</v>
      </c>
      <c r="B451" s="193"/>
      <c r="C451" s="206">
        <f>IF(S403="","",S403)</f>
        <v>20</v>
      </c>
      <c r="D451" s="396" t="str">
        <f>IF(T403="","",T403)</f>
        <v/>
      </c>
      <c r="E451" s="396" t="str">
        <f>IF(V403="","",V403)</f>
        <v/>
      </c>
      <c r="F451" s="433" t="str">
        <f>IF(W403="","",W403)</f>
        <v/>
      </c>
      <c r="G451" s="396" t="str">
        <f>IF(X403="","",X403)</f>
        <v/>
      </c>
      <c r="H451" s="149"/>
      <c r="I451" s="149"/>
      <c r="J451" s="149"/>
      <c r="K451" s="149"/>
      <c r="L451" s="149"/>
      <c r="M451" s="195"/>
      <c r="N451" s="149"/>
      <c r="O451" s="323"/>
      <c r="P451" s="165" t="s">
        <v>272</v>
      </c>
      <c r="Q451" s="280"/>
      <c r="R451" s="280"/>
      <c r="S451" s="149"/>
      <c r="T451" s="165" t="s">
        <v>272</v>
      </c>
      <c r="U451" s="280"/>
      <c r="V451" s="280"/>
      <c r="W451" s="149"/>
      <c r="X451" s="149"/>
      <c r="Y451" s="161"/>
    </row>
    <row r="452" spans="1:25">
      <c r="A452" s="145">
        <v>44</v>
      </c>
      <c r="B452" s="193"/>
      <c r="C452" s="206">
        <f>IF(S404="","",S404)</f>
        <v>50</v>
      </c>
      <c r="D452" s="396" t="str">
        <f>IF(T404="","",T404)</f>
        <v/>
      </c>
      <c r="E452" s="396" t="str">
        <f>IF(V404="","",V404)</f>
        <v/>
      </c>
      <c r="F452" s="433" t="str">
        <f>IF(W404="","",W404)</f>
        <v/>
      </c>
      <c r="G452" s="396" t="str">
        <f>IF(X404="","",X404)</f>
        <v/>
      </c>
      <c r="H452" s="149"/>
      <c r="I452" s="149"/>
      <c r="J452" s="149"/>
      <c r="K452" s="149"/>
      <c r="L452" s="149"/>
      <c r="M452" s="195"/>
      <c r="N452" s="149"/>
      <c r="O452" s="323"/>
      <c r="P452" s="165" t="s">
        <v>275</v>
      </c>
      <c r="Q452" s="280"/>
      <c r="R452" s="280"/>
      <c r="S452" s="149"/>
      <c r="T452" s="165" t="s">
        <v>275</v>
      </c>
      <c r="U452" s="280"/>
      <c r="V452" s="280"/>
      <c r="W452" s="149"/>
      <c r="X452" s="149"/>
      <c r="Y452" s="161"/>
    </row>
    <row r="453" spans="1:25">
      <c r="A453" s="145">
        <v>45</v>
      </c>
      <c r="B453" s="193"/>
      <c r="C453" s="206">
        <f>IF(S405="","",S405)</f>
        <v>100</v>
      </c>
      <c r="D453" s="396" t="str">
        <f>IF(T405="","",T405)</f>
        <v/>
      </c>
      <c r="E453" s="396" t="str">
        <f>IF(V405="","",V405)</f>
        <v/>
      </c>
      <c r="F453" s="433" t="str">
        <f>IF(W405="","",W405)</f>
        <v/>
      </c>
      <c r="G453" s="396" t="str">
        <f>IF(X405="","",X405)</f>
        <v/>
      </c>
      <c r="H453" s="149"/>
      <c r="I453" s="149"/>
      <c r="J453" s="149"/>
      <c r="K453" s="149"/>
      <c r="L453" s="149"/>
      <c r="M453" s="195"/>
      <c r="N453" s="149"/>
      <c r="O453" s="323"/>
      <c r="P453" s="165" t="s">
        <v>280</v>
      </c>
      <c r="Q453" s="280"/>
      <c r="R453" s="280"/>
      <c r="S453" s="149"/>
      <c r="T453" s="165" t="s">
        <v>280</v>
      </c>
      <c r="U453" s="280"/>
      <c r="V453" s="280"/>
      <c r="W453" s="149"/>
      <c r="X453" s="149"/>
      <c r="Y453" s="161"/>
    </row>
    <row r="454" spans="1:25" ht="16.2" thickBot="1">
      <c r="A454" s="145">
        <v>46</v>
      </c>
      <c r="B454" s="193"/>
      <c r="C454" s="206">
        <f>IF(S406="","",S406)</f>
        <v>300</v>
      </c>
      <c r="D454" s="396" t="str">
        <f>IF(T406="","",T406)</f>
        <v/>
      </c>
      <c r="E454" s="396" t="str">
        <f>IF(V406="","",V406)</f>
        <v/>
      </c>
      <c r="F454" s="433" t="str">
        <f>IF(W406="","",W406)</f>
        <v/>
      </c>
      <c r="G454" s="396" t="str">
        <f>IF(X406="","",X406)</f>
        <v/>
      </c>
      <c r="H454" s="149"/>
      <c r="I454" s="149"/>
      <c r="J454" s="149"/>
      <c r="K454" s="149"/>
      <c r="L454" s="149"/>
      <c r="M454" s="195"/>
      <c r="N454" s="149"/>
      <c r="O454" s="159"/>
      <c r="P454" s="149"/>
      <c r="Q454" s="149"/>
      <c r="R454" s="149"/>
      <c r="S454" s="149"/>
      <c r="T454" s="149"/>
      <c r="U454" s="149"/>
      <c r="V454" s="149"/>
      <c r="W454" s="149"/>
      <c r="X454" s="149"/>
      <c r="Y454" s="161"/>
    </row>
    <row r="455" spans="1:25" ht="16.2" thickBot="1">
      <c r="A455" s="145">
        <v>47</v>
      </c>
      <c r="B455" s="193"/>
      <c r="C455" s="149"/>
      <c r="D455" s="149"/>
      <c r="E455" s="165" t="s">
        <v>333</v>
      </c>
      <c r="F455" s="484" t="str">
        <f>IF(W407="","",W407)</f>
        <v/>
      </c>
      <c r="G455" s="149"/>
      <c r="H455" s="149"/>
      <c r="I455" s="149"/>
      <c r="J455" s="149"/>
      <c r="K455" s="149"/>
      <c r="L455" s="149"/>
      <c r="M455" s="195"/>
      <c r="N455" s="149"/>
      <c r="O455" s="517" t="s">
        <v>351</v>
      </c>
      <c r="P455" s="149"/>
      <c r="Q455" s="149"/>
      <c r="R455" s="149"/>
      <c r="S455" s="149"/>
      <c r="T455" s="149"/>
      <c r="U455" s="149"/>
      <c r="V455" s="149"/>
      <c r="W455" s="149"/>
      <c r="X455" s="149"/>
      <c r="Y455" s="161"/>
    </row>
    <row r="456" spans="1:25">
      <c r="A456" s="145">
        <v>48</v>
      </c>
      <c r="B456" s="193"/>
      <c r="C456" s="149"/>
      <c r="D456" s="246" t="s">
        <v>163</v>
      </c>
      <c r="E456" s="156" t="s">
        <v>332</v>
      </c>
      <c r="F456" s="149"/>
      <c r="G456" s="149"/>
      <c r="H456" s="149"/>
      <c r="I456" s="149"/>
      <c r="J456" s="149"/>
      <c r="K456" s="149"/>
      <c r="L456" s="149"/>
      <c r="M456" s="195"/>
      <c r="N456" s="149"/>
      <c r="O456" s="344"/>
      <c r="P456" s="520" t="s">
        <v>352</v>
      </c>
      <c r="Q456" s="414" t="s">
        <v>314</v>
      </c>
      <c r="R456" s="520" t="s">
        <v>266</v>
      </c>
      <c r="S456" s="414" t="s">
        <v>314</v>
      </c>
      <c r="T456" s="520" t="s">
        <v>353</v>
      </c>
      <c r="U456" s="414" t="s">
        <v>314</v>
      </c>
      <c r="V456" s="239"/>
      <c r="W456" s="239"/>
      <c r="X456" s="239"/>
      <c r="Y456" s="324"/>
    </row>
    <row r="457" spans="1:25">
      <c r="A457" s="145">
        <v>49</v>
      </c>
      <c r="B457" s="193"/>
      <c r="C457" s="149"/>
      <c r="D457" s="149"/>
      <c r="E457" s="149"/>
      <c r="F457" s="149"/>
      <c r="G457" s="149"/>
      <c r="H457" s="149"/>
      <c r="I457" s="149"/>
      <c r="J457" s="149"/>
      <c r="K457" s="149"/>
      <c r="L457" s="149"/>
      <c r="M457" s="195"/>
      <c r="N457" s="149"/>
      <c r="O457" s="323" t="s">
        <v>177</v>
      </c>
      <c r="P457" s="205">
        <f>T291</f>
        <v>0</v>
      </c>
      <c r="Q457" s="521" t="str">
        <f>IF(AB109="","",AB109)</f>
        <v/>
      </c>
      <c r="R457" s="393"/>
      <c r="S457" s="521" t="str">
        <f>IF(AB115="","",AB115)</f>
        <v/>
      </c>
      <c r="T457" s="393"/>
      <c r="U457" s="521" t="str">
        <f>IF(AB121="","",AB121)</f>
        <v/>
      </c>
      <c r="V457" s="239"/>
      <c r="W457" s="165"/>
      <c r="X457" s="239"/>
      <c r="Y457" s="324"/>
    </row>
    <row r="458" spans="1:25">
      <c r="A458" s="145">
        <v>50</v>
      </c>
      <c r="B458" s="193"/>
      <c r="C458" s="202" t="s">
        <v>344</v>
      </c>
      <c r="D458" s="149"/>
      <c r="E458" s="149"/>
      <c r="F458" s="149"/>
      <c r="G458" s="149"/>
      <c r="H458" s="149"/>
      <c r="I458" s="149"/>
      <c r="J458" s="149"/>
      <c r="K458" s="149"/>
      <c r="L458" s="149"/>
      <c r="M458" s="195"/>
      <c r="N458" s="149"/>
      <c r="O458" s="323" t="s">
        <v>178</v>
      </c>
      <c r="P458" s="205">
        <f>Q298</f>
        <v>0</v>
      </c>
      <c r="Q458" s="521" t="str">
        <f>IF(AB110="","",AB110)</f>
        <v/>
      </c>
      <c r="R458" s="393"/>
      <c r="S458" s="521" t="str">
        <f>IF(AB116="","",AB116)</f>
        <v/>
      </c>
      <c r="T458" s="393"/>
      <c r="U458" s="521" t="str">
        <f>IF(AB122="","",AB122)</f>
        <v/>
      </c>
      <c r="V458" s="239"/>
      <c r="W458" s="165"/>
      <c r="X458" s="239"/>
      <c r="Y458" s="324"/>
    </row>
    <row r="459" spans="1:25">
      <c r="A459" s="145">
        <v>51</v>
      </c>
      <c r="B459" s="193"/>
      <c r="C459" s="485" t="s">
        <v>48</v>
      </c>
      <c r="D459" s="485" t="str">
        <f>$P$357&amp;"/"&amp;$Q$357</f>
        <v>/</v>
      </c>
      <c r="E459" s="485" t="str">
        <f>$P$357&amp;"/"&amp;$Q$357</f>
        <v>/</v>
      </c>
      <c r="F459" s="485" t="str">
        <f>$P$357&amp;"/"&amp;$Q$357</f>
        <v>/</v>
      </c>
      <c r="G459" s="485" t="str">
        <f>$P$357&amp;"/"&amp;$Q$357</f>
        <v>/</v>
      </c>
      <c r="H459" s="485" t="str">
        <f>$P$368&amp;"/"&amp;$Q$368</f>
        <v>/</v>
      </c>
      <c r="I459" s="485" t="str">
        <f>$P$368&amp;"/"&amp;$Q$368</f>
        <v>/</v>
      </c>
      <c r="J459" s="485" t="str">
        <f>$P$368&amp;"/"&amp;$Q$368</f>
        <v>/</v>
      </c>
      <c r="K459" s="485" t="str">
        <f>$P$368&amp;"/"&amp;$Q$368</f>
        <v>/</v>
      </c>
      <c r="L459" s="149"/>
      <c r="M459" s="195"/>
      <c r="N459" s="149"/>
      <c r="O459" s="323" t="s">
        <v>179</v>
      </c>
      <c r="P459" s="205">
        <f>R298</f>
        <v>0</v>
      </c>
      <c r="Q459" s="521" t="str">
        <f>IF(AB111="","",AB111)</f>
        <v/>
      </c>
      <c r="R459" s="393"/>
      <c r="S459" s="521" t="str">
        <f>IF(AB117="","",AB117)</f>
        <v/>
      </c>
      <c r="T459" s="393"/>
      <c r="U459" s="521" t="str">
        <f>IF(AB123="","",AB123)</f>
        <v/>
      </c>
      <c r="V459" s="239"/>
      <c r="W459" s="165"/>
      <c r="X459" s="239"/>
      <c r="Y459" s="324"/>
    </row>
    <row r="460" spans="1:25" ht="16.2" thickBot="1">
      <c r="A460" s="145">
        <v>52</v>
      </c>
      <c r="B460" s="193"/>
      <c r="C460" s="228" t="s">
        <v>240</v>
      </c>
      <c r="D460" s="228">
        <f>Q413</f>
        <v>24</v>
      </c>
      <c r="E460" s="228">
        <f>R413</f>
        <v>25</v>
      </c>
      <c r="F460" s="228">
        <f>S413</f>
        <v>28</v>
      </c>
      <c r="G460" s="228">
        <f>T413</f>
        <v>32</v>
      </c>
      <c r="H460" s="228">
        <f>U413</f>
        <v>28</v>
      </c>
      <c r="I460" s="228">
        <f>V413</f>
        <v>30</v>
      </c>
      <c r="J460" s="228">
        <f>W413</f>
        <v>32</v>
      </c>
      <c r="K460" s="228">
        <f>X413</f>
        <v>34</v>
      </c>
      <c r="L460" s="149"/>
      <c r="M460" s="195"/>
      <c r="N460" s="149"/>
      <c r="O460" s="323" t="s">
        <v>272</v>
      </c>
      <c r="P460" s="393"/>
      <c r="Q460" s="521" t="str">
        <f>IF(AB112="","",AB112)</f>
        <v/>
      </c>
      <c r="R460" s="393"/>
      <c r="S460" s="521" t="str">
        <f>IF(AB118="","",AB118)</f>
        <v/>
      </c>
      <c r="T460" s="393"/>
      <c r="U460" s="521" t="str">
        <f>IF(AB124="","",AB124)</f>
        <v/>
      </c>
      <c r="V460" s="239"/>
      <c r="W460" s="165"/>
      <c r="X460" s="239"/>
      <c r="Y460" s="324"/>
    </row>
    <row r="461" spans="1:25">
      <c r="A461" s="145">
        <v>53</v>
      </c>
      <c r="B461" s="193"/>
      <c r="C461" s="486" t="s">
        <v>340</v>
      </c>
      <c r="D461" s="487" t="str">
        <f>IF(Q417="","",Q417)</f>
        <v/>
      </c>
      <c r="E461" s="487" t="str">
        <f>IF(R417="","",R417)</f>
        <v/>
      </c>
      <c r="F461" s="487" t="str">
        <f>IF(S417="","",S417)</f>
        <v/>
      </c>
      <c r="G461" s="487" t="str">
        <f>IF(T417="","",T417)</f>
        <v/>
      </c>
      <c r="H461" s="487" t="str">
        <f>IF(U417="","",U417)</f>
        <v/>
      </c>
      <c r="I461" s="487" t="str">
        <f>IF(V417="","",V417)</f>
        <v/>
      </c>
      <c r="J461" s="487" t="str">
        <f>IF(W417="","",W417)</f>
        <v/>
      </c>
      <c r="K461" s="198" t="str">
        <f>IF(X417="","",X417)</f>
        <v/>
      </c>
      <c r="L461" s="149"/>
      <c r="M461" s="195"/>
      <c r="N461" s="149"/>
      <c r="O461" s="323" t="s">
        <v>275</v>
      </c>
      <c r="P461" s="393"/>
      <c r="Q461" s="521" t="str">
        <f>IF(AB113="","",AB113)</f>
        <v/>
      </c>
      <c r="R461" s="393"/>
      <c r="S461" s="521" t="str">
        <f>IF(AB119="","",AB119)</f>
        <v/>
      </c>
      <c r="T461" s="393"/>
      <c r="U461" s="521" t="str">
        <f>IF(AB125="","",AB125)</f>
        <v/>
      </c>
      <c r="V461" s="239"/>
      <c r="W461" s="165"/>
      <c r="X461" s="239"/>
      <c r="Y461" s="324"/>
    </row>
    <row r="462" spans="1:25" ht="16.2" thickBot="1">
      <c r="A462" s="145">
        <v>54</v>
      </c>
      <c r="B462" s="193"/>
      <c r="C462" s="489" t="s">
        <v>341</v>
      </c>
      <c r="D462" s="361" t="str">
        <f>IF(Q418="","",Q418)</f>
        <v/>
      </c>
      <c r="E462" s="361" t="str">
        <f>IF(R418="","",R418)</f>
        <v/>
      </c>
      <c r="F462" s="361" t="str">
        <f>IF(S418="","",S418)</f>
        <v/>
      </c>
      <c r="G462" s="361" t="str">
        <f>IF(T418="","",T418)</f>
        <v/>
      </c>
      <c r="H462" s="361" t="str">
        <f>IF(U418="","",U418)</f>
        <v/>
      </c>
      <c r="I462" s="361" t="str">
        <f>IF(V418="","",V418)</f>
        <v/>
      </c>
      <c r="J462" s="361" t="str">
        <f>IF(W418="","",W418)</f>
        <v/>
      </c>
      <c r="K462" s="363" t="str">
        <f>IF(X418="","",X418)</f>
        <v/>
      </c>
      <c r="L462" s="149"/>
      <c r="M462" s="195"/>
      <c r="N462" s="149"/>
      <c r="O462" s="323" t="s">
        <v>280</v>
      </c>
      <c r="P462" s="402"/>
      <c r="Q462" s="522" t="str">
        <f>IF(AB114="","",AB114)</f>
        <v/>
      </c>
      <c r="R462" s="402"/>
      <c r="S462" s="522" t="str">
        <f>IF(AB120="","",AB120)</f>
        <v/>
      </c>
      <c r="T462" s="402"/>
      <c r="U462" s="522" t="str">
        <f>IF(AB126="","",AB126)</f>
        <v/>
      </c>
      <c r="V462" s="239"/>
      <c r="W462" s="165"/>
      <c r="X462" s="239"/>
      <c r="Y462" s="324"/>
    </row>
    <row r="463" spans="1:25">
      <c r="A463" s="145">
        <v>55</v>
      </c>
      <c r="B463" s="193"/>
      <c r="C463" s="486" t="s">
        <v>342</v>
      </c>
      <c r="D463" s="487">
        <f>Q419</f>
        <v>0.27</v>
      </c>
      <c r="E463" s="487">
        <f>R419</f>
        <v>0.28000000000000003</v>
      </c>
      <c r="F463" s="487">
        <f>S419</f>
        <v>0.31000000000000005</v>
      </c>
      <c r="G463" s="487">
        <f>T419</f>
        <v>0.35</v>
      </c>
      <c r="H463" s="487">
        <f>U419</f>
        <v>0.31000000000000005</v>
      </c>
      <c r="I463" s="487">
        <f>V419</f>
        <v>0.32999999999999996</v>
      </c>
      <c r="J463" s="487">
        <f>W419</f>
        <v>0.35</v>
      </c>
      <c r="K463" s="198">
        <f>X419</f>
        <v>0.37</v>
      </c>
      <c r="L463" s="149"/>
      <c r="M463" s="195"/>
      <c r="N463" s="149"/>
      <c r="O463" s="344"/>
      <c r="P463" s="239"/>
      <c r="Q463" s="239"/>
      <c r="R463" s="239"/>
      <c r="S463" s="239"/>
      <c r="T463" s="239"/>
      <c r="U463" s="239"/>
      <c r="V463" s="239"/>
      <c r="W463" s="239"/>
      <c r="X463" s="239"/>
      <c r="Y463" s="324"/>
    </row>
    <row r="464" spans="1:25" ht="16.2" thickBot="1">
      <c r="A464" s="145">
        <v>56</v>
      </c>
      <c r="B464" s="193"/>
      <c r="C464" s="489" t="s">
        <v>343</v>
      </c>
      <c r="D464" s="407">
        <f>Q420</f>
        <v>0.36</v>
      </c>
      <c r="E464" s="407">
        <f>R420</f>
        <v>0.37</v>
      </c>
      <c r="F464" s="407">
        <f>S420</f>
        <v>0.4</v>
      </c>
      <c r="G464" s="407">
        <f>T420</f>
        <v>0.44</v>
      </c>
      <c r="H464" s="407">
        <f>U420</f>
        <v>0.47000000000000003</v>
      </c>
      <c r="I464" s="407">
        <f>V420</f>
        <v>0.49</v>
      </c>
      <c r="J464" s="407">
        <f>W420</f>
        <v>0.51</v>
      </c>
      <c r="K464" s="253">
        <f>X420</f>
        <v>0.53</v>
      </c>
      <c r="L464" s="149"/>
      <c r="M464" s="195"/>
      <c r="N464" s="149"/>
      <c r="O464" s="344"/>
      <c r="P464" s="246" t="s">
        <v>163</v>
      </c>
      <c r="Q464" s="156" t="s">
        <v>286</v>
      </c>
      <c r="R464" s="239"/>
      <c r="S464" s="239"/>
      <c r="T464" s="239"/>
      <c r="U464" s="239"/>
      <c r="V464" s="239"/>
      <c r="W464" s="239"/>
      <c r="X464" s="239"/>
      <c r="Y464" s="324"/>
    </row>
    <row r="465" spans="1:25" ht="16.2" thickBot="1">
      <c r="A465" s="145">
        <v>57</v>
      </c>
      <c r="B465" s="193"/>
      <c r="C465" s="165" t="s">
        <v>180</v>
      </c>
      <c r="D465" s="367" t="str">
        <f>Q421</f>
        <v/>
      </c>
      <c r="E465" s="368" t="str">
        <f>R421</f>
        <v/>
      </c>
      <c r="F465" s="368" t="str">
        <f>S421</f>
        <v/>
      </c>
      <c r="G465" s="368" t="str">
        <f>T421</f>
        <v/>
      </c>
      <c r="H465" s="368" t="str">
        <f>U421</f>
        <v/>
      </c>
      <c r="I465" s="368" t="str">
        <f>V421</f>
        <v/>
      </c>
      <c r="J465" s="368" t="str">
        <f>W421</f>
        <v/>
      </c>
      <c r="K465" s="370" t="str">
        <f>X421</f>
        <v/>
      </c>
      <c r="L465" s="149"/>
      <c r="M465" s="195"/>
      <c r="N465" s="149"/>
      <c r="O465" s="170"/>
      <c r="P465" s="171"/>
      <c r="Q465" s="384" t="s">
        <v>288</v>
      </c>
      <c r="R465" s="171"/>
      <c r="S465" s="171"/>
      <c r="T465" s="171"/>
      <c r="U465" s="171"/>
      <c r="V465" s="171"/>
      <c r="W465" s="171"/>
      <c r="X465" s="171"/>
      <c r="Y465" s="172"/>
    </row>
    <row r="466" spans="1:25">
      <c r="A466" s="145">
        <v>58</v>
      </c>
      <c r="B466" s="193"/>
      <c r="C466" s="149"/>
      <c r="D466" s="239"/>
      <c r="E466" s="239"/>
      <c r="F466" s="149"/>
      <c r="G466" s="149"/>
      <c r="H466" s="149"/>
      <c r="I466" s="149"/>
      <c r="J466" s="149"/>
      <c r="K466" s="149"/>
      <c r="L466" s="149"/>
      <c r="M466" s="195"/>
      <c r="O466" s="281" t="s">
        <v>354</v>
      </c>
      <c r="P466" s="149"/>
      <c r="Q466" s="149"/>
      <c r="R466" s="149"/>
      <c r="S466" s="149"/>
      <c r="T466" s="149"/>
      <c r="U466" s="149"/>
      <c r="V466" s="149"/>
      <c r="W466" s="149"/>
      <c r="X466" s="149"/>
      <c r="Y466" s="161"/>
    </row>
    <row r="467" spans="1:25">
      <c r="A467" s="145">
        <v>59</v>
      </c>
      <c r="B467" s="193"/>
      <c r="C467" s="485" t="s">
        <v>48</v>
      </c>
      <c r="D467" s="485" t="str">
        <f>$P$378&amp;"/"&amp;$Q$378</f>
        <v>/</v>
      </c>
      <c r="E467" s="485" t="str">
        <f>$P$378&amp;"/"&amp;$Q$378</f>
        <v>/</v>
      </c>
      <c r="F467" s="485" t="str">
        <f>$P$378&amp;"/"&amp;$Q$378</f>
        <v>/</v>
      </c>
      <c r="G467" s="485" t="str">
        <f>$P$378&amp;"/"&amp;$Q$378</f>
        <v>/</v>
      </c>
      <c r="H467" s="485" t="str">
        <f>$P$378&amp;"/"&amp;$Q$378</f>
        <v>/</v>
      </c>
      <c r="I467" s="149"/>
      <c r="J467" s="149"/>
      <c r="K467" s="149"/>
      <c r="L467" s="149"/>
      <c r="M467" s="195"/>
      <c r="O467" s="159"/>
      <c r="P467" s="149"/>
      <c r="Q467" s="149"/>
      <c r="R467" s="149"/>
      <c r="S467" s="149"/>
      <c r="T467" s="149" t="s">
        <v>355</v>
      </c>
      <c r="U467" s="149" t="s">
        <v>356</v>
      </c>
      <c r="V467" s="149"/>
      <c r="W467" s="149"/>
      <c r="X467" s="149"/>
      <c r="Y467" s="161"/>
    </row>
    <row r="468" spans="1:25" ht="16.2" thickBot="1">
      <c r="A468" s="145">
        <v>60</v>
      </c>
      <c r="B468" s="193"/>
      <c r="C468" s="228" t="s">
        <v>240</v>
      </c>
      <c r="D468" s="228">
        <f>Q426</f>
        <v>28</v>
      </c>
      <c r="E468" s="228">
        <f>R426</f>
        <v>30</v>
      </c>
      <c r="F468" s="228">
        <f>S426</f>
        <v>32</v>
      </c>
      <c r="G468" s="228">
        <f>T426</f>
        <v>34</v>
      </c>
      <c r="H468" s="228">
        <f>U426</f>
        <v>38</v>
      </c>
      <c r="I468" s="149"/>
      <c r="J468" s="149"/>
      <c r="K468" s="149"/>
      <c r="L468" s="149"/>
      <c r="M468" s="195"/>
      <c r="O468" s="159"/>
      <c r="P468" s="165" t="s">
        <v>177</v>
      </c>
      <c r="Q468" s="609">
        <f>T291</f>
        <v>0</v>
      </c>
      <c r="R468" s="165"/>
      <c r="S468" s="165" t="s">
        <v>357</v>
      </c>
      <c r="T468" s="421" t="e">
        <f>AVERAGE(AC295:AC298)</f>
        <v>#DIV/0!</v>
      </c>
      <c r="U468" s="421" t="e">
        <f>AVERAGE(AD295:AD298)</f>
        <v>#DIV/0!</v>
      </c>
      <c r="V468" s="149"/>
      <c r="W468" s="149"/>
      <c r="X468" s="149"/>
      <c r="Y468" s="161"/>
    </row>
    <row r="469" spans="1:25">
      <c r="A469" s="145">
        <v>61</v>
      </c>
      <c r="B469" s="193"/>
      <c r="C469" s="486" t="s">
        <v>340</v>
      </c>
      <c r="D469" s="487" t="str">
        <f>IF(Q430="","",Q430)</f>
        <v/>
      </c>
      <c r="E469" s="487" t="str">
        <f>IF(R430="","",R430)</f>
        <v/>
      </c>
      <c r="F469" s="487" t="str">
        <f>IF(S430="","",S430)</f>
        <v/>
      </c>
      <c r="G469" s="487" t="str">
        <f>IF(T430="","",T430)</f>
        <v/>
      </c>
      <c r="H469" s="487" t="str">
        <f>IF(U430="","",U430)</f>
        <v/>
      </c>
      <c r="I469" s="149"/>
      <c r="J469" s="149"/>
      <c r="K469" s="149"/>
      <c r="L469" s="149"/>
      <c r="M469" s="195"/>
      <c r="O469" s="159"/>
      <c r="P469" s="165" t="s">
        <v>178</v>
      </c>
      <c r="Q469" s="609">
        <f>Q298</f>
        <v>0</v>
      </c>
      <c r="R469" s="165"/>
      <c r="S469" s="165" t="s">
        <v>358</v>
      </c>
      <c r="T469" s="421" t="e">
        <f>AVERAGE(AA295:AA298)</f>
        <v>#DIV/0!</v>
      </c>
      <c r="U469" s="421" t="e">
        <f>AVERAGE(AB295:AB298)</f>
        <v>#DIV/0!</v>
      </c>
      <c r="V469" s="149"/>
      <c r="W469" s="149"/>
      <c r="X469" s="149"/>
      <c r="Y469" s="161"/>
    </row>
    <row r="470" spans="1:25" ht="16.2" thickBot="1">
      <c r="A470" s="145">
        <v>62</v>
      </c>
      <c r="B470" s="193"/>
      <c r="C470" s="489" t="s">
        <v>341</v>
      </c>
      <c r="D470" s="361" t="str">
        <f>IF(Q431="","",Q431)</f>
        <v/>
      </c>
      <c r="E470" s="361" t="str">
        <f>IF(R431="","",R431)</f>
        <v/>
      </c>
      <c r="F470" s="361" t="str">
        <f>IF(S431="","",S431)</f>
        <v/>
      </c>
      <c r="G470" s="361" t="str">
        <f>IF(T431="","",T431)</f>
        <v/>
      </c>
      <c r="H470" s="361" t="str">
        <f>IF(U431="","",U431)</f>
        <v/>
      </c>
      <c r="I470" s="149"/>
      <c r="J470" s="149"/>
      <c r="K470" s="149"/>
      <c r="L470" s="149"/>
      <c r="M470" s="195"/>
      <c r="O470" s="159"/>
      <c r="P470" s="165" t="s">
        <v>29</v>
      </c>
      <c r="Q470" s="518"/>
      <c r="R470" s="149"/>
      <c r="S470" s="149"/>
      <c r="T470" s="149"/>
      <c r="U470" s="149"/>
      <c r="V470" s="149"/>
      <c r="W470" s="149"/>
      <c r="X470" s="149"/>
      <c r="Y470" s="161"/>
    </row>
    <row r="471" spans="1:25" ht="16.2" thickBot="1">
      <c r="A471" s="145">
        <v>63</v>
      </c>
      <c r="B471" s="193"/>
      <c r="C471" s="486" t="s">
        <v>342</v>
      </c>
      <c r="D471" s="487">
        <f>IF(Q432="","",Q432)</f>
        <v>0.31000000000000005</v>
      </c>
      <c r="E471" s="487">
        <f>IF(R432="","",R432)</f>
        <v>0.32999999999999996</v>
      </c>
      <c r="F471" s="487">
        <f>IF(S432="","",S432)</f>
        <v>0.35</v>
      </c>
      <c r="G471" s="487">
        <f>IF(T432="","",T432)</f>
        <v>0.37</v>
      </c>
      <c r="H471" s="487">
        <f>IF(U432="","",U432)</f>
        <v>0.41000000000000003</v>
      </c>
      <c r="I471" s="149"/>
      <c r="J471" s="149"/>
      <c r="K471" s="149"/>
      <c r="L471" s="149"/>
      <c r="M471" s="195"/>
      <c r="O471" s="159"/>
      <c r="P471" s="165" t="s">
        <v>31</v>
      </c>
      <c r="Q471" s="518"/>
      <c r="R471" s="149"/>
      <c r="S471" s="149"/>
      <c r="T471" s="613" t="s">
        <v>313</v>
      </c>
      <c r="U471" s="613" t="s">
        <v>314</v>
      </c>
      <c r="V471" s="613" t="s">
        <v>255</v>
      </c>
      <c r="W471" s="149" t="s">
        <v>256</v>
      </c>
      <c r="X471" s="149"/>
      <c r="Y471" s="161"/>
    </row>
    <row r="472" spans="1:25" ht="16.2" thickBot="1">
      <c r="A472" s="145">
        <v>64</v>
      </c>
      <c r="B472" s="193"/>
      <c r="C472" s="489" t="s">
        <v>343</v>
      </c>
      <c r="D472" s="407">
        <f>IF(Q433="","",Q433)</f>
        <v>0.4</v>
      </c>
      <c r="E472" s="407">
        <f>IF(R433="","",R433)</f>
        <v>0.42</v>
      </c>
      <c r="F472" s="407">
        <f>IF(S433="","",S433)</f>
        <v>0.44</v>
      </c>
      <c r="G472" s="407">
        <f>IF(T433="","",T433)</f>
        <v>0.46</v>
      </c>
      <c r="H472" s="407">
        <f>IF(U433="","",U433)</f>
        <v>0.57000000000000006</v>
      </c>
      <c r="I472" s="149"/>
      <c r="J472" s="149"/>
      <c r="K472" s="149"/>
      <c r="L472" s="149"/>
      <c r="M472" s="195"/>
      <c r="O472" s="159"/>
      <c r="P472" s="149"/>
      <c r="Q472" s="149"/>
      <c r="R472" s="149"/>
      <c r="S472" s="165" t="s">
        <v>315</v>
      </c>
      <c r="T472" s="456" t="e">
        <f>IF(OR(T469="",U469=""),"",(T469-50)/U469)</f>
        <v>#DIV/0!</v>
      </c>
      <c r="U472" s="523" t="str">
        <f>IF(AB128="","",AB128)</f>
        <v/>
      </c>
      <c r="V472" s="346" t="e">
        <f>IF(OR(T472="",U472=""),"",(T472-U472)/U472)</f>
        <v>#DIV/0!</v>
      </c>
      <c r="W472" s="457" t="e">
        <f>IF(T472&gt;=40,"Pass","Fail")</f>
        <v>#DIV/0!</v>
      </c>
      <c r="X472" s="149"/>
      <c r="Y472" s="161"/>
    </row>
    <row r="473" spans="1:25" ht="16.2" thickBot="1">
      <c r="A473" s="145">
        <v>65</v>
      </c>
      <c r="B473" s="193"/>
      <c r="C473" s="165" t="s">
        <v>180</v>
      </c>
      <c r="D473" s="367" t="str">
        <f>IF($O$34=2,"NA",IF(Q434="","",Q434))</f>
        <v/>
      </c>
      <c r="E473" s="368" t="str">
        <f>IF($O$34=2,"NA",IF(R434="","",R434))</f>
        <v/>
      </c>
      <c r="F473" s="368" t="str">
        <f>IF($O$34=2,"NA",IF(S434="","",S434))</f>
        <v/>
      </c>
      <c r="G473" s="368" t="str">
        <f>IF($O$34=2,"NA",IF(T434="","",T434))</f>
        <v/>
      </c>
      <c r="H473" s="368" t="str">
        <f>IF($O$34=2,"NA",IF(U434="","",U434))</f>
        <v/>
      </c>
      <c r="I473" s="149"/>
      <c r="J473" s="149"/>
      <c r="K473" s="149"/>
      <c r="L473" s="149"/>
      <c r="M473" s="195"/>
      <c r="O473" s="159"/>
      <c r="P473" s="149"/>
      <c r="Q473" s="149"/>
      <c r="R473" s="149"/>
      <c r="S473" s="165" t="s">
        <v>317</v>
      </c>
      <c r="T473" s="456" t="e">
        <f>IF(OR(T469="",T468=""),"",(T469-T468)/U469)</f>
        <v>#DIV/0!</v>
      </c>
      <c r="U473" s="523" t="str">
        <f>IF(AB129="","",AB129)</f>
        <v/>
      </c>
      <c r="V473" s="346" t="e">
        <f>IF(OR(T473="",U473=""),"",(T473-U473)/U473)</f>
        <v>#DIV/0!</v>
      </c>
      <c r="W473" s="206" t="str">
        <f>IF(U473="","NA",IF(V473&lt;=0.15,"Pass","Fail"))</f>
        <v>NA</v>
      </c>
      <c r="X473" s="149"/>
      <c r="Y473" s="161"/>
    </row>
    <row r="474" spans="1:25" ht="16.2" thickBot="1">
      <c r="A474" s="145">
        <v>66</v>
      </c>
      <c r="B474" s="211"/>
      <c r="C474" s="212"/>
      <c r="D474" s="410" t="s">
        <v>163</v>
      </c>
      <c r="E474" s="168" t="str">
        <f>IF(V21="W",Q436,Q435)</f>
        <v>Mo/Rh targets – HVL is between the minimum and maximum limits</v>
      </c>
      <c r="F474" s="212"/>
      <c r="G474" s="212"/>
      <c r="H474" s="212"/>
      <c r="I474" s="212"/>
      <c r="J474" s="212"/>
      <c r="K474" s="212"/>
      <c r="L474" s="212"/>
      <c r="M474" s="213"/>
      <c r="O474" s="159"/>
      <c r="P474" s="246" t="s">
        <v>163</v>
      </c>
      <c r="Q474" s="317" t="s">
        <v>318</v>
      </c>
      <c r="R474" s="194"/>
      <c r="S474" s="194"/>
      <c r="T474" s="194"/>
      <c r="U474" s="194"/>
      <c r="V474" s="194"/>
      <c r="W474" s="194"/>
      <c r="X474" s="194"/>
      <c r="Y474" s="161"/>
    </row>
    <row r="475" spans="1:25" ht="16.2" thickTop="1">
      <c r="A475" s="145">
        <v>67</v>
      </c>
      <c r="C475" s="241" t="s">
        <v>3</v>
      </c>
      <c r="D475" s="242" t="str">
        <f>IF($P$7="","",$P$7)</f>
        <v/>
      </c>
      <c r="E475" s="156"/>
      <c r="F475" s="156"/>
      <c r="G475" s="156"/>
      <c r="H475" s="156"/>
      <c r="I475" s="156"/>
      <c r="J475" s="156"/>
      <c r="K475" s="156"/>
      <c r="L475" s="241" t="s">
        <v>4</v>
      </c>
      <c r="M475" s="243" t="str">
        <f>IF($X$7="","",$X$7)</f>
        <v>Eugene Mah</v>
      </c>
      <c r="O475" s="159"/>
      <c r="P475" s="149"/>
      <c r="Q475" s="156" t="s">
        <v>319</v>
      </c>
      <c r="R475" s="149"/>
      <c r="S475" s="149"/>
      <c r="T475" s="149"/>
      <c r="U475" s="149"/>
      <c r="V475" s="149"/>
      <c r="W475" s="149"/>
      <c r="X475" s="149"/>
      <c r="Y475" s="161"/>
    </row>
    <row r="476" spans="1:25" ht="16.2" thickBot="1">
      <c r="A476" s="145">
        <v>68</v>
      </c>
      <c r="C476" s="241" t="s">
        <v>91</v>
      </c>
      <c r="D476" s="244" t="str">
        <f>IF($R$14="","",$R$14)</f>
        <v/>
      </c>
      <c r="E476" s="156"/>
      <c r="F476" s="156"/>
      <c r="G476" s="156"/>
      <c r="H476" s="156"/>
      <c r="I476" s="156"/>
      <c r="J476" s="156"/>
      <c r="K476" s="156"/>
      <c r="L476" s="241" t="s">
        <v>16</v>
      </c>
      <c r="M476" s="243" t="str">
        <f>IF($R$13="","",$R$13)</f>
        <v/>
      </c>
      <c r="O476" s="170"/>
      <c r="P476" s="171"/>
      <c r="Q476" s="171"/>
      <c r="R476" s="171"/>
      <c r="S476" s="171"/>
      <c r="T476" s="171"/>
      <c r="U476" s="171"/>
      <c r="V476" s="171"/>
      <c r="W476" s="171"/>
      <c r="X476" s="171"/>
      <c r="Y476" s="172"/>
    </row>
    <row r="477" spans="1:25">
      <c r="O477" s="524"/>
      <c r="P477" s="525"/>
      <c r="Q477" s="525"/>
      <c r="R477" s="525"/>
      <c r="S477" s="526" t="s">
        <v>359</v>
      </c>
      <c r="T477" s="525"/>
      <c r="U477" s="525"/>
      <c r="V477" s="525"/>
      <c r="W477" s="525"/>
      <c r="X477" s="525"/>
      <c r="Y477" s="527"/>
    </row>
    <row r="478" spans="1:25">
      <c r="O478" s="431"/>
      <c r="P478" s="241" t="s">
        <v>181</v>
      </c>
      <c r="Q478" s="528"/>
      <c r="R478" s="529"/>
      <c r="S478" s="530" t="str">
        <f>IF(AB131="","",AB131)</f>
        <v/>
      </c>
      <c r="T478" s="531"/>
      <c r="U478" s="531"/>
      <c r="V478" s="210"/>
      <c r="W478" s="156"/>
      <c r="X478" s="531"/>
      <c r="Y478" s="509"/>
    </row>
    <row r="479" spans="1:25">
      <c r="O479" s="431"/>
      <c r="P479" s="532" t="s">
        <v>182</v>
      </c>
      <c r="Q479" s="533"/>
      <c r="R479" s="534">
        <f>LEN(Q478)</f>
        <v>0</v>
      </c>
      <c r="S479" s="535"/>
      <c r="T479" s="535"/>
      <c r="U479" s="536" t="s">
        <v>360</v>
      </c>
      <c r="V479" s="535"/>
      <c r="W479" s="535"/>
      <c r="X479" s="535"/>
      <c r="Y479" s="509"/>
    </row>
    <row r="480" spans="1:25">
      <c r="O480" s="431"/>
      <c r="P480" s="241" t="s">
        <v>361</v>
      </c>
      <c r="Q480" s="528"/>
      <c r="R480" s="529"/>
      <c r="S480" s="530" t="str">
        <f>IF(AB133="","",AB133)</f>
        <v/>
      </c>
      <c r="T480" s="531"/>
      <c r="U480" s="531"/>
      <c r="V480" s="210"/>
      <c r="W480" s="156"/>
      <c r="X480" s="531"/>
      <c r="Y480" s="509"/>
    </row>
    <row r="481" spans="15:25">
      <c r="O481" s="431"/>
      <c r="P481" s="532" t="s">
        <v>182</v>
      </c>
      <c r="Q481" s="533"/>
      <c r="R481" s="534">
        <f>LEN(Q480)</f>
        <v>0</v>
      </c>
      <c r="S481" s="535"/>
      <c r="T481" s="535"/>
      <c r="U481" s="536" t="s">
        <v>362</v>
      </c>
      <c r="V481" s="535"/>
      <c r="W481" s="535"/>
      <c r="X481" s="535"/>
      <c r="Y481" s="509"/>
    </row>
    <row r="482" spans="15:25">
      <c r="O482" s="431"/>
      <c r="P482" s="241" t="s">
        <v>361</v>
      </c>
      <c r="Q482" s="528"/>
      <c r="R482" s="529"/>
      <c r="S482" s="530" t="str">
        <f>IF(AB135="","",AB135)</f>
        <v/>
      </c>
      <c r="T482" s="531"/>
      <c r="U482" s="531"/>
      <c r="V482" s="210"/>
      <c r="W482" s="156"/>
      <c r="X482" s="531"/>
      <c r="Y482" s="509"/>
    </row>
    <row r="483" spans="15:25">
      <c r="O483" s="431"/>
      <c r="P483" s="532" t="s">
        <v>182</v>
      </c>
      <c r="Q483" s="533"/>
      <c r="R483" s="534">
        <f>LEN(Q482)</f>
        <v>0</v>
      </c>
      <c r="S483" s="535"/>
      <c r="T483" s="535"/>
      <c r="U483" s="536" t="s">
        <v>363</v>
      </c>
      <c r="V483" s="535"/>
      <c r="W483" s="535"/>
      <c r="X483" s="535"/>
      <c r="Y483" s="509"/>
    </row>
    <row r="484" spans="15:25">
      <c r="O484" s="431"/>
      <c r="P484" s="241" t="s">
        <v>361</v>
      </c>
      <c r="Q484" s="528"/>
      <c r="R484" s="529"/>
      <c r="S484" s="530" t="str">
        <f>IF(AB137="","",AB137)</f>
        <v/>
      </c>
      <c r="T484" s="531"/>
      <c r="U484" s="531"/>
      <c r="V484" s="210"/>
      <c r="W484" s="156"/>
      <c r="X484" s="531"/>
      <c r="Y484" s="509"/>
    </row>
    <row r="485" spans="15:25">
      <c r="O485" s="431"/>
      <c r="P485" s="532" t="s">
        <v>182</v>
      </c>
      <c r="Q485" s="533"/>
      <c r="R485" s="534">
        <f>LEN(Q484)</f>
        <v>0</v>
      </c>
      <c r="S485" s="535"/>
      <c r="T485" s="535"/>
      <c r="U485" s="536" t="s">
        <v>364</v>
      </c>
      <c r="V485" s="535"/>
      <c r="W485" s="535"/>
      <c r="X485" s="535"/>
      <c r="Y485" s="509"/>
    </row>
    <row r="486" spans="15:25">
      <c r="O486" s="431"/>
      <c r="P486" s="241" t="s">
        <v>361</v>
      </c>
      <c r="Q486" s="528"/>
      <c r="R486" s="529"/>
      <c r="S486" s="530" t="str">
        <f>IF(AB139="","",AB139)</f>
        <v/>
      </c>
      <c r="T486" s="531"/>
      <c r="U486" s="531"/>
      <c r="V486" s="210"/>
      <c r="W486" s="156"/>
      <c r="X486" s="531"/>
      <c r="Y486" s="509"/>
    </row>
    <row r="487" spans="15:25">
      <c r="O487" s="431"/>
      <c r="P487" s="532" t="s">
        <v>182</v>
      </c>
      <c r="Q487" s="533"/>
      <c r="R487" s="534">
        <f>LEN(Q486)</f>
        <v>0</v>
      </c>
      <c r="S487" s="535"/>
      <c r="T487" s="535"/>
      <c r="U487" s="536" t="s">
        <v>365</v>
      </c>
      <c r="V487" s="535"/>
      <c r="W487" s="535"/>
      <c r="X487" s="535"/>
      <c r="Y487" s="509"/>
    </row>
    <row r="488" spans="15:25">
      <c r="O488" s="431"/>
      <c r="P488" s="241" t="s">
        <v>361</v>
      </c>
      <c r="Q488" s="528"/>
      <c r="R488" s="529"/>
      <c r="S488" s="530" t="str">
        <f>IF(AB141="","",AB141)</f>
        <v/>
      </c>
      <c r="T488" s="531"/>
      <c r="U488" s="531"/>
      <c r="V488" s="210"/>
      <c r="W488" s="156"/>
      <c r="X488" s="531"/>
      <c r="Y488" s="509"/>
    </row>
    <row r="489" spans="15:25">
      <c r="O489" s="431"/>
      <c r="P489" s="532" t="s">
        <v>182</v>
      </c>
      <c r="Q489" s="533"/>
      <c r="R489" s="534">
        <f>LEN(Q488)</f>
        <v>0</v>
      </c>
      <c r="S489" s="535"/>
      <c r="T489" s="535"/>
      <c r="U489" s="535"/>
      <c r="V489" s="535"/>
      <c r="W489" s="535"/>
      <c r="X489" s="535"/>
      <c r="Y489" s="509"/>
    </row>
    <row r="490" spans="15:25">
      <c r="O490" s="431"/>
      <c r="P490" s="241" t="s">
        <v>361</v>
      </c>
      <c r="Q490" s="528"/>
      <c r="R490" s="529"/>
      <c r="S490" s="530" t="str">
        <f>IF(AB143="","",AB143)</f>
        <v/>
      </c>
      <c r="T490" s="531"/>
      <c r="U490" s="531"/>
      <c r="V490" s="210"/>
      <c r="W490" s="156"/>
      <c r="X490" s="531"/>
      <c r="Y490" s="509"/>
    </row>
    <row r="491" spans="15:25">
      <c r="O491" s="431"/>
      <c r="P491" s="532" t="s">
        <v>182</v>
      </c>
      <c r="Q491" s="533"/>
      <c r="R491" s="534">
        <f>LEN(Q490)</f>
        <v>0</v>
      </c>
      <c r="S491" s="535"/>
      <c r="T491" s="535"/>
      <c r="U491" s="535"/>
      <c r="V491" s="535"/>
      <c r="W491" s="535"/>
      <c r="X491" s="535"/>
      <c r="Y491" s="509"/>
    </row>
    <row r="492" spans="15:25">
      <c r="O492" s="431"/>
      <c r="P492" s="241" t="s">
        <v>361</v>
      </c>
      <c r="Q492" s="528"/>
      <c r="R492" s="529"/>
      <c r="S492" s="530" t="str">
        <f>IF(AB145="","",AB145)</f>
        <v/>
      </c>
      <c r="T492" s="531"/>
      <c r="U492" s="531"/>
      <c r="V492" s="210"/>
      <c r="W492" s="156"/>
      <c r="X492" s="531"/>
      <c r="Y492" s="509"/>
    </row>
    <row r="493" spans="15:25">
      <c r="O493" s="431"/>
      <c r="P493" s="532" t="s">
        <v>182</v>
      </c>
      <c r="Q493" s="533"/>
      <c r="R493" s="534">
        <f>LEN(Q492)</f>
        <v>0</v>
      </c>
      <c r="S493" s="535"/>
      <c r="T493" s="535"/>
      <c r="U493" s="535"/>
      <c r="V493" s="535"/>
      <c r="W493" s="535"/>
      <c r="X493" s="535"/>
      <c r="Y493" s="509"/>
    </row>
    <row r="494" spans="15:25">
      <c r="O494" s="431"/>
      <c r="P494" s="241" t="s">
        <v>361</v>
      </c>
      <c r="Q494" s="528"/>
      <c r="R494" s="529"/>
      <c r="S494" s="530" t="str">
        <f>IF(AB147="","",AB147)</f>
        <v/>
      </c>
      <c r="T494" s="531"/>
      <c r="U494" s="531"/>
      <c r="V494" s="210"/>
      <c r="W494" s="156"/>
      <c r="X494" s="531"/>
      <c r="Y494" s="509"/>
    </row>
    <row r="495" spans="15:25">
      <c r="O495" s="431"/>
      <c r="P495" s="532" t="s">
        <v>182</v>
      </c>
      <c r="Q495" s="533"/>
      <c r="R495" s="534">
        <f>LEN(Q494)</f>
        <v>0</v>
      </c>
      <c r="S495" s="535"/>
      <c r="T495" s="535"/>
      <c r="U495" s="535"/>
      <c r="V495" s="535"/>
      <c r="W495" s="535"/>
      <c r="X495" s="535"/>
      <c r="Y495" s="509"/>
    </row>
    <row r="496" spans="15:25" ht="16.2" thickBot="1">
      <c r="O496" s="537"/>
      <c r="P496" s="440"/>
      <c r="Q496" s="440"/>
      <c r="R496" s="440"/>
      <c r="S496" s="440"/>
      <c r="T496" s="440"/>
      <c r="U496" s="440"/>
      <c r="V496" s="440"/>
      <c r="W496" s="440"/>
      <c r="X496" s="440"/>
      <c r="Y496" s="538"/>
    </row>
  </sheetData>
  <mergeCells count="71">
    <mergeCell ref="K284:L284"/>
    <mergeCell ref="E373:I373"/>
    <mergeCell ref="E384:I384"/>
    <mergeCell ref="D189:I189"/>
    <mergeCell ref="I411:J411"/>
    <mergeCell ref="I412:J412"/>
    <mergeCell ref="D284:E284"/>
    <mergeCell ref="G284:H284"/>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236" priority="139" operator="lessThan">
      <formula>0.02</formula>
    </cfRule>
    <cfRule type="cellIs" dxfId="235" priority="140" operator="greaterThan">
      <formula>0.02</formula>
    </cfRule>
  </conditionalFormatting>
  <conditionalFormatting sqref="P207:U210">
    <cfRule type="cellIs" dxfId="234" priority="136" operator="between">
      <formula>0.02</formula>
      <formula>-0.02</formula>
    </cfRule>
    <cfRule type="cellIs" dxfId="233" priority="137" operator="lessThan">
      <formula>-0.02</formula>
    </cfRule>
    <cfRule type="cellIs" dxfId="232" priority="138" operator="greaterThan">
      <formula>0.02</formula>
    </cfRule>
  </conditionalFormatting>
  <conditionalFormatting sqref="P211:U211">
    <cfRule type="cellIs" dxfId="231" priority="133" operator="lessThan">
      <formula>-0.01</formula>
    </cfRule>
    <cfRule type="cellIs" dxfId="230" priority="134" operator="greaterThan">
      <formula>0.01</formula>
    </cfRule>
    <cfRule type="cellIs" dxfId="229" priority="135" operator="between">
      <formula>-0.01</formula>
      <formula>0.01</formula>
    </cfRule>
  </conditionalFormatting>
  <conditionalFormatting sqref="W236:W243">
    <cfRule type="cellIs" dxfId="228" priority="131" operator="lessThan">
      <formula>0.1</formula>
    </cfRule>
    <cfRule type="cellIs" dxfId="227" priority="132" operator="greaterThan">
      <formula>0.1</formula>
    </cfRule>
  </conditionalFormatting>
  <conditionalFormatting sqref="W251:W257">
    <cfRule type="cellIs" dxfId="226" priority="129" operator="lessThan">
      <formula>0.1</formula>
    </cfRule>
    <cfRule type="cellIs" dxfId="225" priority="130" operator="greaterThan">
      <formula>0.1</formula>
    </cfRule>
  </conditionalFormatting>
  <conditionalFormatting sqref="V265">
    <cfRule type="cellIs" dxfId="224" priority="42" operator="notBetween">
      <formula>$X$265</formula>
      <formula>$Y$265</formula>
    </cfRule>
    <cfRule type="cellIs" dxfId="223" priority="128" operator="between">
      <formula>$X$265</formula>
      <formula>$Y$265</formula>
    </cfRule>
  </conditionalFormatting>
  <conditionalFormatting sqref="V266">
    <cfRule type="cellIs" dxfId="222" priority="41" operator="notBetween">
      <formula>$X$266</formula>
      <formula>$Y$266</formula>
    </cfRule>
    <cfRule type="cellIs" dxfId="221" priority="127" operator="between">
      <formula>$X$266</formula>
      <formula>$Y$266</formula>
    </cfRule>
  </conditionalFormatting>
  <conditionalFormatting sqref="V267">
    <cfRule type="cellIs" dxfId="220" priority="40" operator="notBetween">
      <formula>$X$267</formula>
      <formula>$Y$267</formula>
    </cfRule>
    <cfRule type="cellIs" dxfId="219" priority="126" operator="between">
      <formula>$X$267</formula>
      <formula>$Y$267</formula>
    </cfRule>
  </conditionalFormatting>
  <conditionalFormatting sqref="V269">
    <cfRule type="cellIs" dxfId="218" priority="39" operator="notBetween">
      <formula>$X$269</formula>
      <formula>$Y$269</formula>
    </cfRule>
    <cfRule type="cellIs" dxfId="217" priority="125" operator="between">
      <formula>$X$269</formula>
      <formula>$Y$269</formula>
    </cfRule>
  </conditionalFormatting>
  <conditionalFormatting sqref="V270">
    <cfRule type="cellIs" dxfId="216" priority="38" operator="notBetween">
      <formula>$X$270</formula>
      <formula>$Y$270</formula>
    </cfRule>
    <cfRule type="cellIs" dxfId="215" priority="124" operator="between">
      <formula>$X$270</formula>
      <formula>$Y$270</formula>
    </cfRule>
  </conditionalFormatting>
  <conditionalFormatting sqref="V271">
    <cfRule type="cellIs" dxfId="214" priority="37" operator="notBetween">
      <formula>$X$271</formula>
      <formula>$Y$271</formula>
    </cfRule>
    <cfRule type="cellIs" dxfId="213" priority="123" operator="between">
      <formula>$X$271</formula>
      <formula>$Y$271</formula>
    </cfRule>
  </conditionalFormatting>
  <conditionalFormatting sqref="V272">
    <cfRule type="cellIs" dxfId="212" priority="36" operator="notBetween">
      <formula>$X$272</formula>
      <formula>$Y$272</formula>
    </cfRule>
    <cfRule type="cellIs" dxfId="211" priority="122" operator="between">
      <formula>$X$272</formula>
      <formula>$Y$272</formula>
    </cfRule>
  </conditionalFormatting>
  <conditionalFormatting sqref="X297 X312 X332 X344">
    <cfRule type="cellIs" dxfId="210" priority="121" operator="greaterThan">
      <formula>3</formula>
    </cfRule>
  </conditionalFormatting>
  <conditionalFormatting sqref="X302">
    <cfRule type="cellIs" dxfId="209" priority="55" operator="lessThan">
      <formula>0.15</formula>
    </cfRule>
    <cfRule type="cellIs" dxfId="208" priority="120" operator="greaterThan">
      <formula>0.15</formula>
    </cfRule>
  </conditionalFormatting>
  <conditionalFormatting sqref="X349">
    <cfRule type="cellIs" dxfId="207" priority="119" operator="greaterThan">
      <formula>3</formula>
    </cfRule>
  </conditionalFormatting>
  <conditionalFormatting sqref="T395:X395">
    <cfRule type="cellIs" dxfId="206" priority="116" operator="lessThan">
      <formula>-0.02</formula>
    </cfRule>
    <cfRule type="cellIs" dxfId="205" priority="117" operator="greaterThan">
      <formula>0.02</formula>
    </cfRule>
    <cfRule type="cellIs" dxfId="204" priority="118" operator="between">
      <formula>0.02</formula>
      <formula>-0.02</formula>
    </cfRule>
  </conditionalFormatting>
  <conditionalFormatting sqref="W407">
    <cfRule type="cellIs" dxfId="203" priority="114" operator="lessThan">
      <formula>0.1</formula>
    </cfRule>
    <cfRule type="cellIs" dxfId="202" priority="115" operator="greaterThan">
      <formula>0.1</formula>
    </cfRule>
  </conditionalFormatting>
  <conditionalFormatting sqref="U441 P460 R460 Q451:R451 U451:V451">
    <cfRule type="cellIs" dxfId="201" priority="99" operator="lessThan">
      <formula>5</formula>
    </cfRule>
    <cfRule type="cellIs" dxfId="200" priority="100" operator="greaterThanOrEqual">
      <formula>5</formula>
    </cfRule>
  </conditionalFormatting>
  <conditionalFormatting sqref="U442 Q452:R452 U452:V452 P461 R461">
    <cfRule type="cellIs" dxfId="199" priority="97" operator="lessThan">
      <formula>4</formula>
    </cfRule>
    <cfRule type="cellIs" dxfId="198" priority="98" operator="greaterThanOrEqual">
      <formula>4</formula>
    </cfRule>
  </conditionalFormatting>
  <conditionalFormatting sqref="U443 Q453:R453 U453:V453 P462 R462">
    <cfRule type="cellIs" dxfId="197" priority="95" operator="lessThan">
      <formula>4</formula>
    </cfRule>
    <cfRule type="cellIs" dxfId="196" priority="96" operator="greaterThanOrEqual">
      <formula>4</formula>
    </cfRule>
  </conditionalFormatting>
  <conditionalFormatting sqref="T460">
    <cfRule type="cellIs" dxfId="195" priority="93" operator="lessThan">
      <formula>4</formula>
    </cfRule>
    <cfRule type="cellIs" dxfId="194" priority="94" operator="greaterThanOrEqual">
      <formula>4</formula>
    </cfRule>
  </conditionalFormatting>
  <conditionalFormatting sqref="T461:T462">
    <cfRule type="cellIs" dxfId="193" priority="91" operator="lessThan">
      <formula>3</formula>
    </cfRule>
    <cfRule type="cellIs" dxfId="192" priority="92" operator="greaterThanOrEqual">
      <formula>3</formula>
    </cfRule>
  </conditionalFormatting>
  <conditionalFormatting sqref="T472">
    <cfRule type="cellIs" dxfId="191" priority="89" operator="lessThan">
      <formula>40</formula>
    </cfRule>
    <cfRule type="cellIs" dxfId="190" priority="90" operator="greaterThanOrEqual">
      <formula>40</formula>
    </cfRule>
  </conditionalFormatting>
  <conditionalFormatting sqref="V473">
    <cfRule type="cellIs" dxfId="189" priority="86" operator="lessThan">
      <formula>-0.15</formula>
    </cfRule>
    <cfRule type="cellIs" dxfId="188" priority="87" operator="greaterThan">
      <formula>0.15</formula>
    </cfRule>
    <cfRule type="cellIs" dxfId="187" priority="88" operator="between">
      <formula>0.15</formula>
      <formula>-0.15</formula>
    </cfRule>
  </conditionalFormatting>
  <conditionalFormatting sqref="T357">
    <cfRule type="cellIs" dxfId="186" priority="83" operator="between">
      <formula>$R$357*0.95</formula>
      <formula>$R$357*1.05</formula>
    </cfRule>
  </conditionalFormatting>
  <conditionalFormatting sqref="T358">
    <cfRule type="cellIs" dxfId="185" priority="82" operator="between">
      <formula>$R$358*0.95</formula>
      <formula>$R$358*1.05</formula>
    </cfRule>
  </conditionalFormatting>
  <conditionalFormatting sqref="T359">
    <cfRule type="cellIs" dxfId="184" priority="81" operator="between">
      <formula>$R$359*0.95</formula>
      <formula>$R$359*1.05</formula>
    </cfRule>
  </conditionalFormatting>
  <conditionalFormatting sqref="T360">
    <cfRule type="cellIs" dxfId="183" priority="80" operator="between">
      <formula>$R$360*0.95</formula>
      <formula>$R$360*1.05</formula>
    </cfRule>
  </conditionalFormatting>
  <conditionalFormatting sqref="T361">
    <cfRule type="cellIs" dxfId="182" priority="79" operator="between">
      <formula>$R$361*0.95</formula>
      <formula>$R$361*1.05</formula>
    </cfRule>
  </conditionalFormatting>
  <conditionalFormatting sqref="T362">
    <cfRule type="cellIs" dxfId="181" priority="78" operator="between">
      <formula>$R$362*0.95</formula>
      <formula>$R$362*1.05</formula>
    </cfRule>
  </conditionalFormatting>
  <conditionalFormatting sqref="T363">
    <cfRule type="cellIs" dxfId="180" priority="77" operator="between">
      <formula>$R$363*0.95</formula>
      <formula>$R$363*1.05</formula>
    </cfRule>
  </conditionalFormatting>
  <conditionalFormatting sqref="T368">
    <cfRule type="cellIs" dxfId="179" priority="76" operator="between">
      <formula>$R$368*0.95</formula>
      <formula>$R$368*1.05</formula>
    </cfRule>
  </conditionalFormatting>
  <conditionalFormatting sqref="T369">
    <cfRule type="cellIs" dxfId="178" priority="75" operator="between">
      <formula>$R$369*0.95</formula>
      <formula>$R$369*1.05</formula>
    </cfRule>
  </conditionalFormatting>
  <conditionalFormatting sqref="T370">
    <cfRule type="cellIs" dxfId="177" priority="74" operator="between">
      <formula>$R$370*0.95</formula>
      <formula>$R$370*1.05</formula>
    </cfRule>
  </conditionalFormatting>
  <conditionalFormatting sqref="T371">
    <cfRule type="cellIs" dxfId="176" priority="73" operator="between">
      <formula>$R$371*0.95</formula>
      <formula>$R$371*1.05</formula>
    </cfRule>
  </conditionalFormatting>
  <conditionalFormatting sqref="T372">
    <cfRule type="cellIs" dxfId="175" priority="72" operator="between">
      <formula>$R$372*0.95</formula>
      <formula>$R$372*1.05</formula>
    </cfRule>
  </conditionalFormatting>
  <conditionalFormatting sqref="T373">
    <cfRule type="cellIs" dxfId="174" priority="71" operator="between">
      <formula>$R$373*0.95</formula>
      <formula>$R$373*1.05</formula>
    </cfRule>
  </conditionalFormatting>
  <conditionalFormatting sqref="T378">
    <cfRule type="cellIs" dxfId="173" priority="70" operator="between">
      <formula>$R$378*0.95</formula>
      <formula>$R$378*1.05</formula>
    </cfRule>
  </conditionalFormatting>
  <conditionalFormatting sqref="T379">
    <cfRule type="cellIs" dxfId="172" priority="69" operator="between">
      <formula>$R$379*0.95</formula>
      <formula>$R$379*1.05</formula>
    </cfRule>
  </conditionalFormatting>
  <conditionalFormatting sqref="T380">
    <cfRule type="cellIs" dxfId="171" priority="68" operator="between">
      <formula>$R$380*0.95</formula>
      <formula>$R$380*1.05</formula>
    </cfRule>
  </conditionalFormatting>
  <conditionalFormatting sqref="T381">
    <cfRule type="cellIs" dxfId="170" priority="67" operator="between">
      <formula>$R$381*0.95</formula>
      <formula>$R$381*1.05</formula>
    </cfRule>
  </conditionalFormatting>
  <conditionalFormatting sqref="T382">
    <cfRule type="cellIs" dxfId="169" priority="66" operator="between">
      <formula>$R$382*0.95</formula>
      <formula>$R$382*1.05</formula>
    </cfRule>
  </conditionalFormatting>
  <conditionalFormatting sqref="R123:R130">
    <cfRule type="cellIs" dxfId="168" priority="63" operator="lessThan">
      <formula>-0.5</formula>
    </cfRule>
    <cfRule type="cellIs" dxfId="167" priority="64" operator="greaterThan">
      <formula>0.5</formula>
    </cfRule>
    <cfRule type="cellIs" dxfId="166" priority="65" operator="between">
      <formula>0.5</formula>
      <formula>-0.5</formula>
    </cfRule>
  </conditionalFormatting>
  <conditionalFormatting sqref="U169:V169">
    <cfRule type="cellIs" dxfId="165" priority="61" operator="lessThan">
      <formula>160</formula>
    </cfRule>
    <cfRule type="cellIs" dxfId="164" priority="62" operator="greaterThan">
      <formula>160</formula>
    </cfRule>
  </conditionalFormatting>
  <conditionalFormatting sqref="Q142:V142">
    <cfRule type="cellIs" dxfId="163" priority="28" operator="equal">
      <formula>"NO"</formula>
    </cfRule>
    <cfRule type="cellIs" dxfId="162" priority="29" operator="equal">
      <formula>"YES"</formula>
    </cfRule>
    <cfRule type="cellIs" dxfId="161" priority="59" operator="equal">
      <formula>"Fail"</formula>
    </cfRule>
    <cfRule type="cellIs" dxfId="160" priority="60" operator="equal">
      <formula>"Pass"</formula>
    </cfRule>
  </conditionalFormatting>
  <conditionalFormatting sqref="Q227:T227">
    <cfRule type="cellIs" dxfId="159" priority="57" operator="equal">
      <formula>"Fail"</formula>
    </cfRule>
    <cfRule type="cellIs" dxfId="158" priority="58" operator="equal">
      <formula>"Pass"</formula>
    </cfRule>
  </conditionalFormatting>
  <conditionalFormatting sqref="X297 X312 X332 X344 X349">
    <cfRule type="cellIs" dxfId="157" priority="56" operator="lessThan">
      <formula>3</formula>
    </cfRule>
  </conditionalFormatting>
  <conditionalFormatting sqref="Q421:X421 Q434:U434">
    <cfRule type="cellIs" dxfId="156" priority="53" operator="equal">
      <formula>"Fail"</formula>
    </cfRule>
    <cfRule type="cellIs" dxfId="155" priority="54" operator="equal">
      <formula>"Pass"</formula>
    </cfRule>
  </conditionalFormatting>
  <conditionalFormatting sqref="Q154:V154">
    <cfRule type="cellIs" dxfId="154" priority="51" operator="lessThan">
      <formula>0.07</formula>
    </cfRule>
    <cfRule type="cellIs" dxfId="153" priority="52" operator="greaterThan">
      <formula>0.07</formula>
    </cfRule>
  </conditionalFormatting>
  <conditionalFormatting sqref="Q155:V155">
    <cfRule type="cellIs" dxfId="152" priority="49" operator="equal">
      <formula>"YES"</formula>
    </cfRule>
    <cfRule type="cellIs" dxfId="151" priority="50" operator="equal">
      <formula>"NO"</formula>
    </cfRule>
  </conditionalFormatting>
  <conditionalFormatting sqref="X317">
    <cfRule type="cellIs" dxfId="150" priority="47" operator="lessThan">
      <formula>0.15</formula>
    </cfRule>
    <cfRule type="cellIs" dxfId="149" priority="48" operator="greaterThan">
      <formula>0.15</formula>
    </cfRule>
  </conditionalFormatting>
  <conditionalFormatting sqref="X336">
    <cfRule type="cellIs" dxfId="148" priority="45" operator="lessThan">
      <formula>0.15</formula>
    </cfRule>
    <cfRule type="cellIs" dxfId="147" priority="46" operator="greaterThan">
      <formula>0.15</formula>
    </cfRule>
  </conditionalFormatting>
  <conditionalFormatting sqref="X348">
    <cfRule type="cellIs" dxfId="146" priority="43" operator="lessThan">
      <formula>0.15</formula>
    </cfRule>
    <cfRule type="cellIs" dxfId="145" priority="44" operator="greaterThan">
      <formula>0.15</formula>
    </cfRule>
  </conditionalFormatting>
  <conditionalFormatting sqref="L45:L49 L51:L63">
    <cfRule type="cellIs" dxfId="144" priority="35" operator="equal">
      <formula>"TBD"</formula>
    </cfRule>
  </conditionalFormatting>
  <conditionalFormatting sqref="M45:M49 M51:M63">
    <cfRule type="cellIs" dxfId="143" priority="34" operator="equal">
      <formula>"NO"</formula>
    </cfRule>
  </conditionalFormatting>
  <conditionalFormatting sqref="L72:L104">
    <cfRule type="cellIs" dxfId="142" priority="33" operator="equal">
      <formula>"TBD"</formula>
    </cfRule>
  </conditionalFormatting>
  <conditionalFormatting sqref="M72:M104">
    <cfRule type="cellIs" dxfId="141" priority="32" operator="equal">
      <formula>"NO"</formula>
    </cfRule>
  </conditionalFormatting>
  <conditionalFormatting sqref="M174 K142">
    <cfRule type="cellIs" dxfId="140" priority="31" operator="equal">
      <formula>"Fail"</formula>
    </cfRule>
  </conditionalFormatting>
  <conditionalFormatting sqref="E165:J165">
    <cfRule type="cellIs" dxfId="139" priority="30" operator="equal">
      <formula>"NO"</formula>
    </cfRule>
  </conditionalFormatting>
  <conditionalFormatting sqref="E167:J167">
    <cfRule type="cellIs" dxfId="138" priority="27" operator="equal">
      <formula>"NO"</formula>
    </cfRule>
  </conditionalFormatting>
  <conditionalFormatting sqref="I174:J174">
    <cfRule type="cellIs" dxfId="137" priority="26" operator="lessThan">
      <formula>160</formula>
    </cfRule>
  </conditionalFormatting>
  <conditionalFormatting sqref="Y169">
    <cfRule type="cellIs" dxfId="136" priority="24" operator="equal">
      <formula>"Fail"</formula>
    </cfRule>
    <cfRule type="cellIs" dxfId="135" priority="25" operator="equal">
      <formula>"Pass"</formula>
    </cfRule>
  </conditionalFormatting>
  <conditionalFormatting sqref="D188:I188 D195:I195">
    <cfRule type="cellIs" dxfId="134" priority="23" operator="equal">
      <formula>"NO"</formula>
    </cfRule>
  </conditionalFormatting>
  <conditionalFormatting sqref="W258 W244">
    <cfRule type="cellIs" dxfId="133" priority="20" operator="equal">
      <formula>"Fail"</formula>
    </cfRule>
    <cfRule type="cellIs" dxfId="132" priority="21" operator="equal">
      <formula>"Pass"</formula>
    </cfRule>
  </conditionalFormatting>
  <conditionalFormatting sqref="K278 J233 J219">
    <cfRule type="cellIs" dxfId="131" priority="19" operator="equal">
      <formula>"Fail"</formula>
    </cfRule>
  </conditionalFormatting>
  <conditionalFormatting sqref="L350 L364 L378 L389">
    <cfRule type="cellIs" dxfId="130" priority="18" operator="greaterThan">
      <formula>3</formula>
    </cfRule>
  </conditionalFormatting>
  <conditionalFormatting sqref="W472:W473">
    <cfRule type="cellIs" dxfId="129" priority="16" operator="equal">
      <formula>"Fail"</formula>
    </cfRule>
    <cfRule type="cellIs" dxfId="128" priority="17" operator="equal">
      <formula>"Pass"</formula>
    </cfRule>
  </conditionalFormatting>
  <conditionalFormatting sqref="K401:K402">
    <cfRule type="cellIs" dxfId="127" priority="15" operator="equal">
      <formula>"Fail"</formula>
    </cfRule>
  </conditionalFormatting>
  <conditionalFormatting sqref="E426 I426 M426 D442:G442 D465:K465 D473:H473">
    <cfRule type="cellIs" dxfId="126" priority="14" operator="equal">
      <formula>"Fail"</formula>
    </cfRule>
  </conditionalFormatting>
  <conditionalFormatting sqref="W288">
    <cfRule type="cellIs" dxfId="125" priority="7" operator="equal">
      <formula>"Fail"</formula>
    </cfRule>
    <cfRule type="cellIs" dxfId="124" priority="8" operator="equal">
      <formula>"Pass"</formula>
    </cfRule>
  </conditionalFormatting>
  <conditionalFormatting sqref="W281:W287">
    <cfRule type="cellIs" dxfId="123" priority="11" operator="lessThan">
      <formula>0.1</formula>
    </cfRule>
    <cfRule type="cellIs" dxfId="122" priority="12" operator="greaterThan">
      <formula>0.1</formula>
    </cfRule>
  </conditionalFormatting>
  <conditionalFormatting sqref="J261">
    <cfRule type="cellIs" dxfId="121" priority="5" operator="equal">
      <formula>"Fail"</formula>
    </cfRule>
  </conditionalFormatting>
  <conditionalFormatting sqref="J211:J218 J226:J232 J254:J260">
    <cfRule type="cellIs" dxfId="120" priority="4" operator="greaterThan">
      <formula>0.1</formula>
    </cfRule>
  </conditionalFormatting>
  <conditionalFormatting sqref="J219 J233 J261">
    <cfRule type="cellIs" dxfId="119" priority="3" operator="equal">
      <formula>"Fail"</formula>
    </cfRule>
  </conditionalFormatting>
  <conditionalFormatting sqref="I240:I242 I244:I247">
    <cfRule type="cellIs" dxfId="0" priority="1"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topLeftCell="A136" workbookViewId="0"/>
  </sheetViews>
  <sheetFormatPr defaultRowHeight="15.6"/>
  <sheetData>
    <row r="1" spans="1:30">
      <c r="A1" t="s">
        <v>579</v>
      </c>
      <c r="K1" t="s">
        <v>580</v>
      </c>
      <c r="U1" t="s">
        <v>581</v>
      </c>
    </row>
    <row r="2" spans="1:30" ht="16.2" thickBot="1">
      <c r="B2" s="710" t="s">
        <v>49</v>
      </c>
      <c r="C2" s="710"/>
      <c r="D2" s="710"/>
      <c r="E2" s="710"/>
      <c r="F2" s="710"/>
      <c r="G2" s="710"/>
      <c r="H2" s="710"/>
      <c r="I2" s="710"/>
      <c r="J2" s="710"/>
      <c r="L2" s="710" t="s">
        <v>49</v>
      </c>
      <c r="M2" s="710"/>
      <c r="N2" s="710"/>
      <c r="O2" s="710"/>
      <c r="P2" s="710"/>
      <c r="Q2" s="710"/>
      <c r="R2" s="710"/>
      <c r="S2" s="710"/>
      <c r="T2" s="710"/>
      <c r="V2" s="710" t="s">
        <v>49</v>
      </c>
      <c r="W2" s="710"/>
      <c r="X2" s="710"/>
      <c r="Y2" s="710"/>
      <c r="Z2" s="710"/>
      <c r="AA2" s="710"/>
      <c r="AB2" s="710"/>
      <c r="AC2" s="710"/>
      <c r="AD2" s="710"/>
    </row>
    <row r="3" spans="1:30" ht="16.2" thickTop="1">
      <c r="A3" s="15" t="s">
        <v>340</v>
      </c>
      <c r="B3" s="16">
        <v>23</v>
      </c>
      <c r="C3" s="16">
        <v>24</v>
      </c>
      <c r="D3" s="16">
        <v>25</v>
      </c>
      <c r="E3" s="16">
        <v>26</v>
      </c>
      <c r="F3" s="16">
        <v>27</v>
      </c>
      <c r="G3" s="16">
        <v>28</v>
      </c>
      <c r="H3" s="16">
        <v>29</v>
      </c>
      <c r="I3" s="16">
        <v>30</v>
      </c>
      <c r="J3" s="17">
        <v>31</v>
      </c>
      <c r="K3" s="15" t="s">
        <v>340</v>
      </c>
      <c r="L3" s="16">
        <v>23</v>
      </c>
      <c r="M3" s="16">
        <v>24</v>
      </c>
      <c r="N3" s="16">
        <v>25</v>
      </c>
      <c r="O3" s="16">
        <v>26</v>
      </c>
      <c r="P3" s="16">
        <v>27</v>
      </c>
      <c r="Q3" s="16">
        <v>28</v>
      </c>
      <c r="R3" s="16">
        <v>29</v>
      </c>
      <c r="S3" s="16">
        <v>30</v>
      </c>
      <c r="T3" s="17">
        <v>31</v>
      </c>
      <c r="U3" s="15" t="s">
        <v>340</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2"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2" thickTop="1"/>
    <row r="25" spans="1:30" ht="16.2" thickBot="1">
      <c r="A25" t="s">
        <v>582</v>
      </c>
      <c r="N25" t="s">
        <v>583</v>
      </c>
    </row>
    <row r="26" spans="1:30" ht="16.2" thickTop="1">
      <c r="A26" s="15"/>
      <c r="B26" s="711" t="s">
        <v>49</v>
      </c>
      <c r="C26" s="711"/>
      <c r="D26" s="711"/>
      <c r="E26" s="711"/>
      <c r="F26" s="711"/>
      <c r="G26" s="711"/>
      <c r="H26" s="711"/>
      <c r="I26" s="711"/>
      <c r="J26" s="711"/>
      <c r="K26" s="711"/>
      <c r="L26" s="711"/>
      <c r="M26" s="712"/>
      <c r="N26" s="15"/>
      <c r="O26" s="711" t="s">
        <v>49</v>
      </c>
      <c r="P26" s="711"/>
      <c r="Q26" s="711"/>
      <c r="R26" s="711"/>
      <c r="S26" s="711"/>
      <c r="T26" s="711"/>
      <c r="U26" s="711"/>
      <c r="V26" s="711"/>
      <c r="W26" s="711"/>
      <c r="X26" s="711"/>
      <c r="Y26" s="711"/>
      <c r="Z26" s="711"/>
      <c r="AA26" s="712"/>
    </row>
    <row r="27" spans="1:30">
      <c r="A27" s="18" t="s">
        <v>340</v>
      </c>
      <c r="B27" s="19">
        <v>22</v>
      </c>
      <c r="C27" s="19">
        <v>23</v>
      </c>
      <c r="D27" s="19">
        <v>24</v>
      </c>
      <c r="E27" s="19">
        <v>25</v>
      </c>
      <c r="F27" s="19">
        <v>26</v>
      </c>
      <c r="G27" s="19">
        <v>27</v>
      </c>
      <c r="H27" s="19">
        <v>28</v>
      </c>
      <c r="I27" s="19">
        <v>29</v>
      </c>
      <c r="J27" s="19">
        <v>30</v>
      </c>
      <c r="K27" s="19">
        <v>31</v>
      </c>
      <c r="L27" s="19">
        <v>32</v>
      </c>
      <c r="M27" s="20">
        <v>33</v>
      </c>
      <c r="N27" s="18" t="s">
        <v>340</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2"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2" thickTop="1"/>
    <row r="50" spans="1:26" ht="16.2" thickBot="1">
      <c r="A50" t="s">
        <v>584</v>
      </c>
    </row>
    <row r="51" spans="1:26" ht="16.2" thickTop="1">
      <c r="A51" s="15"/>
      <c r="B51" s="711" t="s">
        <v>49</v>
      </c>
      <c r="C51" s="711"/>
      <c r="D51" s="711"/>
      <c r="E51" s="711"/>
      <c r="F51" s="711"/>
      <c r="G51" s="711"/>
      <c r="H51" s="711"/>
      <c r="I51" s="711"/>
      <c r="J51" s="711"/>
      <c r="K51" s="711"/>
      <c r="L51" s="711"/>
      <c r="M51" s="711"/>
      <c r="N51" s="711"/>
      <c r="O51" s="711"/>
      <c r="P51" s="711"/>
      <c r="Q51" s="711"/>
      <c r="R51" s="711"/>
      <c r="S51" s="711"/>
      <c r="T51" s="711"/>
      <c r="U51" s="711"/>
      <c r="V51" s="711"/>
      <c r="W51" s="711"/>
      <c r="X51" s="711"/>
      <c r="Y51" s="711"/>
      <c r="Z51" s="712"/>
    </row>
    <row r="52" spans="1:26">
      <c r="A52" s="18" t="s">
        <v>340</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2"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2" thickTop="1"/>
    <row r="71" spans="1:26">
      <c r="A71" t="s">
        <v>585</v>
      </c>
      <c r="C71" t="s">
        <v>586</v>
      </c>
      <c r="T71" t="s">
        <v>587</v>
      </c>
    </row>
    <row r="72" spans="1:26">
      <c r="A72" t="s">
        <v>403</v>
      </c>
      <c r="B72" t="s">
        <v>240</v>
      </c>
      <c r="C72" t="s">
        <v>588</v>
      </c>
      <c r="D72" t="s">
        <v>309</v>
      </c>
      <c r="E72" t="s">
        <v>310</v>
      </c>
      <c r="G72" t="s">
        <v>403</v>
      </c>
      <c r="H72" t="s">
        <v>240</v>
      </c>
      <c r="I72" t="s">
        <v>588</v>
      </c>
      <c r="J72" t="s">
        <v>309</v>
      </c>
      <c r="K72" t="s">
        <v>310</v>
      </c>
      <c r="M72" t="s">
        <v>403</v>
      </c>
      <c r="N72" t="s">
        <v>240</v>
      </c>
      <c r="O72" t="s">
        <v>588</v>
      </c>
      <c r="P72" t="s">
        <v>309</v>
      </c>
      <c r="Q72" t="s">
        <v>310</v>
      </c>
      <c r="U72" t="s">
        <v>589</v>
      </c>
      <c r="W72" t="s">
        <v>590</v>
      </c>
    </row>
    <row r="73" spans="1:26">
      <c r="A73" t="str">
        <f>Sheet1!P357</f>
        <v/>
      </c>
      <c r="B73">
        <v>24</v>
      </c>
      <c r="C73">
        <f>B73^2</f>
        <v>576</v>
      </c>
      <c r="D73" s="24" t="str">
        <f>Sheet1!W357</f>
        <v/>
      </c>
      <c r="E73" s="24" t="str">
        <f>Sheet1!X357</f>
        <v/>
      </c>
      <c r="G73" t="str">
        <f>Sheet1!P368</f>
        <v/>
      </c>
      <c r="H73">
        <v>28</v>
      </c>
      <c r="I73">
        <f>H73^2</f>
        <v>784</v>
      </c>
      <c r="J73" t="str">
        <f>Sheet1!W368</f>
        <v/>
      </c>
      <c r="K73" s="24" t="str">
        <f>Sheet1!X368</f>
        <v/>
      </c>
      <c r="M73" t="str">
        <f>Sheet1!P378</f>
        <v/>
      </c>
      <c r="N73">
        <v>28</v>
      </c>
      <c r="O73">
        <f>N73^2</f>
        <v>784</v>
      </c>
      <c r="P73" t="str">
        <f>Sheet1!W378</f>
        <v/>
      </c>
      <c r="Q73" s="24" t="str">
        <f>Sheet1!X378</f>
        <v/>
      </c>
      <c r="T73" t="s">
        <v>158</v>
      </c>
      <c r="U73" t="s">
        <v>592</v>
      </c>
      <c r="V73" t="s">
        <v>593</v>
      </c>
      <c r="W73" t="s">
        <v>592</v>
      </c>
      <c r="X73" t="s">
        <v>593</v>
      </c>
      <c r="Y73" t="s">
        <v>594</v>
      </c>
    </row>
    <row r="74" spans="1:26">
      <c r="A74" t="s">
        <v>239</v>
      </c>
      <c r="B74">
        <v>25</v>
      </c>
      <c r="C74">
        <f t="shared" ref="C74:C81" si="0">B74^2</f>
        <v>625</v>
      </c>
      <c r="D74" t="str">
        <f>Sheet1!W358</f>
        <v/>
      </c>
      <c r="E74" t="str">
        <f>Sheet1!X358</f>
        <v/>
      </c>
      <c r="G74" t="s">
        <v>239</v>
      </c>
      <c r="H74">
        <v>30</v>
      </c>
      <c r="I74">
        <f t="shared" ref="I74:I78" si="1">H74^2</f>
        <v>900</v>
      </c>
      <c r="J74" t="str">
        <f>Sheet1!W369</f>
        <v/>
      </c>
      <c r="K74" t="str">
        <f>Sheet1!X369</f>
        <v/>
      </c>
      <c r="M74" t="s">
        <v>239</v>
      </c>
      <c r="N74">
        <v>30</v>
      </c>
      <c r="O74">
        <f t="shared" ref="O74:O77" si="2">N74^2</f>
        <v>900</v>
      </c>
      <c r="P74" t="str">
        <f>Sheet1!W379</f>
        <v/>
      </c>
      <c r="Q74" t="str">
        <f>Sheet1!X379</f>
        <v/>
      </c>
      <c r="T74" t="s">
        <v>591</v>
      </c>
      <c r="U74" t="s">
        <v>591</v>
      </c>
      <c r="V74" t="s">
        <v>591</v>
      </c>
      <c r="W74" t="s">
        <v>591</v>
      </c>
      <c r="X74" t="s">
        <v>591</v>
      </c>
      <c r="Y74" t="s">
        <v>591</v>
      </c>
    </row>
    <row r="75" spans="1:26">
      <c r="A75" t="str">
        <f>Sheet1!Q357</f>
        <v/>
      </c>
      <c r="B75">
        <v>26</v>
      </c>
      <c r="C75">
        <f t="shared" si="0"/>
        <v>676</v>
      </c>
      <c r="D75" t="str">
        <f>Sheet1!W359</f>
        <v/>
      </c>
      <c r="E75" t="str">
        <f>Sheet1!X359</f>
        <v/>
      </c>
      <c r="G75" t="str">
        <f>Sheet1!Q368</f>
        <v/>
      </c>
      <c r="H75">
        <v>32</v>
      </c>
      <c r="I75">
        <f t="shared" si="1"/>
        <v>1024</v>
      </c>
      <c r="J75" t="str">
        <f>Sheet1!W370</f>
        <v/>
      </c>
      <c r="K75" t="str">
        <f>Sheet1!X370</f>
        <v/>
      </c>
      <c r="M75" t="str">
        <f>Sheet1!Q378</f>
        <v/>
      </c>
      <c r="N75">
        <v>32</v>
      </c>
      <c r="O75">
        <f t="shared" si="2"/>
        <v>1024</v>
      </c>
      <c r="P75" t="str">
        <f>Sheet1!W380</f>
        <v/>
      </c>
      <c r="Q75" t="str">
        <f>Sheet1!X380</f>
        <v/>
      </c>
      <c r="T75" t="s">
        <v>591</v>
      </c>
      <c r="U75" t="s">
        <v>591</v>
      </c>
      <c r="V75" t="s">
        <v>591</v>
      </c>
      <c r="W75" t="s">
        <v>591</v>
      </c>
      <c r="X75" t="s">
        <v>591</v>
      </c>
      <c r="Y75" t="s">
        <v>591</v>
      </c>
    </row>
    <row r="76" spans="1:26">
      <c r="B76">
        <v>28</v>
      </c>
      <c r="C76">
        <f t="shared" si="0"/>
        <v>784</v>
      </c>
      <c r="D76" t="str">
        <f>Sheet1!W360</f>
        <v/>
      </c>
      <c r="E76" t="str">
        <f>Sheet1!X360</f>
        <v/>
      </c>
      <c r="H76">
        <v>34</v>
      </c>
      <c r="I76">
        <f t="shared" si="1"/>
        <v>1156</v>
      </c>
      <c r="J76" t="str">
        <f>Sheet1!W371</f>
        <v/>
      </c>
      <c r="K76" t="str">
        <f>Sheet1!X371</f>
        <v/>
      </c>
      <c r="N76">
        <v>34</v>
      </c>
      <c r="O76">
        <f t="shared" si="2"/>
        <v>1156</v>
      </c>
      <c r="P76" t="str">
        <f>Sheet1!W381</f>
        <v/>
      </c>
      <c r="Q76" t="str">
        <f>Sheet1!X381</f>
        <v/>
      </c>
      <c r="T76" t="s">
        <v>591</v>
      </c>
      <c r="U76" t="s">
        <v>591</v>
      </c>
      <c r="V76" t="s">
        <v>591</v>
      </c>
      <c r="W76" t="s">
        <v>591</v>
      </c>
      <c r="X76" t="s">
        <v>591</v>
      </c>
      <c r="Y76" t="s">
        <v>591</v>
      </c>
    </row>
    <row r="77" spans="1:26">
      <c r="B77">
        <v>30</v>
      </c>
      <c r="C77">
        <f t="shared" si="0"/>
        <v>900</v>
      </c>
      <c r="D77" t="str">
        <f>Sheet1!W361</f>
        <v/>
      </c>
      <c r="E77" t="str">
        <f>Sheet1!X361</f>
        <v/>
      </c>
      <c r="H77">
        <v>36</v>
      </c>
      <c r="I77">
        <f t="shared" si="1"/>
        <v>1296</v>
      </c>
      <c r="J77" t="str">
        <f>Sheet1!W372</f>
        <v/>
      </c>
      <c r="K77" t="str">
        <f>Sheet1!X372</f>
        <v/>
      </c>
      <c r="N77">
        <v>38</v>
      </c>
      <c r="O77">
        <f t="shared" si="2"/>
        <v>1444</v>
      </c>
      <c r="P77" t="str">
        <f>Sheet1!W382</f>
        <v/>
      </c>
      <c r="Q77" t="str">
        <f>Sheet1!X382</f>
        <v/>
      </c>
      <c r="T77" t="s">
        <v>591</v>
      </c>
      <c r="U77" t="s">
        <v>591</v>
      </c>
      <c r="V77" t="s">
        <v>591</v>
      </c>
      <c r="W77" t="s">
        <v>591</v>
      </c>
      <c r="X77" t="s">
        <v>591</v>
      </c>
      <c r="Y77" t="s">
        <v>591</v>
      </c>
    </row>
    <row r="78" spans="1:26">
      <c r="B78">
        <v>32</v>
      </c>
      <c r="C78">
        <f t="shared" si="0"/>
        <v>1024</v>
      </c>
      <c r="D78" t="str">
        <f>Sheet1!W362</f>
        <v/>
      </c>
      <c r="E78" t="str">
        <f>Sheet1!X362</f>
        <v/>
      </c>
      <c r="H78">
        <v>38</v>
      </c>
      <c r="I78">
        <f t="shared" si="1"/>
        <v>1444</v>
      </c>
      <c r="J78" t="str">
        <f>Sheet1!W373</f>
        <v/>
      </c>
      <c r="K78" t="str">
        <f>Sheet1!X373</f>
        <v/>
      </c>
      <c r="O78" t="s">
        <v>595</v>
      </c>
      <c r="P78" t="e">
        <f>SLOPE(P73:P77,O73:O77)</f>
        <v>#DIV/0!</v>
      </c>
      <c r="Q78" t="e">
        <f>SLOPE(Q73:Q77,O73:O77)</f>
        <v>#DIV/0!</v>
      </c>
      <c r="T78" t="s">
        <v>591</v>
      </c>
      <c r="U78" t="s">
        <v>591</v>
      </c>
      <c r="V78" t="s">
        <v>591</v>
      </c>
      <c r="W78" t="s">
        <v>591</v>
      </c>
      <c r="X78" t="s">
        <v>591</v>
      </c>
      <c r="Y78" t="s">
        <v>591</v>
      </c>
    </row>
    <row r="79" spans="1:26">
      <c r="B79">
        <v>34</v>
      </c>
      <c r="C79">
        <f t="shared" si="0"/>
        <v>1156</v>
      </c>
      <c r="D79" t="str">
        <f>Sheet1!W363</f>
        <v/>
      </c>
      <c r="E79" t="str">
        <f>Sheet1!X363</f>
        <v/>
      </c>
      <c r="H79" t="s">
        <v>591</v>
      </c>
      <c r="I79" t="s">
        <v>595</v>
      </c>
      <c r="J79" t="e">
        <f>SLOPE(J73:J78,I73:I78)</f>
        <v>#DIV/0!</v>
      </c>
      <c r="K79" t="e">
        <f>SLOPE(K73:K78,I73:I78)</f>
        <v>#DIV/0!</v>
      </c>
      <c r="O79" t="s">
        <v>596</v>
      </c>
      <c r="P79" t="e">
        <f>INTERCEPT(P73:P77,O73:O77)</f>
        <v>#DIV/0!</v>
      </c>
      <c r="Q79" t="e">
        <f>INTERCEPT(Q73:Q77,O73:O77)</f>
        <v>#DIV/0!</v>
      </c>
      <c r="T79" t="s">
        <v>591</v>
      </c>
      <c r="U79" t="s">
        <v>591</v>
      </c>
      <c r="V79" t="s">
        <v>591</v>
      </c>
      <c r="W79" t="s">
        <v>591</v>
      </c>
      <c r="X79" t="s">
        <v>591</v>
      </c>
      <c r="Y79" t="s">
        <v>591</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595</v>
      </c>
      <c r="D82" t="e">
        <f>SLOPE(D73:D81,C73:C81)</f>
        <v>#DIV/0!</v>
      </c>
      <c r="E82" t="e">
        <f>SLOPE(E73:E81,C73:C81)</f>
        <v>#DIV/0!</v>
      </c>
      <c r="I82" t="s">
        <v>596</v>
      </c>
      <c r="J82" t="e">
        <f>INTERCEPT(J73:J78,I73:I78)</f>
        <v>#DIV/0!</v>
      </c>
      <c r="K82" t="e">
        <f>INTERCEPT(K73:K78,I73:I78)</f>
        <v>#DIV/0!</v>
      </c>
      <c r="O82" t="s">
        <v>597</v>
      </c>
      <c r="P82" t="e">
        <f>RSQ(P73:P77,O73:O77)</f>
        <v>#DIV/0!</v>
      </c>
      <c r="Q82" t="e">
        <f>RSQ(Q73:Q77,O73:O77)</f>
        <v>#DIV/0!</v>
      </c>
      <c r="T82" t="s">
        <v>591</v>
      </c>
      <c r="U82" t="s">
        <v>591</v>
      </c>
      <c r="V82" t="s">
        <v>591</v>
      </c>
      <c r="W82" t="s">
        <v>591</v>
      </c>
      <c r="X82" t="s">
        <v>591</v>
      </c>
      <c r="Y82" t="s">
        <v>591</v>
      </c>
    </row>
    <row r="83" spans="1:25">
      <c r="C83" t="s">
        <v>596</v>
      </c>
      <c r="D83" t="e">
        <f>INTERCEPT(D73:D81,C73:C81)</f>
        <v>#DIV/0!</v>
      </c>
      <c r="E83" t="e">
        <f>INTERCEPT(E73:E81,C73:C81)</f>
        <v>#DIV/0!</v>
      </c>
      <c r="I83" t="s">
        <v>597</v>
      </c>
      <c r="J83" t="e">
        <f>RSQ(J73:J78,I73:I78)</f>
        <v>#DIV/0!</v>
      </c>
      <c r="K83" t="e">
        <f>RSQ(K73:K78,I73:I78)</f>
        <v>#DIV/0!</v>
      </c>
      <c r="T83" t="s">
        <v>591</v>
      </c>
      <c r="U83" t="s">
        <v>591</v>
      </c>
      <c r="V83" t="s">
        <v>591</v>
      </c>
      <c r="W83" t="s">
        <v>591</v>
      </c>
      <c r="X83" t="s">
        <v>591</v>
      </c>
      <c r="Y83" t="s">
        <v>591</v>
      </c>
    </row>
    <row r="84" spans="1:25">
      <c r="C84" t="s">
        <v>597</v>
      </c>
      <c r="D84" t="e">
        <f>RSQ(D73:D81,C73:C81)</f>
        <v>#DIV/0!</v>
      </c>
      <c r="E84" t="e">
        <f>RSQ(E73:E81,C73:C81)</f>
        <v>#DIV/0!</v>
      </c>
      <c r="T84" t="s">
        <v>591</v>
      </c>
      <c r="U84" t="s">
        <v>591</v>
      </c>
      <c r="V84" t="s">
        <v>591</v>
      </c>
      <c r="W84" t="s">
        <v>591</v>
      </c>
      <c r="X84" t="s">
        <v>591</v>
      </c>
      <c r="Y84" t="s">
        <v>591</v>
      </c>
    </row>
    <row r="85" spans="1:25">
      <c r="A85" t="s">
        <v>344</v>
      </c>
      <c r="T85" t="s">
        <v>591</v>
      </c>
      <c r="U85" t="s">
        <v>591</v>
      </c>
      <c r="V85" t="s">
        <v>591</v>
      </c>
      <c r="W85" t="s">
        <v>591</v>
      </c>
      <c r="X85" t="s">
        <v>591</v>
      </c>
      <c r="Y85" t="s">
        <v>591</v>
      </c>
    </row>
    <row r="86" spans="1:25">
      <c r="A86" t="s">
        <v>403</v>
      </c>
      <c r="B86" t="s">
        <v>240</v>
      </c>
      <c r="C86" t="s">
        <v>340</v>
      </c>
      <c r="D86" t="s">
        <v>403</v>
      </c>
      <c r="E86" t="s">
        <v>240</v>
      </c>
      <c r="F86" t="s">
        <v>340</v>
      </c>
      <c r="G86" t="s">
        <v>403</v>
      </c>
      <c r="H86" t="s">
        <v>240</v>
      </c>
      <c r="I86" t="s">
        <v>340</v>
      </c>
      <c r="T86" t="s">
        <v>591</v>
      </c>
      <c r="U86" t="s">
        <v>591</v>
      </c>
      <c r="V86" t="s">
        <v>591</v>
      </c>
      <c r="W86" t="s">
        <v>591</v>
      </c>
      <c r="X86" t="s">
        <v>591</v>
      </c>
      <c r="Y86" t="s">
        <v>591</v>
      </c>
    </row>
    <row r="87" spans="1:25">
      <c r="A87" t="str">
        <f>A73</f>
        <v/>
      </c>
      <c r="B87">
        <v>24</v>
      </c>
      <c r="C87" s="24" t="str">
        <f>Sheet1!Q417</f>
        <v/>
      </c>
      <c r="D87" t="str">
        <f>G73</f>
        <v/>
      </c>
      <c r="E87">
        <v>28</v>
      </c>
      <c r="F87" s="24" t="str">
        <f>Sheet1!U417</f>
        <v/>
      </c>
      <c r="G87" t="str">
        <f>M73</f>
        <v/>
      </c>
      <c r="H87">
        <v>28</v>
      </c>
      <c r="I87" s="24" t="str">
        <f>Sheet1!Q430</f>
        <v/>
      </c>
      <c r="T87" t="s">
        <v>591</v>
      </c>
      <c r="U87" t="s">
        <v>591</v>
      </c>
      <c r="V87" t="s">
        <v>591</v>
      </c>
      <c r="W87" t="s">
        <v>591</v>
      </c>
      <c r="X87" t="s">
        <v>591</v>
      </c>
      <c r="Y87" t="s">
        <v>591</v>
      </c>
    </row>
    <row r="88" spans="1:25">
      <c r="A88" t="s">
        <v>239</v>
      </c>
      <c r="B88">
        <v>25</v>
      </c>
      <c r="C88" s="24" t="str">
        <f>Sheet1!R417</f>
        <v/>
      </c>
      <c r="D88" t="s">
        <v>239</v>
      </c>
      <c r="E88">
        <v>30</v>
      </c>
      <c r="F88" s="24" t="str">
        <f>Sheet1!V417</f>
        <v/>
      </c>
      <c r="G88" t="s">
        <v>239</v>
      </c>
      <c r="H88">
        <v>30</v>
      </c>
      <c r="I88" s="24" t="str">
        <f>Sheet1!R430</f>
        <v/>
      </c>
      <c r="T88" t="s">
        <v>591</v>
      </c>
      <c r="U88" t="s">
        <v>591</v>
      </c>
      <c r="V88" t="s">
        <v>591</v>
      </c>
      <c r="W88" t="s">
        <v>591</v>
      </c>
      <c r="X88" t="s">
        <v>591</v>
      </c>
      <c r="Y88" t="s">
        <v>591</v>
      </c>
    </row>
    <row r="89" spans="1:25">
      <c r="A89" t="str">
        <f>A75</f>
        <v/>
      </c>
      <c r="B89">
        <v>26</v>
      </c>
      <c r="C89" s="24">
        <f>Sheet1!AQ14</f>
        <v>0</v>
      </c>
      <c r="D89" t="str">
        <f>G75</f>
        <v/>
      </c>
      <c r="E89">
        <v>32</v>
      </c>
      <c r="F89" s="24" t="str">
        <f>Sheet1!W417</f>
        <v/>
      </c>
      <c r="G89" t="str">
        <f>M75</f>
        <v/>
      </c>
      <c r="H89">
        <v>32</v>
      </c>
      <c r="I89" s="24" t="str">
        <f>Sheet1!S430</f>
        <v/>
      </c>
      <c r="T89" t="s">
        <v>591</v>
      </c>
      <c r="U89" t="s">
        <v>591</v>
      </c>
      <c r="V89" t="s">
        <v>591</v>
      </c>
      <c r="W89" t="s">
        <v>591</v>
      </c>
      <c r="X89" t="s">
        <v>591</v>
      </c>
      <c r="Y89" t="s">
        <v>591</v>
      </c>
    </row>
    <row r="90" spans="1:25">
      <c r="B90">
        <v>28</v>
      </c>
      <c r="C90" s="24" t="str">
        <f>Sheet1!S417</f>
        <v/>
      </c>
      <c r="E90">
        <v>34</v>
      </c>
      <c r="F90" s="24" t="str">
        <f>Sheet1!X417</f>
        <v/>
      </c>
      <c r="H90">
        <v>34</v>
      </c>
      <c r="I90" s="24" t="str">
        <f>Sheet1!T430</f>
        <v/>
      </c>
      <c r="T90" t="s">
        <v>591</v>
      </c>
      <c r="U90" t="s">
        <v>591</v>
      </c>
      <c r="V90" t="s">
        <v>591</v>
      </c>
      <c r="W90" t="s">
        <v>591</v>
      </c>
      <c r="X90" t="s">
        <v>591</v>
      </c>
      <c r="Y90" t="s">
        <v>591</v>
      </c>
    </row>
    <row r="91" spans="1:25">
      <c r="B91">
        <v>30</v>
      </c>
      <c r="C91" s="24">
        <f>Sheet1!AQ23</f>
        <v>0</v>
      </c>
      <c r="E91">
        <v>36</v>
      </c>
      <c r="F91" s="24">
        <f>Sheet1!AQ38</f>
        <v>0</v>
      </c>
      <c r="H91">
        <v>38</v>
      </c>
      <c r="I91" s="24" t="str">
        <f>Sheet1!U430</f>
        <v/>
      </c>
      <c r="T91" t="s">
        <v>591</v>
      </c>
      <c r="U91" t="s">
        <v>591</v>
      </c>
      <c r="V91" t="s">
        <v>591</v>
      </c>
      <c r="W91" t="s">
        <v>591</v>
      </c>
      <c r="X91" t="s">
        <v>591</v>
      </c>
      <c r="Y91" t="s">
        <v>591</v>
      </c>
    </row>
    <row r="92" spans="1:25">
      <c r="B92">
        <v>32</v>
      </c>
      <c r="C92" s="24" t="str">
        <f>Sheet1!T417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595</v>
      </c>
      <c r="C96" t="e">
        <f>SLOPE(C87:C95,B87:B95)</f>
        <v>#DIV/0!</v>
      </c>
      <c r="E96" t="s">
        <v>595</v>
      </c>
      <c r="F96">
        <f>SLOPE(F87:F92,E87:E92)</f>
        <v>0</v>
      </c>
      <c r="H96" t="s">
        <v>595</v>
      </c>
      <c r="I96" t="e">
        <f>SLOPE(I87:I91,H87:H91)</f>
        <v>#DIV/0!</v>
      </c>
      <c r="T96" t="s">
        <v>591</v>
      </c>
      <c r="U96" t="s">
        <v>591</v>
      </c>
      <c r="V96" t="s">
        <v>591</v>
      </c>
      <c r="W96" t="s">
        <v>591</v>
      </c>
      <c r="X96" t="s">
        <v>591</v>
      </c>
      <c r="Y96" t="s">
        <v>591</v>
      </c>
    </row>
    <row r="97" spans="1:25">
      <c r="B97" t="s">
        <v>596</v>
      </c>
      <c r="C97" t="e">
        <f>INTERCEPT(C87:C95,B87:B95)</f>
        <v>#DIV/0!</v>
      </c>
      <c r="E97" t="s">
        <v>596</v>
      </c>
      <c r="F97">
        <f>INTERCEPT(F87:F92,E87:E92)</f>
        <v>0</v>
      </c>
      <c r="H97" t="s">
        <v>596</v>
      </c>
      <c r="I97" t="e">
        <f>INTERCEPT(I87:I91,H87:H91)</f>
        <v>#DIV/0!</v>
      </c>
      <c r="T97" t="s">
        <v>591</v>
      </c>
      <c r="U97" t="s">
        <v>591</v>
      </c>
      <c r="V97" t="s">
        <v>591</v>
      </c>
      <c r="W97" t="s">
        <v>591</v>
      </c>
      <c r="X97" t="s">
        <v>591</v>
      </c>
      <c r="Y97" t="s">
        <v>591</v>
      </c>
    </row>
    <row r="98" spans="1:25">
      <c r="B98" t="s">
        <v>597</v>
      </c>
      <c r="C98" t="e">
        <f>RSQ(C87:C95,B87:B95)</f>
        <v>#DIV/0!</v>
      </c>
      <c r="E98" t="s">
        <v>597</v>
      </c>
      <c r="F98" t="e">
        <f>RSQ(F87:F92,E87:E92)</f>
        <v>#DIV/0!</v>
      </c>
      <c r="H98" t="s">
        <v>597</v>
      </c>
      <c r="I98" t="e">
        <f>RSQ(I87:I91,H87:H91)</f>
        <v>#DIV/0!</v>
      </c>
      <c r="T98" t="s">
        <v>591</v>
      </c>
      <c r="U98" t="s">
        <v>591</v>
      </c>
      <c r="V98" t="s">
        <v>591</v>
      </c>
      <c r="W98" t="s">
        <v>591</v>
      </c>
      <c r="X98" t="s">
        <v>591</v>
      </c>
      <c r="Y98" t="s">
        <v>591</v>
      </c>
    </row>
    <row r="99" spans="1:25">
      <c r="A99" s="140" t="s">
        <v>403</v>
      </c>
      <c r="B99" s="140" t="s">
        <v>239</v>
      </c>
      <c r="C99" s="140" t="s">
        <v>598</v>
      </c>
      <c r="E99" t="s">
        <v>599</v>
      </c>
      <c r="F99" t="s">
        <v>600</v>
      </c>
      <c r="T99" t="s">
        <v>591</v>
      </c>
      <c r="U99" t="s">
        <v>591</v>
      </c>
      <c r="V99" t="s">
        <v>591</v>
      </c>
      <c r="W99" t="s">
        <v>591</v>
      </c>
      <c r="X99" t="s">
        <v>591</v>
      </c>
      <c r="Y99" t="s">
        <v>591</v>
      </c>
    </row>
    <row r="100" spans="1:25">
      <c r="A100" s="140" t="s">
        <v>601</v>
      </c>
      <c r="B100" s="140" t="s">
        <v>601</v>
      </c>
      <c r="C100" s="140">
        <v>0.12</v>
      </c>
      <c r="F100" t="s">
        <v>602</v>
      </c>
      <c r="T100" t="s">
        <v>591</v>
      </c>
      <c r="U100" t="s">
        <v>591</v>
      </c>
      <c r="V100" t="s">
        <v>591</v>
      </c>
      <c r="W100" t="s">
        <v>591</v>
      </c>
      <c r="X100" t="s">
        <v>591</v>
      </c>
      <c r="Y100" t="s">
        <v>591</v>
      </c>
    </row>
    <row r="101" spans="1:25">
      <c r="A101" s="140" t="s">
        <v>601</v>
      </c>
      <c r="B101" s="140" t="s">
        <v>603</v>
      </c>
      <c r="C101" s="140">
        <v>0.19</v>
      </c>
      <c r="F101" t="s">
        <v>604</v>
      </c>
      <c r="T101" t="s">
        <v>591</v>
      </c>
      <c r="U101" t="s">
        <v>591</v>
      </c>
      <c r="V101" t="s">
        <v>591</v>
      </c>
      <c r="W101" t="s">
        <v>591</v>
      </c>
      <c r="X101" t="s">
        <v>591</v>
      </c>
      <c r="Y101" t="s">
        <v>591</v>
      </c>
    </row>
    <row r="102" spans="1:25">
      <c r="A102" s="140" t="s">
        <v>603</v>
      </c>
      <c r="B102" s="140" t="s">
        <v>603</v>
      </c>
      <c r="C102" s="140">
        <v>0.22</v>
      </c>
      <c r="T102" t="s">
        <v>591</v>
      </c>
      <c r="U102" t="s">
        <v>591</v>
      </c>
      <c r="V102" t="s">
        <v>591</v>
      </c>
      <c r="W102" t="s">
        <v>591</v>
      </c>
      <c r="X102" t="s">
        <v>591</v>
      </c>
      <c r="Y102" t="s">
        <v>591</v>
      </c>
    </row>
    <row r="103" spans="1:25">
      <c r="T103" t="s">
        <v>591</v>
      </c>
      <c r="U103" t="s">
        <v>591</v>
      </c>
      <c r="V103" t="s">
        <v>591</v>
      </c>
      <c r="W103" t="s">
        <v>591</v>
      </c>
      <c r="X103" t="s">
        <v>591</v>
      </c>
      <c r="Y103" t="s">
        <v>591</v>
      </c>
    </row>
    <row r="104" spans="1:25">
      <c r="A104" t="s">
        <v>605</v>
      </c>
      <c r="B104" t="e">
        <f>"DGN values (mrad/R) for "&amp;Sheet1!$T$291&amp;" kV and HVL="&amp;ROUND(Sheet1!$X$294,2)&amp;" mm Al"</f>
        <v>#VALUE!</v>
      </c>
      <c r="G104" s="710" t="s">
        <v>439</v>
      </c>
      <c r="H104" s="710"/>
      <c r="I104" s="710"/>
      <c r="T104" t="s">
        <v>591</v>
      </c>
      <c r="U104" t="s">
        <v>591</v>
      </c>
      <c r="V104" t="s">
        <v>591</v>
      </c>
      <c r="W104" t="s">
        <v>591</v>
      </c>
      <c r="X104" t="s">
        <v>591</v>
      </c>
      <c r="Y104" t="s">
        <v>591</v>
      </c>
    </row>
    <row r="105" spans="1:25">
      <c r="A105" t="s">
        <v>606</v>
      </c>
      <c r="B105" t="s">
        <v>607</v>
      </c>
      <c r="C105" t="s">
        <v>608</v>
      </c>
      <c r="D105" t="s">
        <v>592</v>
      </c>
      <c r="E105" t="s">
        <v>593</v>
      </c>
      <c r="F105" t="s">
        <v>594</v>
      </c>
      <c r="G105" t="s">
        <v>592</v>
      </c>
      <c r="H105" t="s">
        <v>593</v>
      </c>
      <c r="I105" t="s">
        <v>594</v>
      </c>
      <c r="T105" t="s">
        <v>591</v>
      </c>
      <c r="U105" t="s">
        <v>591</v>
      </c>
      <c r="V105" t="s">
        <v>591</v>
      </c>
      <c r="W105" t="s">
        <v>591</v>
      </c>
      <c r="X105" t="s">
        <v>591</v>
      </c>
      <c r="Y105" t="s">
        <v>591</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591</v>
      </c>
      <c r="U106" t="s">
        <v>591</v>
      </c>
      <c r="V106" t="s">
        <v>591</v>
      </c>
      <c r="W106" t="s">
        <v>591</v>
      </c>
      <c r="X106" t="s">
        <v>591</v>
      </c>
      <c r="Y106" t="s">
        <v>591</v>
      </c>
    </row>
    <row r="107" spans="1:25">
      <c r="T107" t="s">
        <v>591</v>
      </c>
      <c r="U107" t="s">
        <v>591</v>
      </c>
      <c r="V107" t="s">
        <v>591</v>
      </c>
      <c r="W107" t="s">
        <v>591</v>
      </c>
      <c r="X107" t="s">
        <v>591</v>
      </c>
      <c r="Y107" t="s">
        <v>591</v>
      </c>
    </row>
    <row r="108" spans="1:25">
      <c r="A108" t="s">
        <v>609</v>
      </c>
      <c r="T108" t="s">
        <v>591</v>
      </c>
      <c r="U108" t="s">
        <v>591</v>
      </c>
      <c r="V108" t="s">
        <v>591</v>
      </c>
      <c r="W108" t="s">
        <v>591</v>
      </c>
      <c r="X108" t="s">
        <v>591</v>
      </c>
      <c r="Y108" t="s">
        <v>591</v>
      </c>
    </row>
    <row r="109" spans="1:25">
      <c r="B109" t="s">
        <v>240</v>
      </c>
      <c r="D109" t="s">
        <v>610</v>
      </c>
      <c r="E109" t="s">
        <v>611</v>
      </c>
      <c r="F109" t="s">
        <v>588</v>
      </c>
      <c r="G109" t="s">
        <v>612</v>
      </c>
      <c r="H109" t="s">
        <v>613</v>
      </c>
      <c r="I109" t="s">
        <v>614</v>
      </c>
      <c r="J109" t="s">
        <v>615</v>
      </c>
      <c r="T109" t="s">
        <v>591</v>
      </c>
      <c r="U109" t="s">
        <v>591</v>
      </c>
      <c r="V109" t="s">
        <v>591</v>
      </c>
      <c r="W109" t="s">
        <v>591</v>
      </c>
      <c r="X109" t="s">
        <v>591</v>
      </c>
      <c r="Y109" t="s">
        <v>591</v>
      </c>
    </row>
    <row r="110" spans="1:25">
      <c r="A110" t="s">
        <v>592</v>
      </c>
      <c r="B110" t="s">
        <v>616</v>
      </c>
      <c r="C110">
        <v>27.585999999999999</v>
      </c>
      <c r="D110">
        <v>-8375.0727645925508</v>
      </c>
      <c r="E110">
        <v>975.92543560432796</v>
      </c>
      <c r="F110">
        <v>-37.913729682039403</v>
      </c>
      <c r="G110">
        <v>0.49086583472609402</v>
      </c>
      <c r="H110">
        <v>0</v>
      </c>
      <c r="I110">
        <v>0</v>
      </c>
      <c r="J110">
        <v>0</v>
      </c>
      <c r="T110" t="s">
        <v>591</v>
      </c>
      <c r="U110" t="s">
        <v>591</v>
      </c>
      <c r="V110" t="s">
        <v>591</v>
      </c>
      <c r="W110" t="s">
        <v>591</v>
      </c>
      <c r="X110" t="s">
        <v>591</v>
      </c>
      <c r="Y110" t="s">
        <v>591</v>
      </c>
    </row>
    <row r="111" spans="1:25">
      <c r="B111" t="s">
        <v>617</v>
      </c>
      <c r="C111">
        <v>27.585999999999999</v>
      </c>
      <c r="D111">
        <v>-9984.6167916494396</v>
      </c>
      <c r="E111">
        <v>1436.52454571413</v>
      </c>
      <c r="F111">
        <v>-82.505102185254898</v>
      </c>
      <c r="G111">
        <v>2.36559081763837</v>
      </c>
      <c r="H111">
        <v>-3.38672433779705E-2</v>
      </c>
      <c r="I111">
        <v>1.93686920423126E-4</v>
      </c>
      <c r="J111">
        <v>0</v>
      </c>
      <c r="T111" t="s">
        <v>591</v>
      </c>
      <c r="U111" t="s">
        <v>591</v>
      </c>
      <c r="V111" t="s">
        <v>591</v>
      </c>
      <c r="W111" t="s">
        <v>591</v>
      </c>
      <c r="X111" t="s">
        <v>591</v>
      </c>
      <c r="Y111" t="s">
        <v>591</v>
      </c>
    </row>
    <row r="112" spans="1:25">
      <c r="C112" t="s">
        <v>563</v>
      </c>
      <c r="T112" t="s">
        <v>591</v>
      </c>
      <c r="U112" t="s">
        <v>591</v>
      </c>
      <c r="V112" t="s">
        <v>591</v>
      </c>
      <c r="W112" t="s">
        <v>591</v>
      </c>
      <c r="X112" t="s">
        <v>591</v>
      </c>
      <c r="Y112" t="s">
        <v>591</v>
      </c>
    </row>
    <row r="113" spans="1:25">
      <c r="C113" t="s">
        <v>564</v>
      </c>
      <c r="T113" t="s">
        <v>591</v>
      </c>
      <c r="U113" t="s">
        <v>591</v>
      </c>
      <c r="V113" t="s">
        <v>591</v>
      </c>
      <c r="W113" t="s">
        <v>591</v>
      </c>
      <c r="X113" t="s">
        <v>591</v>
      </c>
      <c r="Y113" t="s">
        <v>591</v>
      </c>
    </row>
    <row r="114" spans="1:25">
      <c r="B114" t="s">
        <v>240</v>
      </c>
      <c r="D114" t="s">
        <v>610</v>
      </c>
      <c r="E114" t="s">
        <v>611</v>
      </c>
      <c r="F114" t="s">
        <v>588</v>
      </c>
      <c r="G114" t="s">
        <v>612</v>
      </c>
      <c r="H114" t="s">
        <v>613</v>
      </c>
      <c r="I114" t="s">
        <v>614</v>
      </c>
      <c r="J114" t="s">
        <v>615</v>
      </c>
      <c r="T114" t="s">
        <v>591</v>
      </c>
      <c r="U114" t="s">
        <v>591</v>
      </c>
      <c r="V114" t="s">
        <v>591</v>
      </c>
      <c r="W114" t="s">
        <v>591</v>
      </c>
      <c r="X114" t="s">
        <v>591</v>
      </c>
      <c r="Y114" t="s">
        <v>591</v>
      </c>
    </row>
    <row r="115" spans="1:25">
      <c r="A115" t="s">
        <v>593</v>
      </c>
      <c r="B115" t="s">
        <v>616</v>
      </c>
      <c r="C115">
        <v>30.1</v>
      </c>
      <c r="D115">
        <v>-540847.69550077303</v>
      </c>
      <c r="E115">
        <v>100186.23364273099</v>
      </c>
      <c r="F115">
        <v>-7418.4790179812599</v>
      </c>
      <c r="G115">
        <v>274.47660929577501</v>
      </c>
      <c r="H115">
        <v>-5.07436954359087</v>
      </c>
      <c r="I115">
        <v>3.7500574787580898E-2</v>
      </c>
      <c r="J115">
        <v>0</v>
      </c>
      <c r="T115" t="s">
        <v>591</v>
      </c>
      <c r="U115" t="s">
        <v>591</v>
      </c>
      <c r="V115" t="s">
        <v>591</v>
      </c>
      <c r="W115" t="s">
        <v>591</v>
      </c>
      <c r="X115" t="s">
        <v>591</v>
      </c>
      <c r="Y115" t="s">
        <v>591</v>
      </c>
    </row>
    <row r="116" spans="1:25">
      <c r="B116" t="s">
        <v>617</v>
      </c>
      <c r="C116">
        <v>30.1</v>
      </c>
      <c r="D116">
        <v>-11057.773936199201</v>
      </c>
      <c r="E116">
        <v>1297.2285673766901</v>
      </c>
      <c r="F116">
        <v>-56.989188989725697</v>
      </c>
      <c r="G116">
        <v>1.1115828564217201</v>
      </c>
      <c r="H116">
        <v>-8.1233997365129599E-3</v>
      </c>
      <c r="I116">
        <v>0</v>
      </c>
      <c r="J116">
        <v>0</v>
      </c>
      <c r="T116" t="s">
        <v>591</v>
      </c>
      <c r="U116" t="s">
        <v>591</v>
      </c>
      <c r="V116" t="s">
        <v>591</v>
      </c>
      <c r="W116" t="s">
        <v>591</v>
      </c>
      <c r="X116" t="s">
        <v>591</v>
      </c>
      <c r="Y116" t="s">
        <v>591</v>
      </c>
    </row>
    <row r="117" spans="1:25">
      <c r="C117" t="s">
        <v>568</v>
      </c>
      <c r="T117" t="s">
        <v>591</v>
      </c>
      <c r="U117" t="s">
        <v>591</v>
      </c>
      <c r="V117" t="s">
        <v>591</v>
      </c>
      <c r="W117" t="s">
        <v>591</v>
      </c>
      <c r="X117" t="s">
        <v>591</v>
      </c>
      <c r="Y117" t="s">
        <v>591</v>
      </c>
    </row>
    <row r="118" spans="1:25">
      <c r="C118" t="s">
        <v>569</v>
      </c>
      <c r="T118" t="s">
        <v>591</v>
      </c>
      <c r="U118" t="s">
        <v>591</v>
      </c>
      <c r="V118" t="s">
        <v>591</v>
      </c>
      <c r="W118" t="s">
        <v>591</v>
      </c>
      <c r="X118" t="s">
        <v>591</v>
      </c>
      <c r="Y118" t="s">
        <v>591</v>
      </c>
    </row>
    <row r="119" spans="1:25">
      <c r="T119" t="s">
        <v>591</v>
      </c>
      <c r="U119" t="s">
        <v>591</v>
      </c>
      <c r="V119" t="s">
        <v>591</v>
      </c>
      <c r="W119" t="s">
        <v>591</v>
      </c>
      <c r="X119" t="s">
        <v>591</v>
      </c>
      <c r="Y119" t="s">
        <v>591</v>
      </c>
    </row>
    <row r="120" spans="1:25">
      <c r="A120" t="s">
        <v>618</v>
      </c>
      <c r="K120" t="s">
        <v>619</v>
      </c>
      <c r="T120" t="s">
        <v>591</v>
      </c>
      <c r="U120" t="s">
        <v>591</v>
      </c>
      <c r="V120" t="s">
        <v>591</v>
      </c>
      <c r="W120" t="s">
        <v>591</v>
      </c>
      <c r="X120" t="s">
        <v>591</v>
      </c>
      <c r="Y120" t="s">
        <v>591</v>
      </c>
    </row>
    <row r="121" spans="1:25">
      <c r="B121" t="s">
        <v>240</v>
      </c>
      <c r="D121" t="s">
        <v>610</v>
      </c>
      <c r="E121" t="s">
        <v>611</v>
      </c>
      <c r="F121" t="s">
        <v>588</v>
      </c>
      <c r="G121" t="s">
        <v>612</v>
      </c>
      <c r="H121" t="s">
        <v>613</v>
      </c>
      <c r="K121" t="s">
        <v>620</v>
      </c>
      <c r="N121" t="s">
        <v>621</v>
      </c>
      <c r="T121" t="s">
        <v>591</v>
      </c>
      <c r="U121" t="s">
        <v>591</v>
      </c>
      <c r="V121" t="s">
        <v>591</v>
      </c>
      <c r="W121" t="s">
        <v>591</v>
      </c>
      <c r="X121" t="s">
        <v>591</v>
      </c>
      <c r="Y121" t="s">
        <v>591</v>
      </c>
    </row>
    <row r="122" spans="1:25">
      <c r="A122" t="s">
        <v>592</v>
      </c>
      <c r="B122" t="s">
        <v>616</v>
      </c>
      <c r="C122">
        <v>26.9</v>
      </c>
      <c r="D122">
        <v>138.88667000000001</v>
      </c>
      <c r="E122">
        <v>-10.72639</v>
      </c>
      <c r="F122">
        <v>0.26216</v>
      </c>
      <c r="G122">
        <v>-8.1999999999999998E-4</v>
      </c>
      <c r="K122" t="s">
        <v>240</v>
      </c>
      <c r="L122" t="s">
        <v>622</v>
      </c>
      <c r="M122" t="s">
        <v>623</v>
      </c>
      <c r="N122" t="s">
        <v>240</v>
      </c>
      <c r="O122" t="s">
        <v>622</v>
      </c>
      <c r="P122" t="s">
        <v>623</v>
      </c>
      <c r="T122" t="s">
        <v>591</v>
      </c>
      <c r="U122" t="s">
        <v>591</v>
      </c>
      <c r="V122" t="s">
        <v>591</v>
      </c>
      <c r="W122" t="s">
        <v>591</v>
      </c>
      <c r="X122" t="s">
        <v>591</v>
      </c>
      <c r="Y122" t="s">
        <v>591</v>
      </c>
    </row>
    <row r="123" spans="1:25">
      <c r="B123" t="s">
        <v>617</v>
      </c>
      <c r="C123">
        <v>26.9</v>
      </c>
      <c r="D123">
        <v>-5009.7751651999997</v>
      </c>
      <c r="E123">
        <v>605.73200599999996</v>
      </c>
      <c r="F123">
        <v>-27.3018617</v>
      </c>
      <c r="G123">
        <v>0.54671139999999996</v>
      </c>
      <c r="H123">
        <v>-4.0986E-3</v>
      </c>
      <c r="K123">
        <v>22</v>
      </c>
      <c r="L123">
        <v>0.2</v>
      </c>
      <c r="M123">
        <v>0.1</v>
      </c>
      <c r="N123">
        <v>22</v>
      </c>
      <c r="O123">
        <v>0.2</v>
      </c>
      <c r="P123">
        <v>-0.2</v>
      </c>
      <c r="T123" t="s">
        <v>591</v>
      </c>
      <c r="U123" t="s">
        <v>591</v>
      </c>
      <c r="V123" t="s">
        <v>591</v>
      </c>
      <c r="W123" t="s">
        <v>591</v>
      </c>
      <c r="X123" t="s">
        <v>591</v>
      </c>
      <c r="Y123" t="s">
        <v>591</v>
      </c>
    </row>
    <row r="124" spans="1:25">
      <c r="K124">
        <v>23</v>
      </c>
      <c r="L124">
        <v>0.2</v>
      </c>
      <c r="M124">
        <v>-0.1</v>
      </c>
      <c r="N124">
        <v>23</v>
      </c>
      <c r="O124">
        <v>0.4</v>
      </c>
      <c r="P124">
        <v>-0.1</v>
      </c>
      <c r="T124" t="s">
        <v>591</v>
      </c>
      <c r="U124" t="s">
        <v>591</v>
      </c>
      <c r="V124" t="s">
        <v>591</v>
      </c>
      <c r="W124" t="s">
        <v>591</v>
      </c>
      <c r="X124" t="s">
        <v>591</v>
      </c>
      <c r="Y124" t="s">
        <v>591</v>
      </c>
    </row>
    <row r="125" spans="1:25">
      <c r="A125" t="s">
        <v>593</v>
      </c>
      <c r="B125" t="s">
        <v>240</v>
      </c>
      <c r="D125" t="s">
        <v>610</v>
      </c>
      <c r="E125" t="s">
        <v>611</v>
      </c>
      <c r="F125" t="s">
        <v>588</v>
      </c>
      <c r="G125" t="s">
        <v>612</v>
      </c>
      <c r="H125" t="s">
        <v>613</v>
      </c>
      <c r="K125">
        <v>24</v>
      </c>
      <c r="L125">
        <v>0.1</v>
      </c>
      <c r="M125">
        <v>-0.4</v>
      </c>
      <c r="N125">
        <v>24</v>
      </c>
      <c r="O125">
        <v>0.4</v>
      </c>
      <c r="P125">
        <v>0</v>
      </c>
      <c r="T125" t="s">
        <v>591</v>
      </c>
      <c r="U125" t="s">
        <v>591</v>
      </c>
      <c r="V125" t="s">
        <v>591</v>
      </c>
      <c r="W125" t="s">
        <v>591</v>
      </c>
      <c r="X125" t="s">
        <v>591</v>
      </c>
      <c r="Y125" t="s">
        <v>591</v>
      </c>
    </row>
    <row r="126" spans="1:25">
      <c r="B126" t="s">
        <v>616</v>
      </c>
      <c r="C126">
        <v>28.7</v>
      </c>
      <c r="D126">
        <v>296.34185000000002</v>
      </c>
      <c r="E126">
        <v>-31.629249999999999</v>
      </c>
      <c r="F126">
        <v>1.18025</v>
      </c>
      <c r="G126">
        <v>-1.417E-2</v>
      </c>
      <c r="K126">
        <v>25</v>
      </c>
      <c r="L126">
        <v>0.1</v>
      </c>
      <c r="M126">
        <v>-0.3</v>
      </c>
      <c r="N126">
        <v>25</v>
      </c>
      <c r="O126">
        <v>0.5</v>
      </c>
      <c r="P126">
        <v>-0.1</v>
      </c>
      <c r="T126" t="s">
        <v>591</v>
      </c>
      <c r="U126" t="s">
        <v>591</v>
      </c>
      <c r="V126" t="s">
        <v>591</v>
      </c>
      <c r="W126" t="s">
        <v>591</v>
      </c>
      <c r="X126" t="s">
        <v>591</v>
      </c>
      <c r="Y126" t="s">
        <v>591</v>
      </c>
    </row>
    <row r="127" spans="1:25">
      <c r="B127" t="s">
        <v>617</v>
      </c>
      <c r="C127">
        <v>28.7</v>
      </c>
      <c r="D127">
        <v>4.8344690000000003</v>
      </c>
      <c r="E127">
        <v>0.919242</v>
      </c>
      <c r="K127">
        <v>26</v>
      </c>
      <c r="L127">
        <v>0</v>
      </c>
      <c r="M127">
        <v>-0.2</v>
      </c>
      <c r="N127">
        <v>26</v>
      </c>
      <c r="O127">
        <v>0.5</v>
      </c>
      <c r="P127">
        <v>-0.2</v>
      </c>
      <c r="T127" t="s">
        <v>591</v>
      </c>
      <c r="U127" t="s">
        <v>591</v>
      </c>
      <c r="V127" t="s">
        <v>591</v>
      </c>
      <c r="W127" t="s">
        <v>591</v>
      </c>
      <c r="X127" t="s">
        <v>591</v>
      </c>
      <c r="Y127" t="s">
        <v>591</v>
      </c>
    </row>
    <row r="128" spans="1:25">
      <c r="K128">
        <v>27</v>
      </c>
      <c r="L128">
        <v>0.1</v>
      </c>
      <c r="M128">
        <v>-0.3</v>
      </c>
      <c r="N128">
        <v>27</v>
      </c>
      <c r="O128">
        <v>0.7</v>
      </c>
      <c r="P128">
        <v>-0.2</v>
      </c>
      <c r="T128" t="s">
        <v>591</v>
      </c>
      <c r="U128" t="s">
        <v>591</v>
      </c>
      <c r="V128" t="s">
        <v>591</v>
      </c>
      <c r="W128" t="s">
        <v>591</v>
      </c>
      <c r="X128" t="s">
        <v>591</v>
      </c>
      <c r="Y128" t="s">
        <v>591</v>
      </c>
    </row>
    <row r="129" spans="1:25">
      <c r="A129" t="s">
        <v>594</v>
      </c>
      <c r="D129" t="s">
        <v>610</v>
      </c>
      <c r="E129" t="s">
        <v>611</v>
      </c>
      <c r="F129" t="s">
        <v>588</v>
      </c>
      <c r="G129" t="s">
        <v>612</v>
      </c>
      <c r="H129" t="s">
        <v>613</v>
      </c>
      <c r="K129">
        <v>28</v>
      </c>
      <c r="L129">
        <v>0.2</v>
      </c>
      <c r="M129">
        <v>-0.5</v>
      </c>
      <c r="N129">
        <v>28</v>
      </c>
      <c r="O129">
        <v>0.9</v>
      </c>
      <c r="P129">
        <v>-0.1</v>
      </c>
      <c r="T129" t="s">
        <v>591</v>
      </c>
      <c r="U129" t="s">
        <v>591</v>
      </c>
      <c r="V129" t="s">
        <v>591</v>
      </c>
      <c r="W129" t="s">
        <v>591</v>
      </c>
      <c r="X129" t="s">
        <v>591</v>
      </c>
      <c r="Y129" t="s">
        <v>591</v>
      </c>
    </row>
    <row r="130" spans="1:25">
      <c r="B130" t="s">
        <v>616</v>
      </c>
      <c r="C130">
        <v>28.7</v>
      </c>
      <c r="D130">
        <v>49.311149999999998</v>
      </c>
      <c r="E130">
        <v>-2.9301699999999999</v>
      </c>
      <c r="F130">
        <v>7.3789999999999994E-2</v>
      </c>
      <c r="K130">
        <v>29</v>
      </c>
      <c r="L130">
        <v>0.4</v>
      </c>
      <c r="M130">
        <v>-0.2</v>
      </c>
      <c r="N130">
        <v>29</v>
      </c>
      <c r="O130">
        <v>0.8</v>
      </c>
      <c r="P130">
        <v>-0.3</v>
      </c>
      <c r="T130" t="s">
        <v>591</v>
      </c>
      <c r="U130" t="s">
        <v>591</v>
      </c>
      <c r="V130" t="s">
        <v>591</v>
      </c>
      <c r="W130" t="s">
        <v>591</v>
      </c>
      <c r="X130" t="s">
        <v>591</v>
      </c>
      <c r="Y130" t="s">
        <v>591</v>
      </c>
    </row>
    <row r="131" spans="1:25">
      <c r="C131" t="s">
        <v>624</v>
      </c>
      <c r="D131">
        <v>-24.875</v>
      </c>
      <c r="E131">
        <v>1.8031999999999999</v>
      </c>
      <c r="K131">
        <v>30</v>
      </c>
      <c r="L131">
        <v>0.6</v>
      </c>
      <c r="M131">
        <v>0</v>
      </c>
      <c r="N131">
        <v>30</v>
      </c>
      <c r="O131">
        <v>0.8</v>
      </c>
      <c r="P131">
        <v>-0.4</v>
      </c>
      <c r="T131" t="s">
        <v>591</v>
      </c>
      <c r="U131" t="s">
        <v>591</v>
      </c>
      <c r="V131" t="s">
        <v>591</v>
      </c>
      <c r="W131" t="s">
        <v>591</v>
      </c>
      <c r="X131" t="s">
        <v>591</v>
      </c>
      <c r="Y131" t="s">
        <v>591</v>
      </c>
    </row>
    <row r="132" spans="1:25">
      <c r="B132" t="s">
        <v>617</v>
      </c>
      <c r="C132">
        <v>30.1</v>
      </c>
      <c r="D132">
        <v>-4.8346099999999996</v>
      </c>
      <c r="E132">
        <v>1.1571499999999999</v>
      </c>
      <c r="K132">
        <v>31</v>
      </c>
      <c r="L132">
        <v>0.8</v>
      </c>
      <c r="M132">
        <v>0.1</v>
      </c>
      <c r="N132">
        <v>31</v>
      </c>
      <c r="O132">
        <v>0.8</v>
      </c>
      <c r="P132">
        <v>-0.3</v>
      </c>
      <c r="T132" t="s">
        <v>591</v>
      </c>
      <c r="U132" t="s">
        <v>591</v>
      </c>
      <c r="V132" t="s">
        <v>591</v>
      </c>
      <c r="W132" t="s">
        <v>591</v>
      </c>
      <c r="X132" t="s">
        <v>591</v>
      </c>
      <c r="Y132" t="s">
        <v>591</v>
      </c>
    </row>
    <row r="133" spans="1:25">
      <c r="K133">
        <v>32</v>
      </c>
      <c r="L133">
        <v>1</v>
      </c>
      <c r="M133">
        <v>0.2</v>
      </c>
      <c r="N133">
        <v>32</v>
      </c>
      <c r="O133">
        <v>0.8</v>
      </c>
      <c r="P133">
        <v>-0.3</v>
      </c>
      <c r="T133" t="s">
        <v>591</v>
      </c>
      <c r="U133" t="s">
        <v>591</v>
      </c>
      <c r="V133" t="s">
        <v>591</v>
      </c>
      <c r="W133" t="s">
        <v>591</v>
      </c>
      <c r="X133" t="s">
        <v>591</v>
      </c>
      <c r="Y133" t="s">
        <v>591</v>
      </c>
    </row>
    <row r="134" spans="1:25">
      <c r="A134" t="s">
        <v>625</v>
      </c>
      <c r="K134">
        <v>33</v>
      </c>
      <c r="L134">
        <v>1</v>
      </c>
      <c r="M134">
        <v>0.4</v>
      </c>
      <c r="N134">
        <v>33</v>
      </c>
      <c r="O134">
        <v>0.9</v>
      </c>
      <c r="P134">
        <v>-0.3</v>
      </c>
      <c r="T134" t="s">
        <v>591</v>
      </c>
      <c r="U134" t="s">
        <v>591</v>
      </c>
      <c r="V134" t="s">
        <v>591</v>
      </c>
      <c r="W134" t="s">
        <v>591</v>
      </c>
      <c r="X134" t="s">
        <v>591</v>
      </c>
      <c r="Y134" t="s">
        <v>591</v>
      </c>
    </row>
    <row r="135" spans="1:25">
      <c r="A135" t="s">
        <v>438</v>
      </c>
      <c r="K135">
        <v>34</v>
      </c>
      <c r="L135">
        <v>1.1000000000000001</v>
      </c>
      <c r="M135">
        <v>0.6</v>
      </c>
      <c r="N135">
        <v>34</v>
      </c>
      <c r="O135">
        <v>1.1000000000000001</v>
      </c>
      <c r="P135">
        <v>-0.3</v>
      </c>
      <c r="T135" t="s">
        <v>591</v>
      </c>
      <c r="U135" t="s">
        <v>591</v>
      </c>
      <c r="V135" t="s">
        <v>591</v>
      </c>
      <c r="W135" t="s">
        <v>591</v>
      </c>
      <c r="X135" t="s">
        <v>591</v>
      </c>
      <c r="Y135" t="s">
        <v>591</v>
      </c>
    </row>
    <row r="136" spans="1:25">
      <c r="A136" t="s">
        <v>626</v>
      </c>
      <c r="B136">
        <v>0</v>
      </c>
      <c r="C136">
        <v>1</v>
      </c>
      <c r="D136">
        <v>2</v>
      </c>
      <c r="E136">
        <v>3</v>
      </c>
      <c r="F136">
        <v>4</v>
      </c>
      <c r="G136">
        <v>5</v>
      </c>
      <c r="H136">
        <v>6</v>
      </c>
      <c r="I136">
        <v>7</v>
      </c>
      <c r="K136">
        <v>35</v>
      </c>
      <c r="L136">
        <v>1.2</v>
      </c>
      <c r="M136">
        <v>0.6</v>
      </c>
      <c r="N136">
        <v>35</v>
      </c>
      <c r="O136">
        <v>1.1000000000000001</v>
      </c>
      <c r="P136">
        <v>-0.2</v>
      </c>
      <c r="T136" t="s">
        <v>591</v>
      </c>
      <c r="U136" t="s">
        <v>591</v>
      </c>
      <c r="V136" t="s">
        <v>591</v>
      </c>
      <c r="W136" t="s">
        <v>591</v>
      </c>
      <c r="X136" t="s">
        <v>591</v>
      </c>
      <c r="Y136" t="s">
        <v>591</v>
      </c>
    </row>
    <row r="137" spans="1:25">
      <c r="A137">
        <v>2</v>
      </c>
      <c r="B137">
        <v>1</v>
      </c>
      <c r="C137">
        <v>1</v>
      </c>
      <c r="D137">
        <v>1</v>
      </c>
      <c r="E137">
        <v>1</v>
      </c>
      <c r="F137">
        <v>1</v>
      </c>
      <c r="G137">
        <v>1</v>
      </c>
      <c r="H137">
        <v>1</v>
      </c>
      <c r="I137">
        <v>1</v>
      </c>
      <c r="K137">
        <v>36</v>
      </c>
      <c r="L137">
        <v>1.4</v>
      </c>
      <c r="M137">
        <v>0.6</v>
      </c>
      <c r="N137">
        <v>36</v>
      </c>
      <c r="O137">
        <v>1.2</v>
      </c>
      <c r="P137">
        <v>-0.2</v>
      </c>
      <c r="T137" t="s">
        <v>591</v>
      </c>
      <c r="U137" t="s">
        <v>591</v>
      </c>
      <c r="V137" t="s">
        <v>591</v>
      </c>
      <c r="W137" t="s">
        <v>591</v>
      </c>
      <c r="X137" t="s">
        <v>591</v>
      </c>
      <c r="Y137" t="s">
        <v>591</v>
      </c>
    </row>
    <row r="138" spans="1:25">
      <c r="A138">
        <v>4</v>
      </c>
      <c r="B138">
        <v>1</v>
      </c>
      <c r="C138">
        <v>1</v>
      </c>
      <c r="D138">
        <v>1</v>
      </c>
      <c r="E138">
        <v>1</v>
      </c>
      <c r="F138">
        <v>1</v>
      </c>
      <c r="G138">
        <v>1</v>
      </c>
      <c r="H138">
        <v>1</v>
      </c>
      <c r="I138">
        <v>1</v>
      </c>
      <c r="K138">
        <v>37</v>
      </c>
      <c r="L138">
        <v>1.5</v>
      </c>
      <c r="M138">
        <v>0.7</v>
      </c>
      <c r="N138">
        <v>37</v>
      </c>
      <c r="O138">
        <v>1.1000000000000001</v>
      </c>
      <c r="P138">
        <v>-0.1</v>
      </c>
      <c r="T138" t="s">
        <v>591</v>
      </c>
      <c r="U138" t="s">
        <v>591</v>
      </c>
      <c r="V138" t="s">
        <v>591</v>
      </c>
      <c r="W138" t="s">
        <v>591</v>
      </c>
      <c r="X138" t="s">
        <v>591</v>
      </c>
      <c r="Y138" t="s">
        <v>591</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591</v>
      </c>
      <c r="U139" t="s">
        <v>591</v>
      </c>
      <c r="V139" t="s">
        <v>591</v>
      </c>
      <c r="W139" t="s">
        <v>591</v>
      </c>
      <c r="X139" t="s">
        <v>591</v>
      </c>
      <c r="Y139" t="s">
        <v>591</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591</v>
      </c>
      <c r="U140" t="s">
        <v>591</v>
      </c>
      <c r="V140" t="s">
        <v>591</v>
      </c>
      <c r="W140" t="s">
        <v>591</v>
      </c>
      <c r="X140" t="s">
        <v>591</v>
      </c>
      <c r="Y140" t="s">
        <v>591</v>
      </c>
    </row>
    <row r="141" spans="1:25">
      <c r="A141" t="s">
        <v>497</v>
      </c>
      <c r="T141" t="s">
        <v>591</v>
      </c>
      <c r="U141" t="s">
        <v>591</v>
      </c>
      <c r="V141" t="s">
        <v>591</v>
      </c>
      <c r="W141" t="s">
        <v>591</v>
      </c>
      <c r="X141" t="s">
        <v>591</v>
      </c>
      <c r="Y141" t="s">
        <v>591</v>
      </c>
    </row>
    <row r="142" spans="1:25">
      <c r="A142" t="s">
        <v>626</v>
      </c>
      <c r="B142">
        <v>0</v>
      </c>
      <c r="C142">
        <v>1</v>
      </c>
      <c r="D142">
        <v>2</v>
      </c>
      <c r="E142">
        <v>3</v>
      </c>
      <c r="F142">
        <v>4</v>
      </c>
      <c r="T142" t="s">
        <v>591</v>
      </c>
      <c r="U142" t="s">
        <v>591</v>
      </c>
      <c r="V142" t="s">
        <v>591</v>
      </c>
      <c r="W142" t="s">
        <v>591</v>
      </c>
      <c r="X142" t="s">
        <v>591</v>
      </c>
      <c r="Y142" t="s">
        <v>591</v>
      </c>
    </row>
    <row r="143" spans="1:25">
      <c r="A143">
        <v>2</v>
      </c>
      <c r="B143">
        <v>1.1499999999999999</v>
      </c>
      <c r="C143">
        <v>1.1499999999999999</v>
      </c>
      <c r="D143">
        <v>1.1499999999999999</v>
      </c>
      <c r="E143">
        <v>1.1499999999999999</v>
      </c>
      <c r="F143">
        <v>1.5</v>
      </c>
      <c r="T143" t="s">
        <v>591</v>
      </c>
      <c r="U143" t="s">
        <v>591</v>
      </c>
      <c r="V143" t="s">
        <v>591</v>
      </c>
      <c r="W143" t="s">
        <v>591</v>
      </c>
      <c r="X143" t="s">
        <v>591</v>
      </c>
      <c r="Y143" t="s">
        <v>591</v>
      </c>
    </row>
    <row r="144" spans="1:25">
      <c r="A144">
        <v>4</v>
      </c>
      <c r="B144">
        <v>1.1499999999999999</v>
      </c>
      <c r="C144">
        <v>1.1499999999999999</v>
      </c>
      <c r="D144">
        <v>1.1499999999999999</v>
      </c>
      <c r="E144">
        <v>1.1499999999999999</v>
      </c>
      <c r="F144">
        <v>1.5</v>
      </c>
      <c r="T144" t="s">
        <v>591</v>
      </c>
      <c r="U144" t="s">
        <v>591</v>
      </c>
      <c r="V144" t="s">
        <v>591</v>
      </c>
      <c r="W144" t="s">
        <v>591</v>
      </c>
      <c r="X144" t="s">
        <v>591</v>
      </c>
      <c r="Y144" t="s">
        <v>591</v>
      </c>
    </row>
    <row r="145" spans="1:25">
      <c r="A145">
        <v>6</v>
      </c>
      <c r="B145">
        <v>1.19</v>
      </c>
      <c r="C145">
        <v>1.18</v>
      </c>
      <c r="D145">
        <v>1.18</v>
      </c>
      <c r="E145">
        <v>1.18</v>
      </c>
      <c r="F145">
        <v>1.55</v>
      </c>
      <c r="T145" t="s">
        <v>591</v>
      </c>
      <c r="U145" t="s">
        <v>591</v>
      </c>
      <c r="V145" t="s">
        <v>591</v>
      </c>
      <c r="W145" t="s">
        <v>591</v>
      </c>
      <c r="X145" t="s">
        <v>591</v>
      </c>
      <c r="Y145" t="s">
        <v>591</v>
      </c>
    </row>
    <row r="146" spans="1:25">
      <c r="A146">
        <v>8</v>
      </c>
      <c r="B146">
        <v>1.28</v>
      </c>
      <c r="C146">
        <v>1.24</v>
      </c>
      <c r="D146">
        <v>1.22</v>
      </c>
      <c r="E146">
        <v>1.29</v>
      </c>
      <c r="F146">
        <v>1.67</v>
      </c>
      <c r="T146" t="s">
        <v>591</v>
      </c>
      <c r="U146" t="s">
        <v>591</v>
      </c>
      <c r="V146" t="s">
        <v>591</v>
      </c>
      <c r="W146" t="s">
        <v>591</v>
      </c>
      <c r="X146" t="s">
        <v>591</v>
      </c>
      <c r="Y146" t="s">
        <v>591</v>
      </c>
    </row>
    <row r="147" spans="1:25">
      <c r="A147" t="s">
        <v>627</v>
      </c>
      <c r="D147" t="s">
        <v>628</v>
      </c>
      <c r="T147" t="s">
        <v>591</v>
      </c>
      <c r="U147" t="s">
        <v>591</v>
      </c>
      <c r="V147" t="s">
        <v>591</v>
      </c>
      <c r="W147" t="s">
        <v>591</v>
      </c>
      <c r="X147" t="s">
        <v>591</v>
      </c>
      <c r="Y147" t="s">
        <v>591</v>
      </c>
    </row>
    <row r="148" spans="1:25">
      <c r="A148" t="s">
        <v>626</v>
      </c>
      <c r="B148">
        <v>0</v>
      </c>
      <c r="D148" t="s">
        <v>47</v>
      </c>
      <c r="E148">
        <v>0</v>
      </c>
      <c r="F148">
        <v>1</v>
      </c>
      <c r="T148" t="s">
        <v>591</v>
      </c>
      <c r="U148" t="s">
        <v>591</v>
      </c>
      <c r="V148" t="s">
        <v>591</v>
      </c>
      <c r="W148" t="s">
        <v>591</v>
      </c>
      <c r="X148" t="s">
        <v>591</v>
      </c>
      <c r="Y148" t="s">
        <v>591</v>
      </c>
    </row>
    <row r="149" spans="1:25">
      <c r="A149">
        <v>2</v>
      </c>
      <c r="B149">
        <v>0.91</v>
      </c>
      <c r="D149">
        <v>2</v>
      </c>
      <c r="E149">
        <v>1</v>
      </c>
      <c r="F149">
        <v>0.72</v>
      </c>
      <c r="T149" t="s">
        <v>591</v>
      </c>
      <c r="U149" t="s">
        <v>591</v>
      </c>
      <c r="V149" t="s">
        <v>591</v>
      </c>
      <c r="W149" t="s">
        <v>591</v>
      </c>
      <c r="X149" t="s">
        <v>591</v>
      </c>
      <c r="Y149" t="s">
        <v>591</v>
      </c>
    </row>
    <row r="150" spans="1:25">
      <c r="A150">
        <v>4</v>
      </c>
      <c r="B150">
        <v>1</v>
      </c>
      <c r="D150">
        <v>4</v>
      </c>
      <c r="E150">
        <v>1</v>
      </c>
      <c r="F150">
        <v>0.9</v>
      </c>
      <c r="T150" t="s">
        <v>591</v>
      </c>
      <c r="U150" t="s">
        <v>591</v>
      </c>
      <c r="V150" t="s">
        <v>591</v>
      </c>
      <c r="W150" t="s">
        <v>591</v>
      </c>
      <c r="X150" t="s">
        <v>591</v>
      </c>
      <c r="Y150" t="s">
        <v>591</v>
      </c>
    </row>
    <row r="151" spans="1:25">
      <c r="A151">
        <v>6</v>
      </c>
      <c r="B151">
        <v>1.32</v>
      </c>
      <c r="D151">
        <v>6</v>
      </c>
      <c r="E151">
        <v>1.91</v>
      </c>
      <c r="F151">
        <v>1.71</v>
      </c>
      <c r="T151" t="s">
        <v>591</v>
      </c>
      <c r="U151" t="s">
        <v>591</v>
      </c>
      <c r="V151" t="s">
        <v>591</v>
      </c>
      <c r="W151" t="s">
        <v>591</v>
      </c>
      <c r="X151" t="s">
        <v>591</v>
      </c>
      <c r="Y151" t="s">
        <v>591</v>
      </c>
    </row>
    <row r="152" spans="1:25">
      <c r="A152">
        <v>8</v>
      </c>
      <c r="B152">
        <v>1.88</v>
      </c>
      <c r="D152">
        <v>8</v>
      </c>
      <c r="E152">
        <v>1.81</v>
      </c>
      <c r="F152">
        <v>2.2200000000000002</v>
      </c>
      <c r="T152" t="s">
        <v>591</v>
      </c>
      <c r="U152" t="s">
        <v>591</v>
      </c>
      <c r="V152" t="s">
        <v>591</v>
      </c>
      <c r="W152" t="s">
        <v>591</v>
      </c>
      <c r="X152" t="s">
        <v>591</v>
      </c>
      <c r="Y152" t="s">
        <v>591</v>
      </c>
    </row>
    <row r="153" spans="1:25">
      <c r="A153" t="s">
        <v>629</v>
      </c>
      <c r="E153" t="s">
        <v>630</v>
      </c>
      <c r="T153" t="s">
        <v>591</v>
      </c>
      <c r="U153" t="s">
        <v>591</v>
      </c>
      <c r="V153" t="s">
        <v>591</v>
      </c>
      <c r="W153" t="s">
        <v>591</v>
      </c>
      <c r="X153" t="s">
        <v>591</v>
      </c>
      <c r="Y153" t="s">
        <v>591</v>
      </c>
    </row>
    <row r="154" spans="1:25">
      <c r="A154" t="s">
        <v>626</v>
      </c>
      <c r="B154">
        <v>0</v>
      </c>
      <c r="C154">
        <v>1</v>
      </c>
      <c r="E154" t="s">
        <v>47</v>
      </c>
      <c r="F154">
        <v>0</v>
      </c>
      <c r="T154" t="s">
        <v>591</v>
      </c>
      <c r="U154" t="s">
        <v>591</v>
      </c>
      <c r="V154" t="s">
        <v>591</v>
      </c>
      <c r="W154" t="s">
        <v>591</v>
      </c>
      <c r="X154" t="s">
        <v>591</v>
      </c>
      <c r="Y154" t="s">
        <v>591</v>
      </c>
    </row>
    <row r="155" spans="1:25">
      <c r="A155">
        <v>2</v>
      </c>
      <c r="B155">
        <v>0.7</v>
      </c>
      <c r="C155">
        <v>0.7</v>
      </c>
      <c r="E155">
        <v>2</v>
      </c>
      <c r="F155">
        <v>0.56999999999999995</v>
      </c>
      <c r="T155" t="s">
        <v>591</v>
      </c>
      <c r="U155" t="s">
        <v>591</v>
      </c>
      <c r="V155" t="s">
        <v>591</v>
      </c>
      <c r="W155" t="s">
        <v>591</v>
      </c>
      <c r="X155" t="s">
        <v>591</v>
      </c>
      <c r="Y155" t="s">
        <v>591</v>
      </c>
    </row>
    <row r="156" spans="1:25">
      <c r="A156">
        <v>4</v>
      </c>
      <c r="B156">
        <v>0.91</v>
      </c>
      <c r="C156">
        <v>0.91</v>
      </c>
      <c r="E156">
        <v>4</v>
      </c>
      <c r="F156">
        <v>0.91</v>
      </c>
      <c r="T156" t="s">
        <v>591</v>
      </c>
      <c r="U156" t="s">
        <v>591</v>
      </c>
      <c r="V156" t="s">
        <v>591</v>
      </c>
      <c r="W156" t="s">
        <v>591</v>
      </c>
      <c r="X156" t="s">
        <v>591</v>
      </c>
      <c r="Y156" t="s">
        <v>591</v>
      </c>
    </row>
    <row r="157" spans="1:25">
      <c r="A157">
        <v>6</v>
      </c>
      <c r="B157">
        <v>1.55</v>
      </c>
      <c r="C157">
        <v>1.55</v>
      </c>
      <c r="E157">
        <v>6</v>
      </c>
      <c r="F157">
        <v>1.68</v>
      </c>
      <c r="T157" t="s">
        <v>591</v>
      </c>
      <c r="U157" t="s">
        <v>591</v>
      </c>
      <c r="V157" t="s">
        <v>591</v>
      </c>
      <c r="W157" t="s">
        <v>591</v>
      </c>
      <c r="X157" t="s">
        <v>591</v>
      </c>
      <c r="Y157" t="s">
        <v>591</v>
      </c>
    </row>
    <row r="158" spans="1:25">
      <c r="A158">
        <v>8</v>
      </c>
      <c r="B158">
        <v>2.78</v>
      </c>
      <c r="C158">
        <v>2.78</v>
      </c>
      <c r="E158">
        <v>8</v>
      </c>
      <c r="F158">
        <v>1.93</v>
      </c>
      <c r="T158" t="s">
        <v>591</v>
      </c>
      <c r="U158" t="s">
        <v>591</v>
      </c>
      <c r="V158" t="s">
        <v>591</v>
      </c>
      <c r="W158" t="s">
        <v>591</v>
      </c>
      <c r="X158" t="s">
        <v>591</v>
      </c>
      <c r="Y158" t="s">
        <v>591</v>
      </c>
    </row>
    <row r="159" spans="1:25">
      <c r="T159" t="s">
        <v>591</v>
      </c>
      <c r="U159" t="s">
        <v>591</v>
      </c>
      <c r="V159" t="s">
        <v>591</v>
      </c>
      <c r="W159" t="s">
        <v>591</v>
      </c>
      <c r="X159" t="s">
        <v>591</v>
      </c>
      <c r="Y159" t="s">
        <v>591</v>
      </c>
    </row>
    <row r="160" spans="1:25">
      <c r="A160" t="s">
        <v>631</v>
      </c>
      <c r="T160" t="s">
        <v>591</v>
      </c>
      <c r="U160" t="s">
        <v>591</v>
      </c>
      <c r="V160" t="s">
        <v>591</v>
      </c>
      <c r="W160" t="s">
        <v>591</v>
      </c>
      <c r="X160" t="s">
        <v>591</v>
      </c>
      <c r="Y160" t="s">
        <v>591</v>
      </c>
    </row>
    <row r="161" spans="1:25">
      <c r="A161" t="s">
        <v>626</v>
      </c>
      <c r="B161">
        <v>0</v>
      </c>
      <c r="D161">
        <v>1</v>
      </c>
      <c r="F161">
        <v>2</v>
      </c>
      <c r="H161">
        <v>2</v>
      </c>
      <c r="T161" t="s">
        <v>591</v>
      </c>
      <c r="U161" t="s">
        <v>591</v>
      </c>
      <c r="V161" t="s">
        <v>591</v>
      </c>
      <c r="W161" t="s">
        <v>591</v>
      </c>
      <c r="X161" t="s">
        <v>591</v>
      </c>
      <c r="Y161" t="s">
        <v>591</v>
      </c>
    </row>
    <row r="162" spans="1:25">
      <c r="B162" t="s">
        <v>622</v>
      </c>
      <c r="C162" t="s">
        <v>623</v>
      </c>
      <c r="D162" t="s">
        <v>622</v>
      </c>
      <c r="E162" t="s">
        <v>623</v>
      </c>
      <c r="F162" t="s">
        <v>622</v>
      </c>
      <c r="G162" t="s">
        <v>623</v>
      </c>
      <c r="H162" t="s">
        <v>622</v>
      </c>
      <c r="I162" t="s">
        <v>623</v>
      </c>
      <c r="T162" t="s">
        <v>591</v>
      </c>
      <c r="U162" t="s">
        <v>591</v>
      </c>
      <c r="V162" t="s">
        <v>591</v>
      </c>
      <c r="W162" t="s">
        <v>591</v>
      </c>
      <c r="X162" t="s">
        <v>591</v>
      </c>
      <c r="Y162" t="s">
        <v>591</v>
      </c>
    </row>
    <row r="163" spans="1:25">
      <c r="A163">
        <v>0</v>
      </c>
      <c r="B163">
        <v>1</v>
      </c>
      <c r="C163">
        <v>1</v>
      </c>
      <c r="D163">
        <v>1</v>
      </c>
      <c r="E163">
        <v>1</v>
      </c>
      <c r="F163">
        <v>1</v>
      </c>
      <c r="G163">
        <v>1</v>
      </c>
      <c r="H163">
        <v>1</v>
      </c>
      <c r="I163">
        <v>1</v>
      </c>
      <c r="T163" t="s">
        <v>591</v>
      </c>
      <c r="U163" t="s">
        <v>591</v>
      </c>
      <c r="V163" t="s">
        <v>591</v>
      </c>
      <c r="W163" t="s">
        <v>591</v>
      </c>
      <c r="X163" t="s">
        <v>591</v>
      </c>
      <c r="Y163" t="s">
        <v>591</v>
      </c>
    </row>
    <row r="164" spans="1:25">
      <c r="A164">
        <v>1</v>
      </c>
      <c r="B164">
        <v>1</v>
      </c>
      <c r="C164">
        <v>1</v>
      </c>
      <c r="D164">
        <v>1</v>
      </c>
      <c r="E164">
        <v>1</v>
      </c>
      <c r="F164">
        <v>1</v>
      </c>
      <c r="G164">
        <v>1</v>
      </c>
      <c r="H164">
        <v>1</v>
      </c>
      <c r="I164">
        <v>1</v>
      </c>
      <c r="T164" t="s">
        <v>591</v>
      </c>
      <c r="U164" t="s">
        <v>591</v>
      </c>
      <c r="V164" t="s">
        <v>591</v>
      </c>
      <c r="W164" t="s">
        <v>591</v>
      </c>
      <c r="X164" t="s">
        <v>591</v>
      </c>
      <c r="Y164" t="s">
        <v>591</v>
      </c>
    </row>
    <row r="165" spans="1:25">
      <c r="A165">
        <v>2</v>
      </c>
      <c r="B165">
        <v>1</v>
      </c>
      <c r="C165">
        <v>1</v>
      </c>
      <c r="D165">
        <v>1</v>
      </c>
      <c r="E165">
        <v>1</v>
      </c>
      <c r="F165">
        <v>1</v>
      </c>
      <c r="G165">
        <v>1</v>
      </c>
      <c r="H165">
        <v>1</v>
      </c>
      <c r="I165">
        <v>1</v>
      </c>
      <c r="T165" t="s">
        <v>591</v>
      </c>
      <c r="U165" t="s">
        <v>591</v>
      </c>
      <c r="V165" t="s">
        <v>591</v>
      </c>
      <c r="W165" t="s">
        <v>591</v>
      </c>
      <c r="X165" t="s">
        <v>591</v>
      </c>
      <c r="Y165" t="s">
        <v>591</v>
      </c>
    </row>
    <row r="166" spans="1:25">
      <c r="A166">
        <v>3</v>
      </c>
      <c r="B166">
        <v>1</v>
      </c>
      <c r="C166">
        <v>1</v>
      </c>
      <c r="D166">
        <v>1</v>
      </c>
      <c r="E166">
        <v>1</v>
      </c>
      <c r="F166">
        <v>1</v>
      </c>
      <c r="G166">
        <v>1</v>
      </c>
      <c r="H166">
        <v>1</v>
      </c>
      <c r="I166">
        <v>1</v>
      </c>
      <c r="T166" t="s">
        <v>591</v>
      </c>
      <c r="U166" t="s">
        <v>591</v>
      </c>
      <c r="V166" t="s">
        <v>591</v>
      </c>
      <c r="W166" t="s">
        <v>591</v>
      </c>
      <c r="X166" t="s">
        <v>591</v>
      </c>
      <c r="Y166" t="s">
        <v>591</v>
      </c>
    </row>
    <row r="167" spans="1:25">
      <c r="A167">
        <v>4</v>
      </c>
      <c r="B167">
        <v>1</v>
      </c>
      <c r="C167">
        <v>1</v>
      </c>
      <c r="D167">
        <v>1</v>
      </c>
      <c r="E167">
        <v>1</v>
      </c>
      <c r="F167">
        <v>1</v>
      </c>
      <c r="G167">
        <v>1</v>
      </c>
      <c r="H167">
        <v>1</v>
      </c>
      <c r="I167">
        <v>1</v>
      </c>
      <c r="T167" t="s">
        <v>591</v>
      </c>
      <c r="U167" t="s">
        <v>591</v>
      </c>
      <c r="V167" t="s">
        <v>591</v>
      </c>
      <c r="W167" t="s">
        <v>591</v>
      </c>
      <c r="X167" t="s">
        <v>591</v>
      </c>
      <c r="Y167" t="s">
        <v>591</v>
      </c>
    </row>
    <row r="168" spans="1:25">
      <c r="A168">
        <v>5</v>
      </c>
      <c r="B168">
        <v>1</v>
      </c>
      <c r="C168">
        <v>1</v>
      </c>
      <c r="D168">
        <v>1</v>
      </c>
      <c r="E168">
        <v>1</v>
      </c>
      <c r="F168">
        <v>1.1499999999999999</v>
      </c>
      <c r="G168">
        <v>1</v>
      </c>
      <c r="H168">
        <v>1</v>
      </c>
      <c r="I168">
        <v>1</v>
      </c>
      <c r="T168" t="s">
        <v>591</v>
      </c>
      <c r="U168" t="s">
        <v>591</v>
      </c>
      <c r="V168" t="s">
        <v>591</v>
      </c>
      <c r="W168" t="s">
        <v>591</v>
      </c>
      <c r="X168" t="s">
        <v>591</v>
      </c>
      <c r="Y168" t="s">
        <v>591</v>
      </c>
    </row>
    <row r="169" spans="1:25">
      <c r="A169">
        <v>6</v>
      </c>
      <c r="B169">
        <v>1</v>
      </c>
      <c r="C169">
        <v>1</v>
      </c>
      <c r="D169">
        <v>1</v>
      </c>
      <c r="E169">
        <v>1.1499999999999999</v>
      </c>
      <c r="F169">
        <v>1.1499999999999999</v>
      </c>
      <c r="G169">
        <v>1</v>
      </c>
      <c r="H169">
        <v>1</v>
      </c>
      <c r="I169">
        <v>1</v>
      </c>
      <c r="T169" t="s">
        <v>591</v>
      </c>
      <c r="U169" t="s">
        <v>591</v>
      </c>
      <c r="V169" t="s">
        <v>591</v>
      </c>
      <c r="W169" t="s">
        <v>591</v>
      </c>
      <c r="X169" t="s">
        <v>591</v>
      </c>
      <c r="Y169" t="s">
        <v>591</v>
      </c>
    </row>
    <row r="170" spans="1:25">
      <c r="A170">
        <v>7</v>
      </c>
      <c r="B170">
        <v>1.1000000000000001</v>
      </c>
      <c r="C170">
        <v>1</v>
      </c>
      <c r="D170">
        <v>1.1000000000000001</v>
      </c>
      <c r="E170">
        <v>1.1499999999999999</v>
      </c>
      <c r="F170">
        <v>1.1499999999999999</v>
      </c>
      <c r="G170">
        <v>1</v>
      </c>
      <c r="H170">
        <v>1</v>
      </c>
      <c r="I170">
        <v>1</v>
      </c>
      <c r="T170" t="s">
        <v>591</v>
      </c>
      <c r="U170" t="s">
        <v>591</v>
      </c>
      <c r="V170" t="s">
        <v>591</v>
      </c>
      <c r="W170" t="s">
        <v>591</v>
      </c>
      <c r="X170" t="s">
        <v>591</v>
      </c>
      <c r="Y170" t="s">
        <v>591</v>
      </c>
    </row>
    <row r="171" spans="1:25">
      <c r="A171">
        <v>8</v>
      </c>
      <c r="B171">
        <v>1.1499999999999999</v>
      </c>
      <c r="C171">
        <v>1</v>
      </c>
      <c r="D171">
        <v>1.1499999999999999</v>
      </c>
      <c r="E171">
        <v>1.1499999999999999</v>
      </c>
      <c r="F171">
        <v>1.1499999999999999</v>
      </c>
      <c r="G171">
        <v>1</v>
      </c>
      <c r="H171">
        <v>1</v>
      </c>
      <c r="I171">
        <v>1</v>
      </c>
      <c r="T171" t="s">
        <v>591</v>
      </c>
      <c r="U171" t="s">
        <v>591</v>
      </c>
      <c r="V171" t="s">
        <v>591</v>
      </c>
      <c r="W171" t="s">
        <v>591</v>
      </c>
      <c r="X171" t="s">
        <v>591</v>
      </c>
      <c r="Y171" t="s">
        <v>591</v>
      </c>
    </row>
    <row r="172" spans="1:25">
      <c r="A172">
        <v>9</v>
      </c>
      <c r="B172">
        <v>1.1000000000000001</v>
      </c>
      <c r="C172">
        <v>1</v>
      </c>
      <c r="D172">
        <v>1.1000000000000001</v>
      </c>
      <c r="E172">
        <v>1.1499999999999999</v>
      </c>
      <c r="F172">
        <v>1.1499999999999999</v>
      </c>
      <c r="G172">
        <v>1</v>
      </c>
      <c r="H172">
        <v>1</v>
      </c>
      <c r="I172">
        <v>1</v>
      </c>
      <c r="T172" t="s">
        <v>591</v>
      </c>
      <c r="U172" t="s">
        <v>591</v>
      </c>
      <c r="V172" t="s">
        <v>591</v>
      </c>
      <c r="W172" t="s">
        <v>591</v>
      </c>
      <c r="X172" t="s">
        <v>591</v>
      </c>
      <c r="Y172" t="s">
        <v>591</v>
      </c>
    </row>
    <row r="173" spans="1:25">
      <c r="A173">
        <v>10</v>
      </c>
      <c r="B173">
        <v>1</v>
      </c>
      <c r="C173">
        <v>1</v>
      </c>
      <c r="D173">
        <v>1</v>
      </c>
      <c r="E173">
        <v>1</v>
      </c>
      <c r="F173">
        <v>1</v>
      </c>
      <c r="G173">
        <v>1</v>
      </c>
      <c r="H173">
        <v>1</v>
      </c>
      <c r="I173">
        <v>1</v>
      </c>
      <c r="T173" t="s">
        <v>591</v>
      </c>
      <c r="U173" t="s">
        <v>591</v>
      </c>
      <c r="V173" t="s">
        <v>591</v>
      </c>
      <c r="W173" t="s">
        <v>591</v>
      </c>
      <c r="X173" t="s">
        <v>591</v>
      </c>
      <c r="Y173" t="s">
        <v>591</v>
      </c>
    </row>
    <row r="174" spans="1:25">
      <c r="A174">
        <v>11</v>
      </c>
      <c r="B174">
        <v>1</v>
      </c>
      <c r="C174">
        <v>1</v>
      </c>
      <c r="D174">
        <v>1</v>
      </c>
      <c r="E174">
        <v>1</v>
      </c>
      <c r="F174">
        <v>1</v>
      </c>
      <c r="G174">
        <v>1</v>
      </c>
      <c r="H174">
        <v>1</v>
      </c>
      <c r="I174">
        <v>1</v>
      </c>
      <c r="T174" t="s">
        <v>591</v>
      </c>
      <c r="U174" t="s">
        <v>591</v>
      </c>
      <c r="V174" t="s">
        <v>591</v>
      </c>
      <c r="W174" t="s">
        <v>591</v>
      </c>
      <c r="X174" t="s">
        <v>591</v>
      </c>
      <c r="Y174" t="s">
        <v>591</v>
      </c>
    </row>
    <row r="175" spans="1:25">
      <c r="A175">
        <v>12</v>
      </c>
      <c r="B175">
        <v>1</v>
      </c>
      <c r="C175">
        <v>1</v>
      </c>
      <c r="D175">
        <v>1</v>
      </c>
      <c r="E175">
        <v>1</v>
      </c>
      <c r="F175">
        <v>1</v>
      </c>
      <c r="G175">
        <v>1</v>
      </c>
      <c r="H175">
        <v>1</v>
      </c>
      <c r="I175">
        <v>1</v>
      </c>
      <c r="T175" t="s">
        <v>591</v>
      </c>
      <c r="U175" t="s">
        <v>591</v>
      </c>
      <c r="V175" t="s">
        <v>591</v>
      </c>
      <c r="W175" t="s">
        <v>591</v>
      </c>
      <c r="X175" t="s">
        <v>591</v>
      </c>
      <c r="Y175" t="s">
        <v>591</v>
      </c>
    </row>
    <row r="176" spans="1:25">
      <c r="A176">
        <v>13</v>
      </c>
      <c r="B176">
        <v>1</v>
      </c>
      <c r="C176">
        <v>1</v>
      </c>
      <c r="D176">
        <v>1</v>
      </c>
      <c r="E176">
        <v>1</v>
      </c>
      <c r="F176">
        <v>1</v>
      </c>
      <c r="G176">
        <v>1</v>
      </c>
      <c r="H176">
        <v>1</v>
      </c>
      <c r="I176">
        <v>1</v>
      </c>
      <c r="T176" t="s">
        <v>591</v>
      </c>
      <c r="U176" t="s">
        <v>591</v>
      </c>
      <c r="V176" t="s">
        <v>591</v>
      </c>
      <c r="W176" t="s">
        <v>591</v>
      </c>
      <c r="X176" t="s">
        <v>591</v>
      </c>
      <c r="Y176" t="s">
        <v>591</v>
      </c>
    </row>
    <row r="177" spans="1:25">
      <c r="A177">
        <v>14</v>
      </c>
      <c r="B177">
        <v>1</v>
      </c>
      <c r="C177">
        <v>1</v>
      </c>
      <c r="D177">
        <v>1</v>
      </c>
      <c r="E177">
        <v>1</v>
      </c>
      <c r="F177">
        <v>1</v>
      </c>
      <c r="G177">
        <v>1</v>
      </c>
      <c r="H177">
        <v>1</v>
      </c>
      <c r="I177">
        <v>1</v>
      </c>
      <c r="T177" t="s">
        <v>591</v>
      </c>
      <c r="U177" t="s">
        <v>591</v>
      </c>
      <c r="V177" t="s">
        <v>591</v>
      </c>
      <c r="W177" t="s">
        <v>591</v>
      </c>
      <c r="X177" t="s">
        <v>591</v>
      </c>
      <c r="Y177" t="s">
        <v>591</v>
      </c>
    </row>
    <row r="178" spans="1:25">
      <c r="T178" t="s">
        <v>591</v>
      </c>
      <c r="U178" t="s">
        <v>591</v>
      </c>
      <c r="V178" t="s">
        <v>591</v>
      </c>
      <c r="W178" t="s">
        <v>591</v>
      </c>
      <c r="X178" t="s">
        <v>591</v>
      </c>
      <c r="Y178" t="s">
        <v>591</v>
      </c>
    </row>
    <row r="179" spans="1:25">
      <c r="A179" t="s">
        <v>711</v>
      </c>
      <c r="T179" t="s">
        <v>591</v>
      </c>
      <c r="U179" t="s">
        <v>591</v>
      </c>
      <c r="V179" t="s">
        <v>591</v>
      </c>
      <c r="W179" t="s">
        <v>591</v>
      </c>
      <c r="X179" t="s">
        <v>591</v>
      </c>
      <c r="Y179" t="s">
        <v>591</v>
      </c>
    </row>
    <row r="180" spans="1:25">
      <c r="B180" s="710" t="s">
        <v>712</v>
      </c>
      <c r="C180" s="710"/>
      <c r="E180" s="710" t="s">
        <v>713</v>
      </c>
      <c r="F180" s="710"/>
      <c r="T180" t="s">
        <v>591</v>
      </c>
      <c r="U180" t="s">
        <v>591</v>
      </c>
      <c r="V180" t="s">
        <v>591</v>
      </c>
      <c r="W180" t="s">
        <v>591</v>
      </c>
      <c r="X180" t="s">
        <v>591</v>
      </c>
      <c r="Y180" t="s">
        <v>591</v>
      </c>
    </row>
    <row r="181" spans="1:25">
      <c r="A181" t="s">
        <v>626</v>
      </c>
      <c r="B181">
        <v>0</v>
      </c>
      <c r="C181">
        <v>1</v>
      </c>
      <c r="D181" t="s">
        <v>626</v>
      </c>
      <c r="E181">
        <v>0</v>
      </c>
      <c r="F181">
        <v>1</v>
      </c>
      <c r="T181" t="s">
        <v>591</v>
      </c>
      <c r="U181" t="s">
        <v>591</v>
      </c>
      <c r="V181" t="s">
        <v>591</v>
      </c>
      <c r="W181" t="s">
        <v>591</v>
      </c>
      <c r="X181" t="s">
        <v>591</v>
      </c>
      <c r="Y181" t="s">
        <v>591</v>
      </c>
    </row>
    <row r="182" spans="1:25">
      <c r="A182">
        <v>2</v>
      </c>
      <c r="B182">
        <v>0.71</v>
      </c>
      <c r="C182">
        <v>0.69</v>
      </c>
      <c r="D182">
        <v>2</v>
      </c>
      <c r="E182">
        <v>0.88</v>
      </c>
      <c r="F182">
        <v>0.65</v>
      </c>
      <c r="T182" t="s">
        <v>591</v>
      </c>
      <c r="U182" t="s">
        <v>591</v>
      </c>
      <c r="V182" t="s">
        <v>591</v>
      </c>
      <c r="W182" t="s">
        <v>591</v>
      </c>
      <c r="X182" t="s">
        <v>591</v>
      </c>
      <c r="Y182" t="s">
        <v>591</v>
      </c>
    </row>
    <row r="183" spans="1:25">
      <c r="A183">
        <v>4</v>
      </c>
      <c r="B183">
        <v>0.94</v>
      </c>
      <c r="C183">
        <v>0.98</v>
      </c>
      <c r="D183">
        <v>4</v>
      </c>
      <c r="E183">
        <v>0.94</v>
      </c>
      <c r="F183">
        <v>0.96</v>
      </c>
      <c r="T183" t="s">
        <v>591</v>
      </c>
      <c r="U183" t="s">
        <v>591</v>
      </c>
      <c r="V183" t="s">
        <v>591</v>
      </c>
      <c r="W183" t="s">
        <v>591</v>
      </c>
      <c r="X183" t="s">
        <v>591</v>
      </c>
      <c r="Y183" t="s">
        <v>591</v>
      </c>
    </row>
    <row r="184" spans="1:25">
      <c r="A184">
        <v>6</v>
      </c>
      <c r="B184">
        <v>1.3</v>
      </c>
      <c r="C184">
        <v>1.0900000000000001</v>
      </c>
      <c r="D184">
        <v>6</v>
      </c>
      <c r="E184">
        <v>1.53</v>
      </c>
      <c r="F184">
        <v>1.61</v>
      </c>
      <c r="T184" t="s">
        <v>591</v>
      </c>
      <c r="U184" t="s">
        <v>591</v>
      </c>
      <c r="V184" t="s">
        <v>591</v>
      </c>
      <c r="W184" t="s">
        <v>591</v>
      </c>
      <c r="X184" t="s">
        <v>591</v>
      </c>
      <c r="Y184" t="s">
        <v>591</v>
      </c>
    </row>
    <row r="185" spans="1:25">
      <c r="A185">
        <v>8</v>
      </c>
      <c r="B185">
        <v>1.71</v>
      </c>
      <c r="C185">
        <v>1.53</v>
      </c>
      <c r="D185">
        <v>8</v>
      </c>
      <c r="E185">
        <v>2.3199999999999998</v>
      </c>
      <c r="F185">
        <v>2.91</v>
      </c>
      <c r="T185" t="s">
        <v>591</v>
      </c>
      <c r="U185" t="s">
        <v>591</v>
      </c>
      <c r="V185" t="s">
        <v>591</v>
      </c>
      <c r="W185" t="s">
        <v>591</v>
      </c>
      <c r="X185" t="s">
        <v>591</v>
      </c>
      <c r="Y185" t="s">
        <v>591</v>
      </c>
    </row>
    <row r="186" spans="1:25">
      <c r="T186" t="s">
        <v>591</v>
      </c>
      <c r="U186" t="s">
        <v>591</v>
      </c>
      <c r="V186" t="s">
        <v>591</v>
      </c>
      <c r="W186" t="s">
        <v>591</v>
      </c>
      <c r="X186" t="s">
        <v>591</v>
      </c>
      <c r="Y186" t="s">
        <v>591</v>
      </c>
    </row>
    <row r="187" spans="1:25">
      <c r="T187" t="s">
        <v>591</v>
      </c>
      <c r="U187" t="s">
        <v>591</v>
      </c>
      <c r="V187" t="s">
        <v>591</v>
      </c>
      <c r="W187" t="s">
        <v>591</v>
      </c>
      <c r="X187" t="s">
        <v>591</v>
      </c>
      <c r="Y187" t="s">
        <v>591</v>
      </c>
    </row>
    <row r="188" spans="1:25">
      <c r="T188" t="s">
        <v>591</v>
      </c>
      <c r="U188" t="s">
        <v>591</v>
      </c>
      <c r="V188" t="s">
        <v>591</v>
      </c>
      <c r="W188" t="s">
        <v>591</v>
      </c>
      <c r="X188" t="s">
        <v>591</v>
      </c>
      <c r="Y188" t="s">
        <v>591</v>
      </c>
    </row>
    <row r="189" spans="1:25">
      <c r="T189" t="s">
        <v>591</v>
      </c>
      <c r="U189" t="s">
        <v>591</v>
      </c>
      <c r="V189" t="s">
        <v>591</v>
      </c>
      <c r="W189" t="s">
        <v>591</v>
      </c>
      <c r="X189" t="s">
        <v>591</v>
      </c>
      <c r="Y189" t="s">
        <v>591</v>
      </c>
    </row>
    <row r="190" spans="1:25">
      <c r="T190" t="s">
        <v>591</v>
      </c>
      <c r="U190" t="s">
        <v>591</v>
      </c>
      <c r="V190" t="s">
        <v>591</v>
      </c>
      <c r="W190" t="s">
        <v>591</v>
      </c>
      <c r="X190" t="s">
        <v>591</v>
      </c>
      <c r="Y190" t="s">
        <v>591</v>
      </c>
    </row>
    <row r="191" spans="1:25">
      <c r="T191" t="s">
        <v>591</v>
      </c>
      <c r="U191" t="s">
        <v>591</v>
      </c>
      <c r="V191" t="s">
        <v>591</v>
      </c>
      <c r="W191" t="s">
        <v>591</v>
      </c>
      <c r="X191" t="s">
        <v>591</v>
      </c>
      <c r="Y191" t="s">
        <v>591</v>
      </c>
    </row>
    <row r="192" spans="1:25">
      <c r="T192" t="s">
        <v>591</v>
      </c>
      <c r="U192" t="s">
        <v>591</v>
      </c>
      <c r="V192" t="s">
        <v>591</v>
      </c>
      <c r="W192" t="s">
        <v>591</v>
      </c>
      <c r="X192" t="s">
        <v>591</v>
      </c>
      <c r="Y192" t="s">
        <v>591</v>
      </c>
    </row>
    <row r="193" spans="20:25">
      <c r="T193" t="s">
        <v>591</v>
      </c>
      <c r="U193" t="s">
        <v>591</v>
      </c>
      <c r="V193" t="s">
        <v>591</v>
      </c>
      <c r="W193" t="s">
        <v>591</v>
      </c>
      <c r="X193" t="s">
        <v>591</v>
      </c>
      <c r="Y193" t="s">
        <v>591</v>
      </c>
    </row>
    <row r="194" spans="20:25">
      <c r="T194" t="s">
        <v>591</v>
      </c>
      <c r="U194" t="s">
        <v>591</v>
      </c>
      <c r="V194" t="s">
        <v>591</v>
      </c>
      <c r="W194" t="s">
        <v>591</v>
      </c>
      <c r="X194" t="s">
        <v>591</v>
      </c>
      <c r="Y194" t="s">
        <v>591</v>
      </c>
    </row>
    <row r="195" spans="20:25">
      <c r="T195" t="s">
        <v>591</v>
      </c>
      <c r="U195" t="s">
        <v>591</v>
      </c>
      <c r="V195" t="s">
        <v>591</v>
      </c>
      <c r="W195" t="s">
        <v>591</v>
      </c>
      <c r="X195" t="s">
        <v>591</v>
      </c>
      <c r="Y195" t="s">
        <v>591</v>
      </c>
    </row>
    <row r="196" spans="20:25">
      <c r="T196" t="s">
        <v>591</v>
      </c>
      <c r="U196" t="s">
        <v>591</v>
      </c>
      <c r="V196" t="s">
        <v>591</v>
      </c>
      <c r="W196" t="s">
        <v>591</v>
      </c>
      <c r="X196" t="s">
        <v>591</v>
      </c>
      <c r="Y196" t="s">
        <v>591</v>
      </c>
    </row>
    <row r="197" spans="20:25">
      <c r="T197" t="s">
        <v>591</v>
      </c>
      <c r="U197" t="s">
        <v>591</v>
      </c>
      <c r="V197" t="s">
        <v>591</v>
      </c>
      <c r="W197" t="s">
        <v>591</v>
      </c>
      <c r="X197" t="s">
        <v>591</v>
      </c>
      <c r="Y197" t="s">
        <v>591</v>
      </c>
    </row>
    <row r="198" spans="20:25">
      <c r="T198" t="s">
        <v>591</v>
      </c>
      <c r="U198" t="s">
        <v>591</v>
      </c>
      <c r="V198" t="s">
        <v>591</v>
      </c>
      <c r="W198" t="s">
        <v>591</v>
      </c>
      <c r="X198" t="s">
        <v>591</v>
      </c>
      <c r="Y198" t="s">
        <v>591</v>
      </c>
    </row>
    <row r="199" spans="20:25">
      <c r="T199" t="s">
        <v>591</v>
      </c>
      <c r="U199" t="s">
        <v>591</v>
      </c>
      <c r="V199" t="s">
        <v>591</v>
      </c>
      <c r="W199" t="s">
        <v>591</v>
      </c>
      <c r="X199" t="s">
        <v>591</v>
      </c>
      <c r="Y199" t="s">
        <v>591</v>
      </c>
    </row>
    <row r="200" spans="20:25">
      <c r="T200" t="s">
        <v>591</v>
      </c>
      <c r="U200" t="s">
        <v>591</v>
      </c>
      <c r="V200" t="s">
        <v>591</v>
      </c>
      <c r="W200" t="s">
        <v>591</v>
      </c>
      <c r="X200" t="s">
        <v>591</v>
      </c>
      <c r="Y200" t="s">
        <v>591</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heetViews>
  <sheetFormatPr defaultColWidth="9" defaultRowHeight="13.8"/>
  <cols>
    <col min="1" max="1025" width="10.5" style="1" customWidth="1"/>
    <col min="1026" max="16384" width="9" style="1"/>
  </cols>
  <sheetData>
    <row r="1" spans="1:10">
      <c r="A1" s="1" t="s">
        <v>555</v>
      </c>
      <c r="B1" s="4" t="s">
        <v>554</v>
      </c>
    </row>
    <row r="2" spans="1:10">
      <c r="A2" s="2" t="s">
        <v>553</v>
      </c>
      <c r="B2" s="7" t="str">
        <f>Sheet1!F13</f>
        <v/>
      </c>
    </row>
    <row r="3" spans="1:10">
      <c r="A3" s="1" t="s">
        <v>552</v>
      </c>
      <c r="B3" s="5" t="str">
        <f>Sheet1!U169</f>
        <v/>
      </c>
    </row>
    <row r="4" spans="1:10">
      <c r="A4" s="1" t="s">
        <v>551</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550</v>
      </c>
      <c r="B7" s="4" t="str">
        <f>Sheet1!X297</f>
        <v/>
      </c>
    </row>
    <row r="8" spans="1:10">
      <c r="A8" s="1" t="s">
        <v>549</v>
      </c>
      <c r="B8" s="4" t="str">
        <f>Sheet1!X312</f>
        <v/>
      </c>
    </row>
    <row r="9" spans="1:10">
      <c r="A9" s="1" t="s">
        <v>548</v>
      </c>
      <c r="B9" s="5" t="str">
        <f>Sheet1!X349</f>
        <v/>
      </c>
    </row>
    <row r="10" spans="1:10">
      <c r="A10" s="1" t="s">
        <v>633</v>
      </c>
      <c r="B10" s="6" t="str">
        <f>Sheet1!P357&amp;"/"&amp;Sheet1!Q357</f>
        <v>/</v>
      </c>
      <c r="C10" s="26" t="s">
        <v>240</v>
      </c>
      <c r="D10" s="27" t="s">
        <v>547</v>
      </c>
      <c r="E10" s="6" t="str">
        <f>Sheet1!P368&amp;"/"&amp;Sheet1!Q368</f>
        <v>/</v>
      </c>
      <c r="F10" s="26" t="s">
        <v>240</v>
      </c>
      <c r="G10" s="27" t="s">
        <v>547</v>
      </c>
      <c r="H10" s="6" t="str">
        <f>Sheet1!P378&amp;"/"&amp;Sheet1!Q378</f>
        <v>/</v>
      </c>
      <c r="I10" s="26" t="s">
        <v>240</v>
      </c>
      <c r="J10" s="27" t="s">
        <v>547</v>
      </c>
    </row>
    <row r="11" spans="1:10">
      <c r="A11" s="1" t="s">
        <v>547</v>
      </c>
      <c r="B11" s="4">
        <f>Sheet1!R357</f>
        <v>24</v>
      </c>
      <c r="C11" s="25" t="str">
        <f>Sheet1!T357</f>
        <v/>
      </c>
      <c r="D11" s="4" t="str">
        <f>Sheet1!W357</f>
        <v/>
      </c>
      <c r="E11" s="4">
        <f>Sheet1!R368</f>
        <v>28</v>
      </c>
      <c r="F11" s="25" t="str">
        <f>Sheet1!T368</f>
        <v/>
      </c>
      <c r="G11" s="4" t="str">
        <f>Sheet1!W368</f>
        <v/>
      </c>
      <c r="H11" s="4">
        <f>Sheet1!R378</f>
        <v>28</v>
      </c>
      <c r="I11" s="25" t="str">
        <f>Sheet1!T378</f>
        <v/>
      </c>
      <c r="J11" s="4" t="str">
        <f>Sheet1!W378</f>
        <v/>
      </c>
    </row>
    <row r="12" spans="1:10">
      <c r="B12" s="4">
        <f>Sheet1!R358</f>
        <v>25</v>
      </c>
      <c r="C12" s="25" t="str">
        <f>Sheet1!T358</f>
        <v/>
      </c>
      <c r="D12" s="4" t="str">
        <f>Sheet1!W358</f>
        <v/>
      </c>
      <c r="E12" s="4">
        <f>Sheet1!R369</f>
        <v>30</v>
      </c>
      <c r="F12" s="25" t="str">
        <f>Sheet1!T369</f>
        <v/>
      </c>
      <c r="G12" s="4" t="str">
        <f>Sheet1!W369</f>
        <v/>
      </c>
      <c r="H12" s="4">
        <f>Sheet1!R379</f>
        <v>30</v>
      </c>
      <c r="I12" s="25" t="str">
        <f>Sheet1!T379</f>
        <v/>
      </c>
      <c r="J12" s="4" t="str">
        <f>Sheet1!W379</f>
        <v/>
      </c>
    </row>
    <row r="13" spans="1:10">
      <c r="B13" s="4">
        <f>Sheet1!R359</f>
        <v>26</v>
      </c>
      <c r="C13" s="25" t="str">
        <f>Sheet1!T359</f>
        <v/>
      </c>
      <c r="D13" s="4" t="str">
        <f>Sheet1!W359</f>
        <v/>
      </c>
      <c r="E13" s="4">
        <f>Sheet1!R370</f>
        <v>32</v>
      </c>
      <c r="F13" s="25" t="str">
        <f>Sheet1!T370</f>
        <v/>
      </c>
      <c r="G13" s="4" t="str">
        <f>Sheet1!W370</f>
        <v/>
      </c>
      <c r="H13" s="4">
        <f>Sheet1!R380</f>
        <v>32</v>
      </c>
      <c r="I13" s="25" t="str">
        <f>Sheet1!T380</f>
        <v/>
      </c>
      <c r="J13" s="4" t="str">
        <f>Sheet1!W380</f>
        <v/>
      </c>
    </row>
    <row r="14" spans="1:10">
      <c r="B14" s="4">
        <f>Sheet1!R360</f>
        <v>28</v>
      </c>
      <c r="C14" s="25" t="str">
        <f>Sheet1!T360</f>
        <v/>
      </c>
      <c r="D14" s="4" t="str">
        <f>Sheet1!W360</f>
        <v/>
      </c>
      <c r="E14" s="4">
        <f>Sheet1!R371</f>
        <v>34</v>
      </c>
      <c r="F14" s="25" t="str">
        <f>Sheet1!T371</f>
        <v/>
      </c>
      <c r="G14" s="4" t="str">
        <f>Sheet1!W371</f>
        <v/>
      </c>
      <c r="H14" s="4">
        <f>Sheet1!R381</f>
        <v>34</v>
      </c>
      <c r="I14" s="25" t="str">
        <f>Sheet1!T381</f>
        <v/>
      </c>
      <c r="J14" s="4" t="str">
        <f>Sheet1!W381</f>
        <v/>
      </c>
    </row>
    <row r="15" spans="1:10">
      <c r="B15" s="4">
        <f>Sheet1!R361</f>
        <v>30</v>
      </c>
      <c r="C15" s="25" t="str">
        <f>Sheet1!T361</f>
        <v/>
      </c>
      <c r="D15" s="4" t="str">
        <f>Sheet1!W361</f>
        <v/>
      </c>
      <c r="E15" s="4">
        <f>Sheet1!R372</f>
        <v>36</v>
      </c>
      <c r="F15" s="25" t="str">
        <f>Sheet1!T372</f>
        <v/>
      </c>
      <c r="G15" s="4" t="str">
        <f>Sheet1!W372</f>
        <v/>
      </c>
      <c r="H15" s="4">
        <f>Sheet1!R382</f>
        <v>38</v>
      </c>
      <c r="I15" s="25" t="str">
        <f>Sheet1!T382</f>
        <v/>
      </c>
      <c r="J15" s="4" t="str">
        <f>Sheet1!W382</f>
        <v/>
      </c>
    </row>
    <row r="16" spans="1:10">
      <c r="B16" s="4">
        <f>Sheet1!R362</f>
        <v>32</v>
      </c>
      <c r="C16" s="25" t="str">
        <f>Sheet1!T362</f>
        <v/>
      </c>
      <c r="D16" s="4" t="str">
        <f>Sheet1!W362</f>
        <v/>
      </c>
      <c r="E16" s="4">
        <f>Sheet1!R373</f>
        <v>38</v>
      </c>
      <c r="F16" s="25" t="str">
        <f>Sheet1!T373</f>
        <v/>
      </c>
      <c r="G16" s="4" t="str">
        <f>Sheet1!W373</f>
        <v/>
      </c>
    </row>
    <row r="17" spans="1:4">
      <c r="B17" s="4">
        <f>Sheet1!R363</f>
        <v>34</v>
      </c>
      <c r="C17" s="25" t="str">
        <f>Sheet1!T363</f>
        <v/>
      </c>
      <c r="D17" s="4" t="str">
        <f>Sheet1!W363</f>
        <v/>
      </c>
    </row>
    <row r="18" spans="1:4">
      <c r="A18" s="1" t="s">
        <v>546</v>
      </c>
      <c r="B18" s="4" t="str">
        <f>Sheet1!P403&amp;"/"&amp;Sheet1!Q403</f>
        <v>/</v>
      </c>
      <c r="C18" s="25"/>
      <c r="D18" s="28"/>
    </row>
    <row r="19" spans="1:4">
      <c r="B19" s="4">
        <f>Sheet1!S403</f>
        <v>20</v>
      </c>
      <c r="C19" s="4" t="str">
        <f>Sheet1!W403</f>
        <v/>
      </c>
    </row>
    <row r="20" spans="1:4">
      <c r="B20" s="4">
        <f>Sheet1!S404</f>
        <v>50</v>
      </c>
      <c r="C20" s="4" t="str">
        <f>Sheet1!W404</f>
        <v/>
      </c>
    </row>
    <row r="21" spans="1:4">
      <c r="B21" s="4">
        <f>Sheet1!S405</f>
        <v>100</v>
      </c>
      <c r="C21" s="4" t="str">
        <f>Sheet1!W405</f>
        <v/>
      </c>
    </row>
    <row r="22" spans="1:4">
      <c r="B22" s="5">
        <f>Sheet1!S406</f>
        <v>300</v>
      </c>
      <c r="C22" s="5" t="str">
        <f>Sheet1!W406</f>
        <v/>
      </c>
    </row>
    <row r="23" spans="1:4">
      <c r="A23" s="1" t="s">
        <v>340</v>
      </c>
      <c r="B23" s="4" t="str">
        <f>Sheet1!Q412</f>
        <v>/</v>
      </c>
      <c r="C23" s="4">
        <f>Sheet1!Q413</f>
        <v>24</v>
      </c>
      <c r="D23" s="4" t="str">
        <f>Sheet1!Q417</f>
        <v/>
      </c>
    </row>
    <row r="24" spans="1:4">
      <c r="B24" s="4" t="str">
        <f>Sheet1!R412</f>
        <v>/</v>
      </c>
      <c r="C24" s="4">
        <f>Sheet1!R413</f>
        <v>25</v>
      </c>
      <c r="D24" s="4" t="str">
        <f>Sheet1!R417</f>
        <v/>
      </c>
    </row>
    <row r="25" spans="1:4">
      <c r="B25" s="4" t="str">
        <f>Sheet1!S412</f>
        <v>/</v>
      </c>
      <c r="C25" s="4">
        <f>Sheet1!S413</f>
        <v>28</v>
      </c>
      <c r="D25" s="4" t="str">
        <f>Sheet1!S417</f>
        <v/>
      </c>
    </row>
    <row r="26" spans="1:4">
      <c r="B26" s="4" t="str">
        <f>Sheet1!T412</f>
        <v>/</v>
      </c>
      <c r="C26" s="4">
        <f>Sheet1!T413</f>
        <v>32</v>
      </c>
      <c r="D26" s="4" t="str">
        <f>Sheet1!T417</f>
        <v/>
      </c>
    </row>
    <row r="27" spans="1:4">
      <c r="B27" s="4" t="str">
        <f>Sheet1!U412</f>
        <v>/</v>
      </c>
      <c r="C27" s="4">
        <f>Sheet1!U413</f>
        <v>28</v>
      </c>
      <c r="D27" s="4" t="str">
        <f>Sheet1!U417</f>
        <v/>
      </c>
    </row>
    <row r="28" spans="1:4">
      <c r="B28" s="4" t="str">
        <f>Sheet1!V412</f>
        <v>/</v>
      </c>
      <c r="C28" s="4">
        <f>Sheet1!V413</f>
        <v>30</v>
      </c>
      <c r="D28" s="4" t="str">
        <f>Sheet1!V417</f>
        <v/>
      </c>
    </row>
    <row r="29" spans="1:4">
      <c r="B29" s="4" t="str">
        <f>Sheet1!W412</f>
        <v>/</v>
      </c>
      <c r="C29" s="4">
        <f>Sheet1!W413</f>
        <v>32</v>
      </c>
      <c r="D29" s="4" t="str">
        <f>Sheet1!W417</f>
        <v/>
      </c>
    </row>
    <row r="30" spans="1:4">
      <c r="B30" s="4" t="str">
        <f>Sheet1!X412</f>
        <v>/</v>
      </c>
      <c r="C30" s="4">
        <f>Sheet1!X413</f>
        <v>34</v>
      </c>
      <c r="D30" s="4" t="str">
        <f>Sheet1!X417</f>
        <v/>
      </c>
    </row>
    <row r="31" spans="1:4">
      <c r="B31" s="4" t="str">
        <f>Sheet1!Q425</f>
        <v>/</v>
      </c>
      <c r="C31" s="4">
        <f>Sheet1!Q426</f>
        <v>28</v>
      </c>
      <c r="D31" s="4" t="str">
        <f>Sheet1!Q430</f>
        <v/>
      </c>
    </row>
    <row r="32" spans="1:4">
      <c r="B32" s="4" t="str">
        <f>Sheet1!R425</f>
        <v>/</v>
      </c>
      <c r="C32" s="4">
        <f>Sheet1!R426</f>
        <v>30</v>
      </c>
      <c r="D32" s="4" t="str">
        <f>Sheet1!R430</f>
        <v/>
      </c>
    </row>
    <row r="33" spans="1:5">
      <c r="B33" s="4" t="str">
        <f>Sheet1!S425</f>
        <v>/</v>
      </c>
      <c r="C33" s="4">
        <f>Sheet1!S426</f>
        <v>32</v>
      </c>
      <c r="D33" s="4" t="str">
        <f>Sheet1!S430</f>
        <v/>
      </c>
    </row>
    <row r="34" spans="1:5">
      <c r="B34" s="4" t="str">
        <f>Sheet1!T425</f>
        <v>/</v>
      </c>
      <c r="C34" s="4">
        <f>Sheet1!T426</f>
        <v>34</v>
      </c>
      <c r="D34" s="4" t="str">
        <f>Sheet1!T430</f>
        <v/>
      </c>
    </row>
    <row r="35" spans="1:5">
      <c r="B35" s="4" t="str">
        <f>Sheet1!U425</f>
        <v>/</v>
      </c>
      <c r="C35" s="4">
        <f>Sheet1!U426</f>
        <v>38</v>
      </c>
      <c r="D35" s="4" t="str">
        <f>Sheet1!U430</f>
        <v/>
      </c>
    </row>
    <row r="36" spans="1:5">
      <c r="A36" s="1" t="s">
        <v>545</v>
      </c>
      <c r="B36" s="4" t="str">
        <f>Sheet1!P456</f>
        <v>2D</v>
      </c>
      <c r="C36" s="4" t="str">
        <f>Sheet1!R456</f>
        <v>Mag</v>
      </c>
      <c r="D36" s="4" t="str">
        <f>Sheet1!T456</f>
        <v>3D</v>
      </c>
      <c r="E36" s="4" t="s">
        <v>637</v>
      </c>
    </row>
    <row r="37" spans="1:5">
      <c r="A37" s="1" t="s">
        <v>435</v>
      </c>
      <c r="B37" s="4">
        <f>Sheet1!P460</f>
        <v>0</v>
      </c>
      <c r="C37" s="4">
        <f>Sheet1!R460</f>
        <v>0</v>
      </c>
      <c r="D37" s="4">
        <f>Sheet1!T460</f>
        <v>0</v>
      </c>
      <c r="E37" s="4">
        <f>Sheet1!U441</f>
        <v>0</v>
      </c>
    </row>
    <row r="38" spans="1:5">
      <c r="A38" s="1" t="s">
        <v>436</v>
      </c>
      <c r="B38" s="4">
        <f>Sheet1!P461</f>
        <v>0</v>
      </c>
      <c r="C38" s="4">
        <f>Sheet1!R461</f>
        <v>0</v>
      </c>
      <c r="D38" s="4">
        <f>Sheet1!T461</f>
        <v>0</v>
      </c>
      <c r="E38" s="4">
        <f>Sheet1!U442</f>
        <v>0</v>
      </c>
    </row>
    <row r="39" spans="1:5">
      <c r="A39" s="1" t="s">
        <v>437</v>
      </c>
      <c r="B39" s="4">
        <f>Sheet1!P462</f>
        <v>0</v>
      </c>
      <c r="C39" s="4">
        <f>Sheet1!R462</f>
        <v>0</v>
      </c>
      <c r="D39" s="4">
        <f>Sheet1!T462</f>
        <v>0</v>
      </c>
      <c r="E39" s="4">
        <f>Sheet1!U443</f>
        <v>0</v>
      </c>
    </row>
    <row r="40" spans="1:5">
      <c r="A40" s="1" t="s">
        <v>634</v>
      </c>
      <c r="B40" s="4" t="str">
        <f>Sheet1!Q470&amp;"/"&amp;Sheet1!Q471</f>
        <v>/</v>
      </c>
    </row>
    <row r="41" spans="1:5">
      <c r="A41" s="1" t="s">
        <v>544</v>
      </c>
      <c r="B41" s="4" t="e">
        <f>Sheet1!T472</f>
        <v>#DIV/0!</v>
      </c>
    </row>
    <row r="42" spans="1:5">
      <c r="A42" s="1" t="s">
        <v>543</v>
      </c>
      <c r="B42" s="4" t="e">
        <f>Sheet1!T473</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9"/>
  <sheetViews>
    <sheetView workbookViewId="0"/>
  </sheetViews>
  <sheetFormatPr defaultColWidth="9" defaultRowHeight="13.8"/>
  <cols>
    <col min="1" max="23" width="8.19921875" style="3" customWidth="1"/>
    <col min="24" max="16384" width="9" style="1"/>
  </cols>
  <sheetData>
    <row r="1" spans="1:3">
      <c r="A1" s="8" t="s">
        <v>556</v>
      </c>
    </row>
    <row r="2" spans="1:3">
      <c r="B2" s="3" t="s">
        <v>557</v>
      </c>
    </row>
    <row r="3" spans="1:3">
      <c r="B3" s="3" t="s">
        <v>558</v>
      </c>
    </row>
    <row r="4" spans="1:3">
      <c r="B4" s="3" t="s">
        <v>559</v>
      </c>
    </row>
    <row r="5" spans="1:3">
      <c r="B5" s="3" t="s">
        <v>560</v>
      </c>
    </row>
    <row r="6" spans="1:3">
      <c r="B6" s="3" t="s">
        <v>561</v>
      </c>
    </row>
    <row r="8" spans="1:3">
      <c r="A8" s="8" t="s">
        <v>562</v>
      </c>
    </row>
    <row r="9" spans="1:3">
      <c r="A9" s="8"/>
      <c r="B9" s="3" t="s">
        <v>563</v>
      </c>
    </row>
    <row r="10" spans="1:3">
      <c r="A10" s="8"/>
      <c r="B10" s="3" t="s">
        <v>564</v>
      </c>
    </row>
    <row r="11" spans="1:3">
      <c r="B11" s="9" t="s">
        <v>565</v>
      </c>
      <c r="C11" s="9" t="s">
        <v>566</v>
      </c>
    </row>
    <row r="12" spans="1:3">
      <c r="B12" s="10">
        <v>29</v>
      </c>
      <c r="C12" s="11">
        <f>IF(B12&lt;A22,B12+B22+B12*C22+B12^2*D22+B12^3*E22+B12^4*F22+B12^5*G22+B12^6*H22,B12+B23+B12*C23+B12^2*D23+B12^3*E23+B12^4*F23+B12^5*G23+B12^6*H23)</f>
        <v>30.282068178701138</v>
      </c>
    </row>
    <row r="14" spans="1:3">
      <c r="A14" s="8" t="s">
        <v>567</v>
      </c>
    </row>
    <row r="15" spans="1:3">
      <c r="A15" s="8"/>
      <c r="B15" s="3" t="s">
        <v>568</v>
      </c>
    </row>
    <row r="16" spans="1:3">
      <c r="A16" s="8"/>
      <c r="B16" s="3" t="s">
        <v>569</v>
      </c>
    </row>
    <row r="17" spans="1:8">
      <c r="B17" s="9" t="s">
        <v>565</v>
      </c>
      <c r="C17" s="9" t="s">
        <v>566</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609" priority="1" operator="lessThan">
      <formula>21.8</formula>
    </cfRule>
    <cfRule type="cellIs" dxfId="608" priority="2" operator="between">
      <formula>24</formula>
      <formula>27</formula>
    </cfRule>
    <cfRule type="cellIs" dxfId="607" priority="3" operator="greaterThanOrEqual">
      <formula>40</formula>
    </cfRule>
  </conditionalFormatting>
  <conditionalFormatting sqref="C18">
    <cfRule type="cellIs" dxfId="606" priority="4" operator="lessThan">
      <formula>21.8</formula>
    </cfRule>
    <cfRule type="cellIs" dxfId="605" priority="5" operator="between">
      <formula>25.35</formula>
      <formula>31.55</formula>
    </cfRule>
    <cfRule type="cellIs" dxfId="604" priority="6" operator="greaterThanOrEqual">
      <formula>40</formula>
    </cfRule>
  </conditionalFormatting>
  <conditionalFormatting sqref="C12">
    <cfRule type="cellIs" dxfId="603" priority="7" operator="lessThan">
      <formula>21.8</formula>
    </cfRule>
    <cfRule type="cellIs" dxfId="602" priority="8" operator="between">
      <formula>24</formula>
      <formula>27</formula>
    </cfRule>
    <cfRule type="cellIs" dxfId="601" priority="9" operator="greaterThanOrEqual">
      <formula>40</formula>
    </cfRule>
  </conditionalFormatting>
  <conditionalFormatting sqref="C18">
    <cfRule type="cellIs" dxfId="600" priority="10" operator="lessThan">
      <formula>21.8</formula>
    </cfRule>
    <cfRule type="cellIs" dxfId="599" priority="11" operator="between">
      <formula>25.35</formula>
      <formula>31.55</formula>
    </cfRule>
    <cfRule type="cellIs" dxfId="598"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heetViews>
  <sheetFormatPr defaultColWidth="9" defaultRowHeight="13.8"/>
  <cols>
    <col min="1" max="1" width="9.5" style="3" customWidth="1"/>
    <col min="2" max="16384" width="9" style="1"/>
  </cols>
  <sheetData>
    <row r="1" spans="1:1">
      <c r="A1" s="8" t="s">
        <v>570</v>
      </c>
    </row>
    <row r="2" spans="1:1">
      <c r="A2" s="3" t="s">
        <v>571</v>
      </c>
    </row>
    <row r="3" spans="1:1">
      <c r="A3" s="3" t="s">
        <v>572</v>
      </c>
    </row>
    <row r="5" spans="1:1">
      <c r="A5" s="8" t="s">
        <v>573</v>
      </c>
    </row>
    <row r="6" spans="1:1">
      <c r="A6" s="3" t="s">
        <v>571</v>
      </c>
    </row>
    <row r="7" spans="1:1">
      <c r="A7" s="3" t="s">
        <v>572</v>
      </c>
    </row>
    <row r="8" spans="1:1">
      <c r="A8" s="3" t="s">
        <v>574</v>
      </c>
    </row>
    <row r="10" spans="1:1">
      <c r="A10" s="12" t="s">
        <v>575</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414</v>
      </c>
    </row>
    <row r="25" spans="1:1">
      <c r="A25" s="30" t="s">
        <v>589</v>
      </c>
    </row>
    <row r="26" spans="1:1">
      <c r="A26" s="30" t="s">
        <v>632</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lastPrinted>2018-04-11T14:49:26Z</cp:lastPrinted>
  <dcterms:created xsi:type="dcterms:W3CDTF">2017-10-26T12:48:27Z</dcterms:created>
  <dcterms:modified xsi:type="dcterms:W3CDTF">2020-04-09T12:36:18Z</dcterms:modified>
</cp:coreProperties>
</file>